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avio.araujo\Documents\Censo SUAS 2017\"/>
    </mc:Choice>
  </mc:AlternateContent>
  <bookViews>
    <workbookView xWindow="0" yWindow="0" windowWidth="24000" windowHeight="9735" activeTab="18"/>
  </bookViews>
  <sheets>
    <sheet name="1" sheetId="2" r:id="rId1"/>
    <sheet name="2" sheetId="28" r:id="rId2"/>
    <sheet name="3" sheetId="5" r:id="rId3"/>
    <sheet name="5" sheetId="7" r:id="rId4"/>
    <sheet name="Planilha3" sheetId="30" r:id="rId5"/>
    <sheet name="6" sheetId="8" r:id="rId6"/>
    <sheet name="8" sheetId="11" r:id="rId7"/>
    <sheet name="9" sheetId="12" r:id="rId8"/>
    <sheet name="10" sheetId="13" r:id="rId9"/>
    <sheet name="12" sheetId="15" r:id="rId10"/>
    <sheet name="11" sheetId="14" r:id="rId11"/>
    <sheet name="14" sheetId="17" r:id="rId12"/>
    <sheet name="16" sheetId="19" r:id="rId13"/>
    <sheet name="17" sheetId="20" r:id="rId14"/>
    <sheet name="18" sheetId="21" r:id="rId15"/>
    <sheet name="19" sheetId="23" r:id="rId16"/>
    <sheet name="21" sheetId="24" r:id="rId17"/>
    <sheet name="Planilha5_OK" sheetId="34" r:id="rId18"/>
    <sheet name="Planilha4_OK" sheetId="33" r:id="rId19"/>
    <sheet name="Plan1" sheetId="35" r:id="rId20"/>
  </sheets>
  <externalReferences>
    <externalReference r:id="rId21"/>
    <externalReference r:id="rId22"/>
  </externalReferences>
  <definedNames>
    <definedName name="_xlnm._FilterDatabase" localSheetId="0" hidden="1">'1'!$A$1:$C$19</definedName>
    <definedName name="_xlnm._FilterDatabase" localSheetId="10" hidden="1">'11'!$A$3:$G$3</definedName>
    <definedName name="_xlnm._FilterDatabase" localSheetId="9" hidden="1">'12'!$A$2:$C$2</definedName>
    <definedName name="_xlnm._FilterDatabase" localSheetId="13" hidden="1">'17'!$A$2:$C$2</definedName>
    <definedName name="_xlnm._FilterDatabase" localSheetId="16" hidden="1">'21'!$A$2:$C$2</definedName>
    <definedName name="_xlnm._FilterDatabase" localSheetId="5" hidden="1">'6'!$A$2:$C$2</definedName>
    <definedName name="_xlnm._FilterDatabase" localSheetId="18" hidden="1">Planilha4_OK!$A$2:$C$2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4" l="1"/>
  <c r="D4" i="34"/>
  <c r="E4" i="34"/>
  <c r="F4" i="34"/>
  <c r="G4" i="34"/>
  <c r="B4" i="34"/>
  <c r="C23" i="33" l="1"/>
  <c r="C7" i="33"/>
  <c r="C6" i="33"/>
  <c r="C15" i="33"/>
  <c r="C9" i="33"/>
  <c r="C16" i="33"/>
  <c r="C21" i="33"/>
  <c r="C19" i="33"/>
  <c r="C24" i="33"/>
  <c r="C3" i="33" l="1"/>
  <c r="C26" i="33"/>
  <c r="C17" i="33"/>
  <c r="C20" i="33"/>
  <c r="C27" i="33"/>
  <c r="C28" i="33"/>
  <c r="C4" i="33"/>
  <c r="C13" i="33"/>
  <c r="C12" i="33"/>
  <c r="C8" i="33"/>
  <c r="C18" i="33"/>
  <c r="C5" i="33"/>
  <c r="C22" i="33"/>
  <c r="C14" i="33"/>
  <c r="C25" i="33"/>
  <c r="C10" i="33"/>
  <c r="C11" i="33"/>
  <c r="F20" i="30" l="1"/>
  <c r="E20" i="30"/>
  <c r="D20" i="30"/>
  <c r="C20" i="30"/>
  <c r="B20" i="30"/>
  <c r="F19" i="30"/>
  <c r="E19" i="30"/>
  <c r="D19" i="30"/>
  <c r="C19" i="30"/>
  <c r="B19" i="30"/>
  <c r="F18" i="30"/>
  <c r="E18" i="30"/>
  <c r="D18" i="30"/>
  <c r="C18" i="30"/>
  <c r="B18" i="30"/>
  <c r="F17" i="30"/>
  <c r="E17" i="30"/>
  <c r="D17" i="30"/>
  <c r="C17" i="30"/>
  <c r="B17" i="30"/>
  <c r="F16" i="30"/>
  <c r="E16" i="30"/>
  <c r="D16" i="30"/>
  <c r="C16" i="30"/>
  <c r="B16" i="30"/>
  <c r="F15" i="30"/>
  <c r="E15" i="30"/>
  <c r="D15" i="30"/>
  <c r="C15" i="30"/>
  <c r="B15" i="30"/>
  <c r="F14" i="30"/>
  <c r="E14" i="30"/>
  <c r="D14" i="30"/>
  <c r="C14" i="30"/>
  <c r="B14" i="30"/>
  <c r="F10" i="30"/>
  <c r="E10" i="30"/>
  <c r="D10" i="30"/>
  <c r="C10" i="30"/>
  <c r="B10" i="30"/>
  <c r="F9" i="30"/>
  <c r="E9" i="30"/>
  <c r="D9" i="30"/>
  <c r="C9" i="30"/>
  <c r="B9" i="30"/>
  <c r="F8" i="30"/>
  <c r="E8" i="30"/>
  <c r="D8" i="30"/>
  <c r="C8" i="30"/>
  <c r="B8" i="30"/>
  <c r="F7" i="30"/>
  <c r="E7" i="30"/>
  <c r="D7" i="30"/>
  <c r="C7" i="30"/>
  <c r="B7" i="30"/>
  <c r="F6" i="30"/>
  <c r="E6" i="30"/>
  <c r="D6" i="30"/>
  <c r="C6" i="30"/>
  <c r="B6" i="30"/>
  <c r="F5" i="30"/>
  <c r="E5" i="30"/>
  <c r="D5" i="30"/>
  <c r="C5" i="30"/>
  <c r="B5" i="30"/>
  <c r="F4" i="30"/>
  <c r="E4" i="30"/>
  <c r="D4" i="30"/>
  <c r="C4" i="30"/>
  <c r="B4" i="30"/>
  <c r="I13" i="28"/>
  <c r="H13" i="28"/>
  <c r="F13" i="28"/>
  <c r="E13" i="28"/>
  <c r="D13" i="28"/>
  <c r="C13" i="28"/>
  <c r="B13" i="28"/>
  <c r="I12" i="28"/>
  <c r="H12" i="28"/>
  <c r="F12" i="28"/>
  <c r="E12" i="28"/>
  <c r="D12" i="28"/>
  <c r="C12" i="28"/>
  <c r="B12" i="28"/>
  <c r="I11" i="28"/>
  <c r="G11" i="28"/>
  <c r="E11" i="28"/>
  <c r="D11" i="28"/>
  <c r="C11" i="28"/>
  <c r="B11" i="28"/>
  <c r="I10" i="28"/>
  <c r="E10" i="28"/>
  <c r="D10" i="28"/>
  <c r="C10" i="28"/>
  <c r="B10" i="28"/>
  <c r="I9" i="28"/>
  <c r="E9" i="28"/>
  <c r="D9" i="28"/>
  <c r="C9" i="28"/>
  <c r="B9" i="28"/>
  <c r="I8" i="28"/>
  <c r="E8" i="28"/>
  <c r="D8" i="28"/>
  <c r="C8" i="28"/>
  <c r="B8" i="28"/>
  <c r="I7" i="28"/>
  <c r="E7" i="28"/>
  <c r="D7" i="28"/>
  <c r="C7" i="28"/>
  <c r="B7" i="28"/>
  <c r="I6" i="28"/>
  <c r="E6" i="28"/>
  <c r="D6" i="28"/>
  <c r="C6" i="28"/>
  <c r="B6" i="28"/>
  <c r="I5" i="28"/>
  <c r="F5" i="28"/>
  <c r="E5" i="28"/>
  <c r="D5" i="28"/>
  <c r="C5" i="28"/>
  <c r="B5" i="28"/>
  <c r="G18" i="14" l="1"/>
  <c r="G15" i="14"/>
  <c r="G11" i="14"/>
  <c r="G9" i="14"/>
  <c r="G8" i="14"/>
  <c r="G4" i="14"/>
  <c r="G14" i="14"/>
  <c r="G13" i="14"/>
  <c r="G12" i="14"/>
  <c r="G16" i="14"/>
  <c r="G10" i="14"/>
  <c r="G5" i="14"/>
  <c r="G7" i="14"/>
  <c r="G6" i="14"/>
  <c r="G17" i="14"/>
  <c r="B5" i="13"/>
  <c r="C5" i="13"/>
  <c r="D5" i="13"/>
  <c r="E5" i="13"/>
  <c r="F5" i="13"/>
  <c r="Q5" i="13"/>
  <c r="W5" i="13"/>
  <c r="I5" i="13"/>
  <c r="O5" i="13"/>
  <c r="B6" i="13"/>
  <c r="C6" i="13"/>
  <c r="D6" i="13"/>
  <c r="E6" i="13"/>
  <c r="F6" i="13"/>
  <c r="G6" i="13"/>
  <c r="B7" i="13"/>
  <c r="C7" i="13"/>
  <c r="D7" i="13"/>
  <c r="E7" i="13"/>
  <c r="F7" i="13"/>
  <c r="G7" i="13"/>
  <c r="W6" i="13"/>
  <c r="W7" i="13"/>
  <c r="W8" i="13"/>
  <c r="O6" i="13"/>
  <c r="O7" i="13"/>
  <c r="O8" i="13"/>
  <c r="B8" i="13"/>
  <c r="C8" i="13"/>
  <c r="D8" i="13"/>
  <c r="E8" i="13"/>
  <c r="F8" i="13"/>
  <c r="Q10" i="13"/>
  <c r="Q9" i="13"/>
  <c r="Q8" i="13"/>
  <c r="Q7" i="13"/>
  <c r="Q6" i="13"/>
  <c r="I6" i="13"/>
  <c r="I7" i="13"/>
  <c r="I8" i="13"/>
  <c r="I9" i="13"/>
  <c r="I10" i="13"/>
  <c r="W9" i="13"/>
  <c r="G9" i="13" s="1"/>
  <c r="W10" i="13"/>
  <c r="O9" i="13"/>
  <c r="O10" i="13"/>
  <c r="B9" i="13"/>
  <c r="C9" i="13"/>
  <c r="D9" i="13"/>
  <c r="E9" i="13"/>
  <c r="F9" i="13"/>
  <c r="C10" i="13"/>
  <c r="D10" i="13"/>
  <c r="E10" i="13"/>
  <c r="F10" i="13"/>
  <c r="B10" i="13"/>
  <c r="G5" i="13" l="1"/>
  <c r="G8" i="13"/>
  <c r="G10" i="13"/>
  <c r="D3" i="19" l="1"/>
  <c r="D4" i="19"/>
  <c r="D5" i="19"/>
  <c r="D6" i="19"/>
  <c r="D7" i="19"/>
  <c r="D9" i="19"/>
  <c r="D8" i="19"/>
  <c r="G4" i="7"/>
  <c r="F4" i="7"/>
  <c r="E4" i="7"/>
  <c r="D4" i="7"/>
  <c r="C4" i="7"/>
  <c r="B4" i="7"/>
  <c r="G5" i="7"/>
  <c r="F5" i="7"/>
  <c r="E5" i="7"/>
  <c r="D5" i="7"/>
  <c r="C5" i="7"/>
  <c r="B5" i="7"/>
  <c r="C3" i="24" l="1"/>
  <c r="C12" i="24"/>
  <c r="C6" i="24"/>
  <c r="C5" i="24"/>
  <c r="C14" i="24"/>
  <c r="C13" i="24"/>
  <c r="C10" i="24"/>
  <c r="C16" i="24"/>
  <c r="C17" i="24"/>
  <c r="C18" i="24"/>
  <c r="C19" i="24"/>
  <c r="C7" i="24"/>
  <c r="C9" i="24"/>
  <c r="C8" i="24"/>
  <c r="C15" i="24"/>
  <c r="C4" i="24"/>
  <c r="C11" i="24"/>
  <c r="C27" i="23" l="1"/>
  <c r="C4" i="23"/>
  <c r="C5" i="23"/>
  <c r="C6" i="23"/>
  <c r="C7" i="23"/>
  <c r="C9" i="23"/>
  <c r="C8" i="23"/>
  <c r="C10" i="23"/>
  <c r="C11" i="23"/>
  <c r="C12" i="23"/>
  <c r="C18" i="23"/>
  <c r="C13" i="23"/>
  <c r="C14" i="23"/>
  <c r="C20" i="23"/>
  <c r="C15" i="23"/>
  <c r="C19" i="23"/>
  <c r="C17" i="23"/>
  <c r="C16" i="23"/>
  <c r="C21" i="23"/>
  <c r="C24" i="23"/>
  <c r="C22" i="23"/>
  <c r="C23" i="23"/>
  <c r="C25" i="23"/>
  <c r="C3" i="23"/>
  <c r="C54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30" i="23"/>
  <c r="D9" i="21" l="1"/>
  <c r="C11" i="21"/>
  <c r="C10" i="21"/>
  <c r="C8" i="21"/>
  <c r="C7" i="21"/>
  <c r="C6" i="21"/>
  <c r="C5" i="21"/>
  <c r="C4" i="21"/>
  <c r="C3" i="21"/>
  <c r="C13" i="20"/>
  <c r="C23" i="20"/>
  <c r="C18" i="20"/>
  <c r="C9" i="20"/>
  <c r="C8" i="20"/>
  <c r="C22" i="20"/>
  <c r="C24" i="20"/>
  <c r="C25" i="20"/>
  <c r="C10" i="20"/>
  <c r="C14" i="20"/>
  <c r="C20" i="20"/>
  <c r="C11" i="20"/>
  <c r="C17" i="20"/>
  <c r="C19" i="20"/>
  <c r="C21" i="20"/>
  <c r="C16" i="20"/>
  <c r="C7" i="20"/>
  <c r="C15" i="20"/>
  <c r="C5" i="20"/>
  <c r="C12" i="20"/>
  <c r="C6" i="20"/>
  <c r="C4" i="20"/>
  <c r="C3" i="20"/>
  <c r="C26" i="20"/>
  <c r="K6" i="17"/>
  <c r="H9" i="17"/>
  <c r="N9" i="17" s="1"/>
  <c r="H8" i="17"/>
  <c r="K8" i="17" s="1"/>
  <c r="H7" i="17"/>
  <c r="N7" i="17" s="1"/>
  <c r="H6" i="17"/>
  <c r="N6" i="17" s="1"/>
  <c r="H5" i="17"/>
  <c r="N5" i="17" s="1"/>
  <c r="H4" i="17"/>
  <c r="N4" i="17" s="1"/>
  <c r="H17" i="17"/>
  <c r="K17" i="17" s="1"/>
  <c r="H16" i="17"/>
  <c r="M16" i="17" s="1"/>
  <c r="H15" i="17"/>
  <c r="K15" i="17" s="1"/>
  <c r="H14" i="17"/>
  <c r="L14" i="17" s="1"/>
  <c r="H13" i="17"/>
  <c r="K13" i="17" s="1"/>
  <c r="H12" i="17"/>
  <c r="K12" i="17" s="1"/>
  <c r="N12" i="17" l="1"/>
  <c r="M12" i="17"/>
  <c r="L12" i="17"/>
  <c r="L6" i="17"/>
  <c r="N14" i="17"/>
  <c r="M8" i="17"/>
  <c r="L8" i="17"/>
  <c r="M14" i="17"/>
  <c r="N8" i="17"/>
  <c r="K14" i="17"/>
  <c r="K4" i="17"/>
  <c r="L4" i="17"/>
  <c r="M6" i="17"/>
  <c r="L16" i="17"/>
  <c r="M4" i="17"/>
  <c r="K16" i="17"/>
  <c r="N17" i="17"/>
  <c r="N15" i="17"/>
  <c r="N13" i="17"/>
  <c r="K5" i="17"/>
  <c r="K7" i="17"/>
  <c r="K9" i="17"/>
  <c r="N16" i="17"/>
  <c r="M17" i="17"/>
  <c r="M15" i="17"/>
  <c r="M13" i="17"/>
  <c r="L5" i="17"/>
  <c r="L7" i="17"/>
  <c r="L9" i="17"/>
  <c r="L17" i="17"/>
  <c r="L15" i="17"/>
  <c r="L13" i="17"/>
  <c r="M5" i="17"/>
  <c r="M7" i="17"/>
  <c r="M9" i="17"/>
  <c r="C23" i="15" l="1"/>
  <c r="C16" i="15"/>
  <c r="C13" i="15"/>
  <c r="C6" i="15"/>
  <c r="C17" i="15"/>
  <c r="C4" i="15"/>
  <c r="C5" i="15"/>
  <c r="C24" i="15"/>
  <c r="C9" i="15"/>
  <c r="C10" i="15"/>
  <c r="C8" i="15"/>
  <c r="C7" i="15"/>
  <c r="C22" i="15"/>
  <c r="C20" i="15"/>
  <c r="C21" i="15"/>
  <c r="C15" i="15"/>
  <c r="C19" i="15"/>
  <c r="C18" i="15"/>
  <c r="C11" i="15"/>
  <c r="C12" i="15"/>
  <c r="C3" i="15"/>
  <c r="C14" i="15"/>
  <c r="F8" i="12"/>
  <c r="F7" i="12"/>
  <c r="F6" i="12"/>
  <c r="F5" i="12"/>
  <c r="F4" i="12"/>
  <c r="E8" i="12"/>
  <c r="E7" i="12"/>
  <c r="E6" i="12"/>
  <c r="E5" i="12"/>
  <c r="E4" i="12"/>
  <c r="D8" i="12"/>
  <c r="D7" i="12"/>
  <c r="D6" i="12"/>
  <c r="D5" i="12"/>
  <c r="D4" i="12"/>
  <c r="C8" i="12"/>
  <c r="C7" i="12"/>
  <c r="C6" i="12"/>
  <c r="C5" i="12"/>
  <c r="C4" i="12"/>
  <c r="B8" i="12"/>
  <c r="B7" i="12"/>
  <c r="B6" i="12"/>
  <c r="B5" i="12"/>
  <c r="B4" i="12"/>
  <c r="F16" i="12"/>
  <c r="F15" i="12"/>
  <c r="F14" i="12"/>
  <c r="F13" i="12"/>
  <c r="F12" i="12"/>
  <c r="E16" i="12"/>
  <c r="E15" i="12"/>
  <c r="E14" i="12"/>
  <c r="E13" i="12"/>
  <c r="E12" i="12"/>
  <c r="D16" i="12"/>
  <c r="D15" i="12"/>
  <c r="D14" i="12"/>
  <c r="D13" i="12"/>
  <c r="D12" i="12"/>
  <c r="C16" i="12"/>
  <c r="C15" i="12"/>
  <c r="C14" i="12"/>
  <c r="C13" i="12"/>
  <c r="C12" i="12"/>
  <c r="B16" i="12"/>
  <c r="B15" i="12"/>
  <c r="B14" i="12"/>
  <c r="B13" i="12"/>
  <c r="B12" i="12"/>
  <c r="G8" i="11"/>
  <c r="G7" i="11"/>
  <c r="G6" i="11"/>
  <c r="G5" i="11"/>
  <c r="G4" i="11"/>
  <c r="H8" i="11"/>
  <c r="H7" i="11"/>
  <c r="H6" i="11"/>
  <c r="H5" i="11"/>
  <c r="H4" i="11"/>
  <c r="C3" i="8" l="1"/>
  <c r="C6" i="8"/>
  <c r="C5" i="8"/>
  <c r="C10" i="8"/>
  <c r="C4" i="8"/>
  <c r="C11" i="8"/>
  <c r="C9" i="8"/>
  <c r="C8" i="8"/>
  <c r="C7" i="8"/>
  <c r="G6" i="7"/>
  <c r="F6" i="7"/>
  <c r="E6" i="7"/>
  <c r="D6" i="7"/>
  <c r="C6" i="7"/>
  <c r="B6" i="7"/>
  <c r="F10" i="5" l="1"/>
  <c r="F9" i="5"/>
  <c r="F8" i="5"/>
  <c r="F7" i="5"/>
  <c r="F6" i="5"/>
  <c r="F5" i="5"/>
  <c r="F4" i="5"/>
  <c r="E10" i="5"/>
  <c r="E9" i="5"/>
  <c r="E8" i="5"/>
  <c r="E7" i="5"/>
  <c r="E6" i="5"/>
  <c r="E5" i="5"/>
  <c r="E4" i="5"/>
  <c r="D10" i="5"/>
  <c r="D9" i="5"/>
  <c r="D8" i="5"/>
  <c r="D7" i="5"/>
  <c r="D6" i="5"/>
  <c r="D5" i="5"/>
  <c r="D4" i="5"/>
  <c r="C10" i="5"/>
  <c r="C9" i="5"/>
  <c r="C8" i="5"/>
  <c r="C7" i="5"/>
  <c r="C6" i="5"/>
  <c r="C5" i="5"/>
  <c r="C4" i="5"/>
  <c r="B10" i="5"/>
  <c r="B9" i="5"/>
  <c r="B8" i="5"/>
  <c r="B7" i="5"/>
  <c r="B6" i="5"/>
  <c r="B5" i="5"/>
  <c r="B4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C10" i="2" l="1"/>
  <c r="C17" i="2"/>
  <c r="C8" i="2"/>
  <c r="C12" i="2"/>
  <c r="C5" i="2"/>
  <c r="C2" i="2"/>
  <c r="C7" i="2"/>
  <c r="C18" i="2"/>
  <c r="C9" i="2"/>
  <c r="C3" i="2"/>
  <c r="C6" i="2"/>
  <c r="C15" i="2"/>
  <c r="C13" i="2"/>
  <c r="C14" i="2"/>
  <c r="C11" i="2"/>
  <c r="C16" i="2"/>
  <c r="C4" i="2"/>
</calcChain>
</file>

<file path=xl/comments1.xml><?xml version="1.0" encoding="utf-8"?>
<comments xmlns="http://schemas.openxmlformats.org/spreadsheetml/2006/main">
  <authors>
    <author>Valdson Silva Cleto</author>
    <author>User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Os números em vermelho não bateram exatamente com os valores que estavam na tabela utiizada até 2015. Publicar com esses números novos.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Os nomes das variáveis na base de dados de 2008 não permitem identificar a qual faixa etária a variável de serviços de convivência se refere.
A relação entre variável e faixa etária que bate com os valores na tabela que estava sendo usada até 2015 é a seguinte:
0 a 6 anos: ServiçodeConvivênc_C
6 a 14 anos: ServiçodeConvivênc_B
15 a 17 anos: ServiçodeConvivênc_A
18 a 29 anos: ServiçodeConvivênc
Idosos: ServiçosdeConvivên
</t>
        </r>
      </text>
    </comment>
    <comment ref="A11" authorId="1" shapeId="0">
      <text>
        <r>
          <rPr>
            <b/>
            <sz val="9"/>
            <color indexed="81"/>
            <rFont val="Segoe UI"/>
            <family val="2"/>
          </rPr>
          <t>Valdson:</t>
        </r>
        <r>
          <rPr>
            <sz val="9"/>
            <color indexed="81"/>
            <rFont val="Segoe UI"/>
            <family val="2"/>
          </rPr>
          <t xml:space="preserve">
Foi sugerido fazer 2 gráficos: um com toda série histórica apenas para o SCFV e outro por faixa etária, apenas de 2014 a 2016 e unindo as colunas 18 a 29 e 30 a 59 anos. 
Decidi fazer o segundo gráfico apenas para 2015 e 2016, sem unir as colunas de 18 a 29 e 30 a 59, pois para unir as colunas teríamos que decidir entre duas opções imprecisas: contar apenas os CRAS que executam os serviços nas duas faixas, o que seria ruim por desconsiderar os que oferecem em apenas uma das duas faixas, ou então contar todos os que oferecem o serviço em qualquer uma das duas faixas, o que geraria uma informação incorreta, pois o percentual não representaria o atendimento em toda a faixa de 18 a 59 anos.</t>
        </r>
      </text>
    </comment>
    <comment ref="B33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Aparentemente esse é o percentual de serviço disponível na rede referenciada, sendo o percentual  de serviço executado diretamente igual a 85,0%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Valdson:</t>
        </r>
        <r>
          <rPr>
            <sz val="9"/>
            <color indexed="81"/>
            <rFont val="Segoe UI"/>
            <family val="2"/>
          </rPr>
          <t xml:space="preserve">
Foi sugerido fazer apenas com 2014 a 2016, apenas por faixa etária e unindo as colunas 18 a 29 e 30 a 59 anos. 
Não será necessário unir as colunas de 18 a 59 anos por que em 2014 tem informação das duas faixas de idade.</t>
        </r>
      </text>
    </comment>
  </commentList>
</comments>
</file>

<file path=xl/comments3.xml><?xml version="1.0" encoding="utf-8"?>
<comments xmlns="http://schemas.openxmlformats.org/spreadsheetml/2006/main">
  <authors>
    <author>Valdson Silva Cleto</author>
  </authors>
  <commentList>
    <comment ref="A11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Acho que está errado o cálculo "sobre o total de respondentes", porque o cálculo foi feito na verdade sobre o total de CRAS que concediam algum benefício, não sobre o total de respondentes. Os CRAS que não concediam nenhum benefício não respondem quais benefícios concederam, mas é como se respondessem não para cada um dos benefícios. Ele respondeu, não é um CRAS não respondente.
Obs: Estava errado em 2015, está certo como feito para 2016.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Fazer a série histórica</t>
        </r>
      </text>
    </comment>
  </commentList>
</comments>
</file>

<file path=xl/comments5.xml><?xml version="1.0" encoding="utf-8"?>
<comments xmlns="http://schemas.openxmlformats.org/spreadsheetml/2006/main">
  <authors>
    <author>Valdson Silva Cleto</author>
  </authors>
  <commentList>
    <comment ref="A10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No dicionário de variáveis, esse item está fora da ordem em que ele aparece no questionário, está no final da lista. Bom verificar se o dicionário está certo.</t>
        </r>
      </text>
    </comment>
  </commentList>
</comments>
</file>

<file path=xl/sharedStrings.xml><?xml version="1.0" encoding="utf-8"?>
<sst xmlns="http://schemas.openxmlformats.org/spreadsheetml/2006/main" count="488" uniqueCount="239">
  <si>
    <t>Acolhida em Grupo realizada por profissional de nível superior</t>
  </si>
  <si>
    <t>Acolhida Particularizada realizada por técnico de nível superior</t>
  </si>
  <si>
    <t>Acompanhamento de famílias</t>
  </si>
  <si>
    <t>Acompanhamento dos encaminhamentos realizados</t>
  </si>
  <si>
    <t>Atendimento particularizado de famílias ou indivíduos</t>
  </si>
  <si>
    <t>Registro do acompanhamento familiar em prontuário</t>
  </si>
  <si>
    <t>Elaboração do Plano de Acompanhamento Familiar</t>
  </si>
  <si>
    <t>Grupo/oficina com famílias</t>
  </si>
  <si>
    <t>Visitas Domiciliares</t>
  </si>
  <si>
    <t>Palestras</t>
  </si>
  <si>
    <t>Campanhas ou eventos comunitários</t>
  </si>
  <si>
    <t>Apoio para obtenção de Documentação pessoal</t>
  </si>
  <si>
    <t>Orientação/acompanhamento para inserção no BPC</t>
  </si>
  <si>
    <t>Encaminhamento de famílias ou indivíduos para a rede de serviço socioassistencial</t>
  </si>
  <si>
    <t>Encaminhamento de famílias ou indivíduos para outras políticas públicas (educação, habitação, trabalho, etc.)</t>
  </si>
  <si>
    <t>Encaminhamento para obtenção de Benefícios Eventuais</t>
  </si>
  <si>
    <t>Encaminhamento para inserção/atualização de famílias no Cadastro Único</t>
  </si>
  <si>
    <t>Total CRAS respondentes</t>
  </si>
  <si>
    <t>Ano/Serviço</t>
  </si>
  <si>
    <t>SCFV</t>
  </si>
  <si>
    <t>0 a 6 anos</t>
  </si>
  <si>
    <t>7 a 14 anos</t>
  </si>
  <si>
    <t>15 a 17 anos</t>
  </si>
  <si>
    <t>Idosos</t>
  </si>
  <si>
    <t>Total</t>
  </si>
  <si>
    <t>18 a 29 anos</t>
  </si>
  <si>
    <t>30 a 59 anos</t>
  </si>
  <si>
    <t>Tabela usada até 2015:</t>
  </si>
  <si>
    <t>Tabela corrigida e atualizada para 2016:</t>
  </si>
  <si>
    <t>Norte</t>
  </si>
  <si>
    <t>Nordeste</t>
  </si>
  <si>
    <t>Sudeste</t>
  </si>
  <si>
    <t>Sul</t>
  </si>
  <si>
    <t>Centro-Oeste</t>
  </si>
  <si>
    <t>Visitas domiciliares da equipe técnica da Unidade à família do usuário</t>
  </si>
  <si>
    <t>Reuniões com grupos de famílias dos usuários</t>
  </si>
  <si>
    <t>Oficinas</t>
  </si>
  <si>
    <t>Reforço Escolar</t>
  </si>
  <si>
    <t>Atividades recreativas</t>
  </si>
  <si>
    <t>Discussão de casos com outros profissionais da rede</t>
  </si>
  <si>
    <t>Atividades com participação da Comunidade</t>
  </si>
  <si>
    <t>Não realiza nenhuma das atividades</t>
  </si>
  <si>
    <t>Total Centros de Convivencia respondentes</t>
  </si>
  <si>
    <t>Auxílio Funeral</t>
  </si>
  <si>
    <t>Auxílio Natalidade</t>
  </si>
  <si>
    <t>Benefício/Ano</t>
  </si>
  <si>
    <t>Auxílios relacionados à segurança alimentar</t>
  </si>
  <si>
    <t>Passagens</t>
  </si>
  <si>
    <t>Outros</t>
  </si>
  <si>
    <t>Percentuais calculados sobre o total de respondentes. Os valores são mais próximos dos apresentados em 2014.Verificar aba de tratamento de dados.</t>
  </si>
  <si>
    <t>Total CREAS respondentes</t>
  </si>
  <si>
    <t>SITUAÇÕES</t>
  </si>
  <si>
    <t>Ciclo de vida do usuário em situação de violência/violação de direitos</t>
  </si>
  <si>
    <t>Crianças e Adolescentes</t>
  </si>
  <si>
    <t>Mulheres adultas</t>
  </si>
  <si>
    <t>Homens adultos</t>
  </si>
  <si>
    <t>Não atende este tipo de situação</t>
  </si>
  <si>
    <t>Violência física</t>
  </si>
  <si>
    <t>Violência psicológica</t>
  </si>
  <si>
    <t>Abuso sexual/ Violência Sexual</t>
  </si>
  <si>
    <t>Exploração sexual</t>
  </si>
  <si>
    <t>Negligência ou abandono</t>
  </si>
  <si>
    <t>Tráfico de pessoas</t>
  </si>
  <si>
    <t>Trabalho infantil</t>
  </si>
  <si>
    <t>Situação de rua</t>
  </si>
  <si>
    <t>Discriminação em decorrência da orientação sexual</t>
  </si>
  <si>
    <t>Discriminação em decorrência da raça/etnia</t>
  </si>
  <si>
    <t>Pessoas com deficiência vítimas de violência/violação de direitos</t>
  </si>
  <si>
    <t>Família/Indivíduos com pessoas em Serviços de Acolhimento</t>
  </si>
  <si>
    <t>Famílias com adolescentes em Cumprimento de Medida Socioeducativa</t>
  </si>
  <si>
    <t>Famílias com pessoas adultas em privação de liberdade</t>
  </si>
  <si>
    <t>Famílias com pessoas egressas do sistema prisional</t>
  </si>
  <si>
    <t>Acompanhamento individual/familiar</t>
  </si>
  <si>
    <t>Registro do acompanhamento individual/familiar em prontuário</t>
  </si>
  <si>
    <t>Elaboração de relatórios técnicos sobre casos em acompanhamento</t>
  </si>
  <si>
    <t>Grupo/oficina com famílias ou indivíduos</t>
  </si>
  <si>
    <t>Orientação jurídico-social</t>
  </si>
  <si>
    <t>Visitas domiciliares</t>
  </si>
  <si>
    <t>Ações de mobilização e sensibilização para o enfrentamento das situações de violação de direitos</t>
  </si>
  <si>
    <t>Encaminhamento para o CRAS</t>
  </si>
  <si>
    <t>Encaminhamento para serviços da rede de saúde</t>
  </si>
  <si>
    <t>Encaminhamento para o Conselho Tutelar</t>
  </si>
  <si>
    <t>Encaminhamento para órgãos de defesa e responsabilização (Defensoria Pública, Promotoria, Ministério Público, etc.)</t>
  </si>
  <si>
    <t>Outros.</t>
  </si>
  <si>
    <t>    "Sim, com equipe exclusiva para Abordagem"</t>
  </si>
  <si>
    <t>    "Sim, sem equipe exclusiva para Abordagem"</t>
  </si>
  <si>
    <t>    "Não realiza com a equipe deste CREAS, mas no município existe Serviço de Abordagem referenciado a este CREAS"</t>
  </si>
  <si>
    <t>    "Não realiza nem possui Serviço de Abordagem referenciado a este CREAS"</t>
  </si>
  <si>
    <t>Brasil</t>
  </si>
  <si>
    <t>Percentuais</t>
  </si>
  <si>
    <t>abordagem</t>
  </si>
  <si>
    <t>Acolhida e escuta inicial</t>
  </si>
  <si>
    <t>Estudo social</t>
  </si>
  <si>
    <t>Orientação sobre acesso ao BPC e outros benefícios</t>
  </si>
  <si>
    <t>Orientação e apoio para obtenção de documentação pessoal</t>
  </si>
  <si>
    <t>Orientação para realização de cadastro no Cadúnico</t>
  </si>
  <si>
    <t>Elaboração de Plano de Acompanhamento Individual e/ou Familiar</t>
  </si>
  <si>
    <t>Oficinas e atividades coletivas de convívio e socialização</t>
  </si>
  <si>
    <t>Encaminhamento para a rede de serviços socioassistenciais</t>
  </si>
  <si>
    <t>Encaminhamento para os serviços da rede de saúde</t>
  </si>
  <si>
    <t>Total centros DIA respondentes</t>
  </si>
  <si>
    <t>Encaminhamento para política de educação</t>
  </si>
  <si>
    <t>Encaminhamento para serviços/Unidades das demais políticas públicas</t>
  </si>
  <si>
    <t>Encaminhamento para órgãos de defesa de direitos (Defensoria Pública, Ministério Público, Conselho Tutelar etc.)</t>
  </si>
  <si>
    <t>Acompanhamento dos usuários encaminhados para a rede</t>
  </si>
  <si>
    <t>Registro de informações em prontuário</t>
  </si>
  <si>
    <t>Elaboração de relatórios sobre casos em acompanhamento</t>
  </si>
  <si>
    <t>Atividades com a família do usuário</t>
  </si>
  <si>
    <t>Mobilização dos usuários para acesso ao serviço</t>
  </si>
  <si>
    <t>Apoio e orientação aos cuidadores familiares</t>
  </si>
  <si>
    <t>Orientação sobre tecnologias assistivas</t>
  </si>
  <si>
    <t>Orientação e apoio nos autocuidados</t>
  </si>
  <si>
    <t>Palestras e Oficinas envolvendo a comunidade</t>
  </si>
  <si>
    <t>Provimento de bens materiais</t>
  </si>
  <si>
    <t>Provisão de órteses e próteses</t>
  </si>
  <si>
    <t>Número de pessoas com deficiência e/ou dependência atendidas nas Unidades Centro DIA durante o mês de Agosto de 2016</t>
  </si>
  <si>
    <t>Crianças de 0 a 6 anos, com deficiência</t>
  </si>
  <si>
    <t>Crianças de 7 a 14 anos, com deficiência</t>
  </si>
  <si>
    <t>Adolescentes de 15 a 17 anos, com deficiência</t>
  </si>
  <si>
    <t>Adultos (18 a 59 anos) com deficiência</t>
  </si>
  <si>
    <t>Idosos (60 anos ou mais) com deficiência</t>
  </si>
  <si>
    <t>Idosos (60 anos ou mais) dependentes pela idade, sem deficiência</t>
  </si>
  <si>
    <t>Número de Unidades Centro DIA que atenderam pessoas com deficiência e/ou dependência durante o mês de Agosto de 2016</t>
  </si>
  <si>
    <t>Percentual de Unidades Centro DIA que atenderam pessoas com deficiência e/ou dependência durante o mês de Agosto de 2016</t>
  </si>
  <si>
    <t xml:space="preserve">Informaram o Total </t>
  </si>
  <si>
    <t>Não sabem o total</t>
  </si>
  <si>
    <t>Quantidade</t>
  </si>
  <si>
    <t>%</t>
  </si>
  <si>
    <t>Outras</t>
  </si>
  <si>
    <t>Avaliação para concessão de aluguel social</t>
  </si>
  <si>
    <t>Orientação sociojurídica</t>
  </si>
  <si>
    <t>Mobilização de família extensa ou ampliada</t>
  </si>
  <si>
    <t>Ações de mobilização e participação social</t>
  </si>
  <si>
    <t>Encaminhamento de famílias ou indivíduos para políticas de educação (jovens e adultos, etc.)</t>
  </si>
  <si>
    <t>Mobilização e fortalecimento do convívio e de redes sociais de apoio</t>
  </si>
  <si>
    <t>Encaminhamento para órgãos de defesa de direitos (Defensoria Pública, Poder Judiciário, Ministério Público, Conselho Tutelar, etc.)</t>
  </si>
  <si>
    <t>Encaminhamento de famílias ou indivíduos para demais políticas (trabalho, habitação, etc.)</t>
  </si>
  <si>
    <t>Estudo de Caso/Discussão de casos em equipe</t>
  </si>
  <si>
    <t>Registro das informações em prontuário</t>
  </si>
  <si>
    <t>Elaboração de relatórios técnicos sobre casos em atendimento</t>
  </si>
  <si>
    <t>Encaminhamento de usuários/dependentes de substâncias psicoativas para serviços da rede de saúde</t>
  </si>
  <si>
    <t>Encaminhamento para outros serviços da rede de saúde</t>
  </si>
  <si>
    <t>Apoio para obtenção de documentação pessoal</t>
  </si>
  <si>
    <t>Fonte: MDS, Censo SUAS 2015</t>
  </si>
  <si>
    <t>Total Centros POP respondentes</t>
  </si>
  <si>
    <t>Total unidades de acolhimento respondentes</t>
  </si>
  <si>
    <t>Atendimento psicossocial individualizado</t>
  </si>
  <si>
    <t>Atendimento psicossocial em grupos</t>
  </si>
  <si>
    <t>Atendimento psicossocial das famílias das pessoas acolhidas (orientação familiar)</t>
  </si>
  <si>
    <t>Palestras / oficinas</t>
  </si>
  <si>
    <t>Encaminhamento para retirada de documentos</t>
  </si>
  <si>
    <t>Passeios com usuários</t>
  </si>
  <si>
    <t>Promove contato e a participação da família na vida do usuário</t>
  </si>
  <si>
    <t>Promove atividades com participação da Comunidade</t>
  </si>
  <si>
    <t>Promove a participação das pessoas acolhidas em serviços, projetos ou atividades existentes na comunidade</t>
  </si>
  <si>
    <t>Acompanhamento escolar</t>
  </si>
  <si>
    <t>Organização e discussão das rotinas das Unidades com os acolhidos</t>
  </si>
  <si>
    <t>Não realiza nenhuma das atividades listadas</t>
  </si>
  <si>
    <t>Envio de relatório semestral para o Judiciário (exclusivo para acolhimento de criança/adolescente)</t>
  </si>
  <si>
    <t>18 a 59 anos</t>
  </si>
  <si>
    <t>Ano</t>
  </si>
  <si>
    <t>Percentual</t>
  </si>
  <si>
    <t>Número</t>
  </si>
  <si>
    <t>Número da pergunta no questionário CREAS</t>
  </si>
  <si>
    <t>Fonte: MDS, Censo SUAS.</t>
  </si>
  <si>
    <t>Gráfico X - Percentual de CRAS que executavam diretamente os Serviços de Convivência e Fortalecimento de Vínculos - Brasil, 2008 a 2017</t>
  </si>
  <si>
    <t>Gráfico X - Percentual de CRAS que executam diretamente os serviços de Convivência e Fortalecimento de Vínculos, segundo grandes regiões - Brasil, 2017</t>
  </si>
  <si>
    <t>Gráfico X - Percentual de Centros de Convivência que executaram diretamente os Serviços de Convivência e Fortalecimento de Vínculos, por público - Brasil, 2014 a 2017</t>
  </si>
  <si>
    <t>Gráfico X - Percentual de  Centros de Convivência que executam diretamente os serviços de Convivência e Fortalecimento de Vínculos, segundo grandes regiões - Brasil, 2017</t>
  </si>
  <si>
    <t>Gráfico X - Percentual de unidades de Centros de Convivência que promoveram sistematicamente atividades do Serviço de Convivência - Brasil, 2017</t>
  </si>
  <si>
    <t>Gráfico X - Percentual de CRAS que concederam benefícios eventuais, por tipo de benefício - Brasil, 2010 a 2017</t>
  </si>
  <si>
    <t>Gráfico X - Percentual de CRAS por concessão de benefícios, segundo tipo de benefício, segundo grandes regiões - Brasil, 2017</t>
  </si>
  <si>
    <t>Gráfico X - Percentual de unidades de CRAS que possuem equipe técnica adicional (além do número previsto pela NOB-RH/SUAS) específica para deslocamento visando o atendimento à população em territórios extensos e áreas isoladas, segundo grandes regiões - Brasil, 2012 a 2017</t>
  </si>
  <si>
    <t>Gráfico X - Percentual de CRAS que desenvolveram ações e atividades no âmbito do Serviço de Proteção e Atendimento Integral à Família (PAIF) - Brasil, 2017</t>
  </si>
  <si>
    <t>Gráfico X - Percentual de CREAS que desenvolveram ações e atividades no âmbito do Serviço de Proteção e Atendimento Especializado a Família e Individuos (PAEIF) - Brasil, 2017</t>
  </si>
  <si>
    <t>Gráfico X - Número de CREAS que oferecem atendimento pelo PAEFI, por situações e ciclos de vida do usuário em situação de violência/violação de direitos - Brasil, 2017</t>
  </si>
  <si>
    <t>Tabela X - Quantidade de CREAS que realizam o Serviço Especializado em Abordagem Social segundo as grandes regiões – Brasil, 2017</t>
  </si>
  <si>
    <t>Gráfico X - Número e percentual de CREAS que realizam o Serviço de Proteção Social a Adolescentes em Cumprimento de Medida Socioeducativa de Liberdade Assistida (LA) e de Prestação de Serviços à Comunidade (PSC) - Brasil, 2010 a 1017</t>
  </si>
  <si>
    <t>Gráfico X - Percentual de Centros DIA por ações e atividades desenvolvidas no âmbito do “Serviço de Proteção Social Especial para Pessoas com Deficiência e Pessoas Idosas e suas famílias” - Brasil, 2017</t>
  </si>
  <si>
    <t>Gráfico X - Número de pessoas com deficiência e/ou dependência atendidas nas Unidades Centro DIA durante o mês de agosto de 2016, por faixa etária e situação de deficiência ou dependência - Brasil,  2016 e 2017</t>
  </si>
  <si>
    <t>Gráfico X - Percentual dos Centros POP segundo atividades realizadas - Brasil, 2017</t>
  </si>
  <si>
    <t>Gráfico X - Percentual de Unidades de Acolhimento que promovem sistematicamente cada tipo de atividade - Brasil, 2017</t>
  </si>
  <si>
    <t>Gráfico X - Percentual de Familias Acolhedoras que promovem sistematicamente cada tipo de atividade - Brasil, 2017</t>
  </si>
  <si>
    <t>Pequeno I</t>
  </si>
  <si>
    <t>Pequeno II</t>
  </si>
  <si>
    <t>Médio</t>
  </si>
  <si>
    <t>Grande</t>
  </si>
  <si>
    <t>Metrópole</t>
  </si>
  <si>
    <t>q.25.1</t>
  </si>
  <si>
    <t>Atividades de mobilização, tais como anúncios, panfletos, entre outros</t>
  </si>
  <si>
    <t>q.25.2</t>
  </si>
  <si>
    <t>Palestras/oficinas</t>
  </si>
  <si>
    <t>q.25.3</t>
  </si>
  <si>
    <t>Seleção e Preparação das famílias candidatas</t>
  </si>
  <si>
    <t>q.25.4</t>
  </si>
  <si>
    <t>Capacitação das famílias</t>
  </si>
  <si>
    <t>q.25.5</t>
  </si>
  <si>
    <t>Identificação da família extensa ou ampliada</t>
  </si>
  <si>
    <t>q.25.6</t>
  </si>
  <si>
    <t>Estudo diagnóstico das crianças/adolescentes para inclusão no serviço</t>
  </si>
  <si>
    <t>q.25.7</t>
  </si>
  <si>
    <t>q.25.8</t>
  </si>
  <si>
    <t>Preparação da criança/adolescente para entrada no serviço</t>
  </si>
  <si>
    <t>q.25.9</t>
  </si>
  <si>
    <t>Aproximação supervisionada entre a criança/adolescente e família acolhedora</t>
  </si>
  <si>
    <t>q.25.10</t>
  </si>
  <si>
    <t>Atendimento psicossocial individualizado da criança/adolescente</t>
  </si>
  <si>
    <t>q.25.11</t>
  </si>
  <si>
    <t>q.25.12</t>
  </si>
  <si>
    <t>Acompanhamento na saúde</t>
  </si>
  <si>
    <t>q.25.13</t>
  </si>
  <si>
    <t>Viabilização de encontro com a família de origem quando autorizado</t>
  </si>
  <si>
    <t>q.25.14</t>
  </si>
  <si>
    <t>Construção de um plano de acompanhamento da família acolhedora</t>
  </si>
  <si>
    <t>q.25.15</t>
  </si>
  <si>
    <t>Atendimento psicossocial individualizado da família acolhedora</t>
  </si>
  <si>
    <t>q.25.16</t>
  </si>
  <si>
    <t>Reuniões em grupo com as famílias acolhedoras</t>
  </si>
  <si>
    <t>q.25.17</t>
  </si>
  <si>
    <t>Construção de um plano de acompanhamento da família de origem</t>
  </si>
  <si>
    <t>q.25.18</t>
  </si>
  <si>
    <t>Atendimento psicossocial individualizado da família de origem</t>
  </si>
  <si>
    <t>q.25.19</t>
  </si>
  <si>
    <t>Reuniões em grupo com as famílias de origem</t>
  </si>
  <si>
    <t>q.25.20</t>
  </si>
  <si>
    <t>q.25.21</t>
  </si>
  <si>
    <t>Elaboração de relatórios técnicos</t>
  </si>
  <si>
    <t>q.25.22</t>
  </si>
  <si>
    <t>Envio de relatório semestral para o Judiciário</t>
  </si>
  <si>
    <t>q.25.23</t>
  </si>
  <si>
    <t>Estudo de caso pela equipe do serviço</t>
  </si>
  <si>
    <t>q.25.24</t>
  </si>
  <si>
    <t>Encaminhamento para a rede (socioassistencial ou setorial)</t>
  </si>
  <si>
    <t>q.25.25</t>
  </si>
  <si>
    <t>q.25.0</t>
  </si>
  <si>
    <t>Não realiza nenhuma das atividades acima</t>
  </si>
  <si>
    <t>Não possui família acolhedora</t>
  </si>
  <si>
    <t>Possui familia acolhedora</t>
  </si>
  <si>
    <t>Gráfico 2: Número de municípios que possuem Familias Acolhedoras segundo porte - Brasil,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</si>
</sst>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FFFFCC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0" fontId="16" fillId="0" borderId="0"/>
    <xf numFmtId="0" fontId="16" fillId="0" borderId="0"/>
    <xf numFmtId="0" fontId="16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64" fontId="0" fillId="0" borderId="1" xfId="0" applyNumberFormat="1" applyFill="1" applyBorder="1"/>
    <xf numFmtId="164" fontId="6" fillId="0" borderId="1" xfId="1" applyNumberFormat="1" applyFont="1" applyBorder="1"/>
    <xf numFmtId="164" fontId="3" fillId="0" borderId="1" xfId="0" applyNumberFormat="1" applyFont="1" applyFill="1" applyBorder="1"/>
    <xf numFmtId="164" fontId="6" fillId="0" borderId="1" xfId="0" applyNumberFormat="1" applyFont="1" applyFill="1" applyBorder="1"/>
    <xf numFmtId="0" fontId="4" fillId="2" borderId="4" xfId="0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 vertical="center" wrapText="1"/>
    </xf>
    <xf numFmtId="0" fontId="9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0" borderId="0" xfId="1" applyNumberFormat="1" applyFont="1" applyFill="1" applyBorder="1"/>
    <xf numFmtId="0" fontId="9" fillId="0" borderId="0" xfId="0" applyFon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10" fillId="0" borderId="0" xfId="3"/>
    <xf numFmtId="0" fontId="12" fillId="3" borderId="1" xfId="3" applyFont="1" applyFill="1" applyBorder="1"/>
    <xf numFmtId="164" fontId="10" fillId="0" borderId="1" xfId="3" applyNumberFormat="1" applyBorder="1"/>
    <xf numFmtId="0" fontId="13" fillId="0" borderId="0" xfId="3" applyFont="1" applyBorder="1" applyAlignment="1">
      <alignment vertical="center" wrapText="1"/>
    </xf>
    <xf numFmtId="0" fontId="13" fillId="0" borderId="0" xfId="3" applyFont="1" applyAlignment="1"/>
    <xf numFmtId="0" fontId="15" fillId="0" borderId="0" xfId="3" applyFont="1"/>
    <xf numFmtId="0" fontId="15" fillId="0" borderId="0" xfId="3" applyFont="1" applyAlignment="1">
      <alignment horizontal="center"/>
    </xf>
    <xf numFmtId="0" fontId="15" fillId="0" borderId="1" xfId="3" applyFont="1" applyBorder="1"/>
    <xf numFmtId="0" fontId="14" fillId="0" borderId="1" xfId="3" applyFont="1" applyBorder="1"/>
    <xf numFmtId="164" fontId="15" fillId="0" borderId="1" xfId="3" applyNumberFormat="1" applyFont="1" applyBorder="1"/>
    <xf numFmtId="0" fontId="15" fillId="0" borderId="0" xfId="3" applyFont="1" applyFill="1" applyAlignment="1">
      <alignment vertical="center" wrapText="1"/>
    </xf>
    <xf numFmtId="0" fontId="14" fillId="0" borderId="0" xfId="3" applyFont="1" applyBorder="1"/>
    <xf numFmtId="1" fontId="15" fillId="0" borderId="0" xfId="3" applyNumberFormat="1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 wrapText="1"/>
    </xf>
    <xf numFmtId="164" fontId="0" fillId="0" borderId="0" xfId="1" applyNumberFormat="1" applyFont="1" applyFill="1" applyBorder="1" applyAlignment="1">
      <alignment horizontal="center" vertical="center" textRotation="90" wrapText="1"/>
    </xf>
    <xf numFmtId="0" fontId="17" fillId="0" borderId="0" xfId="4" applyFont="1" applyBorder="1" applyAlignment="1"/>
    <xf numFmtId="0" fontId="17" fillId="0" borderId="0" xfId="4" applyFont="1" applyBorder="1" applyAlignment="1">
      <alignment horizontal="center" vertical="center"/>
    </xf>
    <xf numFmtId="0" fontId="17" fillId="0" borderId="0" xfId="4" applyFont="1" applyAlignment="1"/>
    <xf numFmtId="0" fontId="19" fillId="4" borderId="5" xfId="4" applyFont="1" applyFill="1" applyBorder="1" applyAlignment="1">
      <alignment horizontal="center" vertical="center" wrapText="1"/>
    </xf>
    <xf numFmtId="0" fontId="19" fillId="4" borderId="6" xfId="4" applyFont="1" applyFill="1" applyBorder="1" applyAlignment="1">
      <alignment horizontal="center" vertical="center" wrapText="1"/>
    </xf>
    <xf numFmtId="0" fontId="19" fillId="4" borderId="7" xfId="4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18" fillId="0" borderId="4" xfId="4" applyFont="1" applyBorder="1" applyAlignment="1">
      <alignment horizontal="left" vertical="top" wrapText="1"/>
    </xf>
    <xf numFmtId="1" fontId="20" fillId="0" borderId="0" xfId="5" applyNumberFormat="1" applyFont="1" applyFill="1" applyBorder="1" applyAlignment="1">
      <alignment horizontal="center" vertical="center"/>
    </xf>
    <xf numFmtId="1" fontId="20" fillId="0" borderId="8" xfId="5" applyNumberFormat="1" applyFont="1" applyFill="1" applyBorder="1" applyAlignment="1">
      <alignment horizontal="center" vertical="center"/>
    </xf>
    <xf numFmtId="1" fontId="17" fillId="0" borderId="0" xfId="4" applyNumberFormat="1" applyFont="1" applyFill="1" applyAlignment="1"/>
    <xf numFmtId="0" fontId="18" fillId="5" borderId="4" xfId="4" applyFont="1" applyFill="1" applyBorder="1" applyAlignment="1">
      <alignment horizontal="left" vertical="top" wrapText="1"/>
    </xf>
    <xf numFmtId="1" fontId="20" fillId="6" borderId="0" xfId="5" applyNumberFormat="1" applyFont="1" applyFill="1" applyBorder="1" applyAlignment="1">
      <alignment horizontal="center" vertical="center"/>
    </xf>
    <xf numFmtId="1" fontId="20" fillId="6" borderId="8" xfId="5" applyNumberFormat="1" applyFont="1" applyFill="1" applyBorder="1" applyAlignment="1">
      <alignment horizontal="center" vertical="center"/>
    </xf>
    <xf numFmtId="0" fontId="18" fillId="5" borderId="9" xfId="4" applyFont="1" applyFill="1" applyBorder="1" applyAlignment="1">
      <alignment horizontal="left" vertical="top" wrapText="1"/>
    </xf>
    <xf numFmtId="3" fontId="20" fillId="5" borderId="10" xfId="6" applyNumberFormat="1" applyFont="1" applyFill="1" applyBorder="1" applyAlignment="1">
      <alignment horizontal="center" vertical="center"/>
    </xf>
    <xf numFmtId="3" fontId="20" fillId="5" borderId="11" xfId="6" applyNumberFormat="1" applyFont="1" applyFill="1" applyBorder="1" applyAlignment="1">
      <alignment horizontal="center" vertical="center"/>
    </xf>
    <xf numFmtId="0" fontId="17" fillId="0" borderId="0" xfId="4" applyFont="1" applyAlignment="1">
      <alignment horizontal="left" vertical="top"/>
    </xf>
    <xf numFmtId="3" fontId="0" fillId="0" borderId="0" xfId="0" applyNumberFormat="1" applyAlignment="1">
      <alignment horizontal="center" vertical="center" wrapText="1"/>
    </xf>
    <xf numFmtId="0" fontId="17" fillId="0" borderId="0" xfId="4" applyFont="1" applyAlignment="1">
      <alignment vertical="center" wrapText="1"/>
    </xf>
    <xf numFmtId="0" fontId="6" fillId="0" borderId="0" xfId="0" applyFont="1"/>
    <xf numFmtId="0" fontId="5" fillId="0" borderId="0" xfId="4" applyFont="1" applyBorder="1" applyAlignment="1">
      <alignment horizontal="center"/>
    </xf>
    <xf numFmtId="164" fontId="17" fillId="0" borderId="0" xfId="1" applyNumberFormat="1" applyFont="1" applyAlignment="1">
      <alignment vertical="center" wrapText="1"/>
    </xf>
    <xf numFmtId="0" fontId="18" fillId="0" borderId="0" xfId="4" applyFont="1" applyFill="1" applyBorder="1" applyAlignment="1">
      <alignment horizontal="left" vertical="top" wrapText="1"/>
    </xf>
    <xf numFmtId="3" fontId="20" fillId="0" borderId="0" xfId="6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Border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164" fontId="0" fillId="0" borderId="2" xfId="0" applyNumberFormat="1" applyFill="1" applyBorder="1" applyAlignment="1"/>
    <xf numFmtId="164" fontId="0" fillId="0" borderId="3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Alignment="1"/>
    <xf numFmtId="164" fontId="0" fillId="0" borderId="0" xfId="1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left"/>
    </xf>
    <xf numFmtId="0" fontId="14" fillId="0" borderId="1" xfId="3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0" fontId="1" fillId="0" borderId="1" xfId="0" applyFont="1" applyFill="1" applyBorder="1" applyAlignment="1"/>
    <xf numFmtId="1" fontId="15" fillId="0" borderId="1" xfId="1" applyNumberFormat="1" applyFont="1" applyBorder="1" applyAlignment="1">
      <alignment horizontal="center"/>
    </xf>
    <xf numFmtId="1" fontId="0" fillId="0" borderId="0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2" fillId="0" borderId="1" xfId="0" applyFont="1" applyBorder="1"/>
    <xf numFmtId="164" fontId="3" fillId="0" borderId="1" xfId="1" applyNumberFormat="1" applyFont="1" applyBorder="1"/>
    <xf numFmtId="0" fontId="22" fillId="0" borderId="1" xfId="0" applyFont="1" applyFill="1" applyBorder="1"/>
    <xf numFmtId="0" fontId="22" fillId="0" borderId="0" xfId="0" applyFont="1" applyFill="1" applyBorder="1"/>
    <xf numFmtId="0" fontId="3" fillId="0" borderId="0" xfId="1" applyNumberFormat="1" applyFont="1" applyFill="1" applyBorder="1"/>
    <xf numFmtId="0" fontId="3" fillId="0" borderId="0" xfId="0" applyFont="1"/>
    <xf numFmtId="164" fontId="3" fillId="0" borderId="0" xfId="1" applyNumberFormat="1" applyFont="1"/>
    <xf numFmtId="0" fontId="0" fillId="0" borderId="0" xfId="0" applyFont="1"/>
    <xf numFmtId="0" fontId="23" fillId="0" borderId="1" xfId="0" applyFont="1" applyFill="1" applyBorder="1" applyAlignment="1">
      <alignment horizontal="left" vertical="center" wrapText="1" readingOrder="1"/>
    </xf>
    <xf numFmtId="0" fontId="24" fillId="0" borderId="1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25" fillId="0" borderId="0" xfId="0" applyFont="1"/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3" fontId="3" fillId="0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11" fillId="0" borderId="0" xfId="3" applyFont="1" applyBorder="1" applyAlignment="1">
      <alignment horizontal="left" vertical="center" wrapText="1"/>
    </xf>
    <xf numFmtId="0" fontId="13" fillId="0" borderId="0" xfId="3" applyFont="1" applyBorder="1" applyAlignment="1">
      <alignment horizontal="center" vertical="center" wrapText="1"/>
    </xf>
    <xf numFmtId="0" fontId="14" fillId="0" borderId="0" xfId="3" applyFont="1" applyBorder="1" applyAlignment="1">
      <alignment horizontal="left"/>
    </xf>
    <xf numFmtId="0" fontId="15" fillId="0" borderId="0" xfId="3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4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NumberFormat="1"/>
    <xf numFmtId="0" fontId="6" fillId="0" borderId="1" xfId="0" applyFont="1" applyFill="1" applyBorder="1" applyAlignment="1">
      <alignment horizontal="left" vertical="center" wrapText="1" readingOrder="1"/>
    </xf>
    <xf numFmtId="0" fontId="6" fillId="0" borderId="1" xfId="0" applyFont="1" applyFill="1" applyBorder="1" applyAlignment="1">
      <alignment horizontal="center" vertical="center" wrapText="1" readingOrder="1"/>
    </xf>
    <xf numFmtId="3" fontId="6" fillId="0" borderId="1" xfId="0" applyNumberFormat="1" applyFont="1" applyFill="1" applyBorder="1" applyAlignment="1">
      <alignment horizontal="center" vertical="center" wrapText="1" readingOrder="1"/>
    </xf>
  </cellXfs>
  <cellStyles count="7">
    <cellStyle name="Normal" xfId="0" builtinId="0"/>
    <cellStyle name="Normal 2 2" xfId="4"/>
    <cellStyle name="Normal 2 2 2" xfId="6"/>
    <cellStyle name="Normal 4" xfId="3"/>
    <cellStyle name="Normal 5" xfId="2"/>
    <cellStyle name="Normal_Plan9" xfId="5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Gráfico X - Percentual de CRAS que desenvolveram ações e atividades no âmbito do Serviço de Proteção e Atendimento Integral à Família (PAIF) - Brasil,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'1'!$A$2:$A$18</c:f>
              <c:strCache>
                <c:ptCount val="17"/>
                <c:pt idx="0">
                  <c:v>Elaboração do Plano de Acompanhamento Familiar</c:v>
                </c:pt>
                <c:pt idx="1">
                  <c:v>Campanhas ou eventos comunitários</c:v>
                </c:pt>
                <c:pt idx="2">
                  <c:v>Acolhida em Grupo realizada por profissional de nível superior</c:v>
                </c:pt>
                <c:pt idx="3">
                  <c:v>Registro do acompanhamento familiar em prontuário</c:v>
                </c:pt>
                <c:pt idx="4">
                  <c:v>Apoio para obtenção de Documentação pessoal</c:v>
                </c:pt>
                <c:pt idx="5">
                  <c:v>Grupo/oficina com famílias</c:v>
                </c:pt>
                <c:pt idx="6">
                  <c:v>Acompanhamento dos encaminhamentos realizados</c:v>
                </c:pt>
                <c:pt idx="7">
                  <c:v>Palestras</c:v>
                </c:pt>
                <c:pt idx="8">
                  <c:v>Acolhida Particularizada realizada por técnico de nível superior</c:v>
                </c:pt>
                <c:pt idx="9">
                  <c:v>Encaminhamento para obtenção de Benefícios Eventuais</c:v>
                </c:pt>
                <c:pt idx="10">
                  <c:v>Atendimento particularizado de famílias ou indivíduos</c:v>
                </c:pt>
                <c:pt idx="11">
                  <c:v>Encaminhamento de famílias ou indivíduos para a rede de serviço socioassistencial</c:v>
                </c:pt>
                <c:pt idx="12">
                  <c:v>Encaminhamento de famílias ou indivíduos para outras políticas públicas (educação, habitação, trabalho, etc.)</c:v>
                </c:pt>
                <c:pt idx="13">
                  <c:v>Orientação/acompanhamento para inserção no BPC</c:v>
                </c:pt>
                <c:pt idx="14">
                  <c:v>Encaminhamento para inserção/atualização de famílias no Cadastro Único</c:v>
                </c:pt>
                <c:pt idx="15">
                  <c:v>Acompanhamento de famílias</c:v>
                </c:pt>
                <c:pt idx="16">
                  <c:v>Visitas Domiciliares</c:v>
                </c:pt>
              </c:strCache>
            </c:strRef>
          </c:cat>
          <c:val>
            <c:numRef>
              <c:f>'1'!$C$2:$C$18</c:f>
              <c:numCache>
                <c:formatCode>0.0%</c:formatCode>
                <c:ptCount val="17"/>
                <c:pt idx="0">
                  <c:v>0.68604368932038839</c:v>
                </c:pt>
                <c:pt idx="1">
                  <c:v>0.85558252427184467</c:v>
                </c:pt>
                <c:pt idx="2">
                  <c:v>0.87075242718446599</c:v>
                </c:pt>
                <c:pt idx="3">
                  <c:v>0.91419902912621365</c:v>
                </c:pt>
                <c:pt idx="4">
                  <c:v>0.91444174757281549</c:v>
                </c:pt>
                <c:pt idx="5">
                  <c:v>0.92949029126213589</c:v>
                </c:pt>
                <c:pt idx="6">
                  <c:v>0.94016990291262137</c:v>
                </c:pt>
                <c:pt idx="7">
                  <c:v>0.94320388349514561</c:v>
                </c:pt>
                <c:pt idx="8">
                  <c:v>0.95230582524271845</c:v>
                </c:pt>
                <c:pt idx="9">
                  <c:v>0.95509708737864074</c:v>
                </c:pt>
                <c:pt idx="10">
                  <c:v>0.966626213592233</c:v>
                </c:pt>
                <c:pt idx="11">
                  <c:v>0.97536407766990296</c:v>
                </c:pt>
                <c:pt idx="12">
                  <c:v>0.9779126213592233</c:v>
                </c:pt>
                <c:pt idx="13">
                  <c:v>0.98082524271844662</c:v>
                </c:pt>
                <c:pt idx="14">
                  <c:v>0.98422330097087374</c:v>
                </c:pt>
                <c:pt idx="15">
                  <c:v>0.99053398058252429</c:v>
                </c:pt>
                <c:pt idx="16">
                  <c:v>0.9939320388349514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EC-4957-AB36-8C6F260B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259408"/>
        <c:axId val="201259968"/>
      </c:barChart>
      <c:catAx>
        <c:axId val="20125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59968"/>
        <c:crosses val="autoZero"/>
        <c:auto val="1"/>
        <c:lblAlgn val="ctr"/>
        <c:lblOffset val="100"/>
        <c:noMultiLvlLbl val="0"/>
      </c:catAx>
      <c:valAx>
        <c:axId val="201259968"/>
        <c:scaling>
          <c:orientation val="minMax"/>
          <c:max val="1"/>
        </c:scaling>
        <c:delete val="1"/>
        <c:axPos val="b"/>
        <c:numFmt formatCode="0%" sourceLinked="0"/>
        <c:majorTickMark val="none"/>
        <c:minorTickMark val="none"/>
        <c:tickLblPos val="nextTo"/>
        <c:crossAx val="2012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'10'!$B$5:$G$5</c:f>
              <c:numCache>
                <c:formatCode>0.0%</c:formatCode>
                <c:ptCount val="6"/>
                <c:pt idx="0">
                  <c:v>0.10296684118673648</c:v>
                </c:pt>
                <c:pt idx="1">
                  <c:v>5.2373158756137482E-2</c:v>
                </c:pt>
                <c:pt idx="2">
                  <c:v>5.4339010543390104E-2</c:v>
                </c:pt>
                <c:pt idx="3">
                  <c:v>4.519368723098996E-2</c:v>
                </c:pt>
                <c:pt idx="4">
                  <c:v>5.6856187290969896E-2</c:v>
                </c:pt>
                <c:pt idx="5">
                  <c:v>5.5919732441471574E-2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79-4DF5-B24E-1F383EBCA830}"/>
            </c:ext>
          </c:extLst>
        </c:ser>
        <c:ser>
          <c:idx val="1"/>
          <c:order val="1"/>
          <c:tx>
            <c:strRef>
              <c:f>'10'!$A$6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'10'!$B$6:$G$6</c:f>
              <c:numCache>
                <c:formatCode>0.0%</c:formatCode>
                <c:ptCount val="6"/>
                <c:pt idx="0">
                  <c:v>0.3082077051926298</c:v>
                </c:pt>
                <c:pt idx="1">
                  <c:v>0.20263262863980855</c:v>
                </c:pt>
                <c:pt idx="2">
                  <c:v>0.11990686845168801</c:v>
                </c:pt>
                <c:pt idx="3">
                  <c:v>8.5180055401662055E-2</c:v>
                </c:pt>
                <c:pt idx="4">
                  <c:v>0.27333333333333332</c:v>
                </c:pt>
                <c:pt idx="5">
                  <c:v>0.16673139158576053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79-4DF5-B24E-1F383EBCA830}"/>
            </c:ext>
          </c:extLst>
        </c:ser>
        <c:ser>
          <c:idx val="2"/>
          <c:order val="2"/>
          <c:tx>
            <c:strRef>
              <c:f>'10'!$A$7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'10'!$B$7:$G$7</c:f>
              <c:numCache>
                <c:formatCode>0.0%</c:formatCode>
                <c:ptCount val="6"/>
                <c:pt idx="0">
                  <c:v>0.31107491856677527</c:v>
                </c:pt>
                <c:pt idx="1">
                  <c:v>0.21079389910050841</c:v>
                </c:pt>
                <c:pt idx="2">
                  <c:v>0.10442678774120318</c:v>
                </c:pt>
                <c:pt idx="3">
                  <c:v>8.5675119945167924E-2</c:v>
                </c:pt>
                <c:pt idx="4">
                  <c:v>0.29016393442622951</c:v>
                </c:pt>
                <c:pt idx="5">
                  <c:v>0.16592667766078903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79-4DF5-B24E-1F383EBCA830}"/>
            </c:ext>
          </c:extLst>
        </c:ser>
        <c:ser>
          <c:idx val="3"/>
          <c:order val="3"/>
          <c:tx>
            <c:strRef>
              <c:f>'10'!$A$8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'10'!$B$8:$G$8</c:f>
              <c:numCache>
                <c:formatCode>0.0%</c:formatCode>
                <c:ptCount val="6"/>
                <c:pt idx="0">
                  <c:v>0.35876623376623379</c:v>
                </c:pt>
                <c:pt idx="1">
                  <c:v>0.21562619685944082</c:v>
                </c:pt>
                <c:pt idx="2">
                  <c:v>0.10596745027124774</c:v>
                </c:pt>
                <c:pt idx="3">
                  <c:v>8.0808080808080815E-2</c:v>
                </c:pt>
                <c:pt idx="4">
                  <c:v>0.30605564648117839</c:v>
                </c:pt>
                <c:pt idx="5">
                  <c:v>0.17111770524233433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79-4DF5-B24E-1F383EBCA830}"/>
            </c:ext>
          </c:extLst>
        </c:ser>
        <c:ser>
          <c:idx val="4"/>
          <c:order val="4"/>
          <c:tx>
            <c:strRef>
              <c:f>'10'!$A$9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'10'!$B$9:$G$9</c:f>
              <c:numCache>
                <c:formatCode>0.0%</c:formatCode>
                <c:ptCount val="6"/>
                <c:pt idx="0">
                  <c:v>0.36952998379254459</c:v>
                </c:pt>
                <c:pt idx="1">
                  <c:v>0.20305927342256214</c:v>
                </c:pt>
                <c:pt idx="2">
                  <c:v>0.10445632798573976</c:v>
                </c:pt>
                <c:pt idx="3">
                  <c:v>6.933333333333333E-2</c:v>
                </c:pt>
                <c:pt idx="4">
                  <c:v>0.29449838187702265</c:v>
                </c:pt>
                <c:pt idx="5">
                  <c:v>0.16407112201103619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79-4DF5-B24E-1F383EBCA830}"/>
            </c:ext>
          </c:extLst>
        </c:ser>
        <c:ser>
          <c:idx val="5"/>
          <c:order val="5"/>
          <c:tx>
            <c:strRef>
              <c:f>'10'!$A$10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'10'!$B$10:$G$10</c:f>
              <c:numCache>
                <c:formatCode>0.0%</c:formatCode>
                <c:ptCount val="6"/>
                <c:pt idx="0">
                  <c:v>0.35209003215434082</c:v>
                </c:pt>
                <c:pt idx="1">
                  <c:v>0.19901626939084374</c:v>
                </c:pt>
                <c:pt idx="2">
                  <c:v>8.9405139035550862E-2</c:v>
                </c:pt>
                <c:pt idx="3">
                  <c:v>6.0646011865524062E-2</c:v>
                </c:pt>
                <c:pt idx="4">
                  <c:v>0.28363047001620745</c:v>
                </c:pt>
                <c:pt idx="5">
                  <c:v>0.15364077669902912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79-4DF5-B24E-1F383EBCA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286608"/>
        <c:axId val="239287168"/>
      </c:barChart>
      <c:catAx>
        <c:axId val="2392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87168"/>
        <c:crosses val="autoZero"/>
        <c:auto val="1"/>
        <c:lblAlgn val="ctr"/>
        <c:lblOffset val="100"/>
        <c:noMultiLvlLbl val="0"/>
      </c:catAx>
      <c:valAx>
        <c:axId val="239287168"/>
        <c:scaling>
          <c:orientation val="minMax"/>
          <c:max val="0.45"/>
        </c:scaling>
        <c:delete val="1"/>
        <c:axPos val="l"/>
        <c:numFmt formatCode="0.0%" sourceLinked="1"/>
        <c:majorTickMark val="out"/>
        <c:minorTickMark val="none"/>
        <c:tickLblPos val="nextTo"/>
        <c:crossAx val="2392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'12'!$A$3:$A$24</c:f>
              <c:strCache>
                <c:ptCount val="22"/>
                <c:pt idx="0">
                  <c:v>Outros.</c:v>
                </c:pt>
                <c:pt idx="1">
                  <c:v>Grupo/oficina com famílias ou indivíduos</c:v>
                </c:pt>
                <c:pt idx="2">
                  <c:v>Orientação jurídico-social</c:v>
                </c:pt>
                <c:pt idx="3">
                  <c:v>Elaboração do Plano de Acompanhamento Familiar</c:v>
                </c:pt>
                <c:pt idx="4">
                  <c:v>Orientação/acompanhamento para inserção no BPC</c:v>
                </c:pt>
                <c:pt idx="5">
                  <c:v>Apoio para obtenção de Documentação pessoal</c:v>
                </c:pt>
                <c:pt idx="6">
                  <c:v>Palestras</c:v>
                </c:pt>
                <c:pt idx="7">
                  <c:v>Ações de mobilização e sensibilização para o enfrentamento das situações de violação de direitos</c:v>
                </c:pt>
                <c:pt idx="8">
                  <c:v>Encaminhamento para obtenção de Benefícios Eventuais</c:v>
                </c:pt>
                <c:pt idx="9">
                  <c:v>Encaminhamento para inserção/atualização de famílias no Cadastro Único</c:v>
                </c:pt>
                <c:pt idx="10">
                  <c:v>Registro do acompanhamento individual/familiar em prontuário</c:v>
                </c:pt>
                <c:pt idx="11">
                  <c:v>Acolhida Particularizada realizada por técnico de nível superior</c:v>
                </c:pt>
                <c:pt idx="12">
                  <c:v>Encaminhamento de famílias ou indivíduos para outras políticas públicas (educação, habitação, trabalho, etc.)</c:v>
                </c:pt>
                <c:pt idx="13">
                  <c:v>Acompanhamento dos encaminhamentos realizados</c:v>
                </c:pt>
                <c:pt idx="14">
                  <c:v>Elaboração de relatórios técnicos sobre casos em acompanhamento</c:v>
                </c:pt>
                <c:pt idx="15">
                  <c:v>Encaminhamento para órgãos de defesa e responsabilização (Defensoria Pública, Promotoria, Ministério Público, etc.)</c:v>
                </c:pt>
                <c:pt idx="16">
                  <c:v>Encaminhamento para o Conselho Tutelar</c:v>
                </c:pt>
                <c:pt idx="17">
                  <c:v>Encaminhamento de famílias ou indivíduos para a rede de serviço socioassistencial</c:v>
                </c:pt>
                <c:pt idx="18">
                  <c:v>Encaminhamento para serviços da rede de saúde</c:v>
                </c:pt>
                <c:pt idx="19">
                  <c:v>Encaminhamento para o CRAS</c:v>
                </c:pt>
                <c:pt idx="20">
                  <c:v>Acompanhamento individual/familiar</c:v>
                </c:pt>
                <c:pt idx="21">
                  <c:v>Visitas domiciliares</c:v>
                </c:pt>
              </c:strCache>
            </c:strRef>
          </c:cat>
          <c:val>
            <c:numRef>
              <c:f>'12'!$C$3:$C$24</c:f>
              <c:numCache>
                <c:formatCode>0.0%</c:formatCode>
                <c:ptCount val="22"/>
                <c:pt idx="0">
                  <c:v>8.250694168980563E-2</c:v>
                </c:pt>
                <c:pt idx="1">
                  <c:v>0.72471241570805234</c:v>
                </c:pt>
                <c:pt idx="2">
                  <c:v>0.75247917493058314</c:v>
                </c:pt>
                <c:pt idx="3">
                  <c:v>0.79968266560888535</c:v>
                </c:pt>
                <c:pt idx="4">
                  <c:v>0.83895279650932175</c:v>
                </c:pt>
                <c:pt idx="5">
                  <c:v>0.86354621182070612</c:v>
                </c:pt>
                <c:pt idx="6">
                  <c:v>0.89289964299880997</c:v>
                </c:pt>
                <c:pt idx="7">
                  <c:v>0.91550971836572792</c:v>
                </c:pt>
                <c:pt idx="8">
                  <c:v>0.93454978183260606</c:v>
                </c:pt>
                <c:pt idx="9">
                  <c:v>0.93573978579928596</c:v>
                </c:pt>
                <c:pt idx="10">
                  <c:v>0.96548988496628319</c:v>
                </c:pt>
                <c:pt idx="11">
                  <c:v>0.97619992066640227</c:v>
                </c:pt>
                <c:pt idx="12">
                  <c:v>0.97699325664418879</c:v>
                </c:pt>
                <c:pt idx="13">
                  <c:v>0.98056326854422848</c:v>
                </c:pt>
                <c:pt idx="14">
                  <c:v>0.98095993653312175</c:v>
                </c:pt>
                <c:pt idx="15">
                  <c:v>0.98135660452201512</c:v>
                </c:pt>
                <c:pt idx="16">
                  <c:v>0.9849266164220547</c:v>
                </c:pt>
                <c:pt idx="17">
                  <c:v>0.99008330027766756</c:v>
                </c:pt>
                <c:pt idx="18">
                  <c:v>0.99087663625545419</c:v>
                </c:pt>
                <c:pt idx="19">
                  <c:v>0.99444664815549388</c:v>
                </c:pt>
                <c:pt idx="20">
                  <c:v>0.99523998413328041</c:v>
                </c:pt>
                <c:pt idx="21">
                  <c:v>0.99523998413328041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59-45F4-9020-B0B638BCEA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9290528"/>
        <c:axId val="239291088"/>
      </c:barChart>
      <c:catAx>
        <c:axId val="23929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91088"/>
        <c:crosses val="autoZero"/>
        <c:auto val="1"/>
        <c:lblAlgn val="ctr"/>
        <c:lblOffset val="100"/>
        <c:noMultiLvlLbl val="0"/>
      </c:catAx>
      <c:valAx>
        <c:axId val="239291088"/>
        <c:scaling>
          <c:orientation val="minMax"/>
          <c:max val="1"/>
        </c:scaling>
        <c:delete val="1"/>
        <c:axPos val="b"/>
        <c:numFmt formatCode="0.0%" sourceLinked="1"/>
        <c:majorTickMark val="out"/>
        <c:minorTickMark val="none"/>
        <c:tickLblPos val="nextTo"/>
        <c:crossAx val="2392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'11'!$B$3</c:f>
              <c:strCache>
                <c:ptCount val="1"/>
                <c:pt idx="0">
                  <c:v>Crianças e Adolescentes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'11'!$B$4:$B$18</c:f>
              <c:numCache>
                <c:formatCode>0</c:formatCode>
                <c:ptCount val="15"/>
                <c:pt idx="0">
                  <c:v>2122</c:v>
                </c:pt>
                <c:pt idx="1">
                  <c:v>2218</c:v>
                </c:pt>
                <c:pt idx="4">
                  <c:v>940</c:v>
                </c:pt>
                <c:pt idx="5">
                  <c:v>2409</c:v>
                </c:pt>
                <c:pt idx="6">
                  <c:v>1991</c:v>
                </c:pt>
                <c:pt idx="7">
                  <c:v>2242</c:v>
                </c:pt>
                <c:pt idx="8">
                  <c:v>1578</c:v>
                </c:pt>
                <c:pt idx="9">
                  <c:v>1680</c:v>
                </c:pt>
                <c:pt idx="10">
                  <c:v>1537</c:v>
                </c:pt>
                <c:pt idx="11">
                  <c:v>2464</c:v>
                </c:pt>
                <c:pt idx="12">
                  <c:v>2208</c:v>
                </c:pt>
                <c:pt idx="13">
                  <c:v>2428</c:v>
                </c:pt>
                <c:pt idx="14">
                  <c:v>2442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C5-484F-99DA-849FBC2C7560}"/>
            </c:ext>
          </c:extLst>
        </c:ser>
        <c:ser>
          <c:idx val="1"/>
          <c:order val="1"/>
          <c:tx>
            <c:strRef>
              <c:f>'11'!$C$3</c:f>
              <c:strCache>
                <c:ptCount val="1"/>
                <c:pt idx="0">
                  <c:v>Mulheres adultas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'11'!$C$4:$C$18</c:f>
              <c:numCache>
                <c:formatCode>0</c:formatCode>
                <c:ptCount val="15"/>
                <c:pt idx="2">
                  <c:v>975</c:v>
                </c:pt>
                <c:pt idx="3">
                  <c:v>1043</c:v>
                </c:pt>
                <c:pt idx="4">
                  <c:v>819</c:v>
                </c:pt>
                <c:pt idx="6">
                  <c:v>1145</c:v>
                </c:pt>
                <c:pt idx="7">
                  <c:v>1416</c:v>
                </c:pt>
                <c:pt idx="8">
                  <c:v>1453</c:v>
                </c:pt>
                <c:pt idx="9">
                  <c:v>1504</c:v>
                </c:pt>
                <c:pt idx="10">
                  <c:v>1590</c:v>
                </c:pt>
                <c:pt idx="11">
                  <c:v>1934</c:v>
                </c:pt>
                <c:pt idx="12">
                  <c:v>2052</c:v>
                </c:pt>
                <c:pt idx="13">
                  <c:v>2332</c:v>
                </c:pt>
                <c:pt idx="14">
                  <c:v>2329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C5-484F-99DA-849FBC2C7560}"/>
            </c:ext>
          </c:extLst>
        </c:ser>
        <c:ser>
          <c:idx val="2"/>
          <c:order val="2"/>
          <c:tx>
            <c:strRef>
              <c:f>'11'!$D$3</c:f>
              <c:strCache>
                <c:ptCount val="1"/>
                <c:pt idx="0">
                  <c:v>Homens adultos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'11'!$D$4:$D$18</c:f>
              <c:numCache>
                <c:formatCode>0</c:formatCode>
                <c:ptCount val="15"/>
                <c:pt idx="2">
                  <c:v>979</c:v>
                </c:pt>
                <c:pt idx="3">
                  <c:v>971</c:v>
                </c:pt>
                <c:pt idx="4">
                  <c:v>698</c:v>
                </c:pt>
                <c:pt idx="6">
                  <c:v>1012</c:v>
                </c:pt>
                <c:pt idx="7">
                  <c:v>857</c:v>
                </c:pt>
                <c:pt idx="8">
                  <c:v>1396</c:v>
                </c:pt>
                <c:pt idx="9">
                  <c:v>1507</c:v>
                </c:pt>
                <c:pt idx="10">
                  <c:v>1679</c:v>
                </c:pt>
                <c:pt idx="11">
                  <c:v>974</c:v>
                </c:pt>
                <c:pt idx="12">
                  <c:v>1903</c:v>
                </c:pt>
                <c:pt idx="13">
                  <c:v>1348</c:v>
                </c:pt>
                <c:pt idx="14">
                  <c:v>1431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C5-484F-99DA-849FBC2C7560}"/>
            </c:ext>
          </c:extLst>
        </c:ser>
        <c:ser>
          <c:idx val="3"/>
          <c:order val="3"/>
          <c:tx>
            <c:strRef>
              <c:f>'11'!$E$3</c:f>
              <c:strCache>
                <c:ptCount val="1"/>
                <c:pt idx="0">
                  <c:v>Idosos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'11'!$E$4:$E$18</c:f>
              <c:numCache>
                <c:formatCode>0</c:formatCode>
                <c:ptCount val="15"/>
                <c:pt idx="2">
                  <c:v>670</c:v>
                </c:pt>
                <c:pt idx="3">
                  <c:v>790</c:v>
                </c:pt>
                <c:pt idx="4">
                  <c:v>717</c:v>
                </c:pt>
                <c:pt idx="5">
                  <c:v>2255</c:v>
                </c:pt>
                <c:pt idx="6">
                  <c:v>1392</c:v>
                </c:pt>
                <c:pt idx="7">
                  <c:v>1135</c:v>
                </c:pt>
                <c:pt idx="8">
                  <c:v>1335</c:v>
                </c:pt>
                <c:pt idx="9">
                  <c:v>1188</c:v>
                </c:pt>
                <c:pt idx="10">
                  <c:v>1509</c:v>
                </c:pt>
                <c:pt idx="11">
                  <c:v>1516</c:v>
                </c:pt>
                <c:pt idx="12">
                  <c:v>2081</c:v>
                </c:pt>
                <c:pt idx="13">
                  <c:v>2299</c:v>
                </c:pt>
                <c:pt idx="14">
                  <c:v>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1C5-484F-99DA-849FBC2C7560}"/>
            </c:ext>
          </c:extLst>
        </c:ser>
        <c:ser>
          <c:idx val="4"/>
          <c:order val="4"/>
          <c:tx>
            <c:strRef>
              <c:f>'11'!$F$3</c:f>
              <c:strCache>
                <c:ptCount val="1"/>
                <c:pt idx="0">
                  <c:v>Não atende este tipo de situação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'11'!$F$4:$F$18</c:f>
              <c:numCache>
                <c:formatCode>0</c:formatCode>
                <c:ptCount val="15"/>
                <c:pt idx="0">
                  <c:v>399</c:v>
                </c:pt>
                <c:pt idx="1">
                  <c:v>303</c:v>
                </c:pt>
                <c:pt idx="2">
                  <c:v>1422</c:v>
                </c:pt>
                <c:pt idx="3">
                  <c:v>1363</c:v>
                </c:pt>
                <c:pt idx="4">
                  <c:v>1533</c:v>
                </c:pt>
                <c:pt idx="5">
                  <c:v>50</c:v>
                </c:pt>
                <c:pt idx="6">
                  <c:v>435</c:v>
                </c:pt>
                <c:pt idx="7">
                  <c:v>255</c:v>
                </c:pt>
                <c:pt idx="8">
                  <c:v>856</c:v>
                </c:pt>
                <c:pt idx="9">
                  <c:v>650</c:v>
                </c:pt>
                <c:pt idx="10">
                  <c:v>565</c:v>
                </c:pt>
                <c:pt idx="11">
                  <c:v>40</c:v>
                </c:pt>
                <c:pt idx="12">
                  <c:v>126</c:v>
                </c:pt>
                <c:pt idx="13">
                  <c:v>33</c:v>
                </c:pt>
                <c:pt idx="1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C5-484F-99DA-849FBC2C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812096"/>
        <c:axId val="239812656"/>
      </c:barChart>
      <c:catAx>
        <c:axId val="2398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12656"/>
        <c:crosses val="autoZero"/>
        <c:auto val="1"/>
        <c:lblAlgn val="ctr"/>
        <c:lblOffset val="100"/>
        <c:noMultiLvlLbl val="0"/>
      </c:catAx>
      <c:valAx>
        <c:axId val="23981265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398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'16'!$B$2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'16'!$B$3:$B$9</c:f>
              <c:numCache>
                <c:formatCode>General</c:formatCode>
                <c:ptCount val="7"/>
                <c:pt idx="0">
                  <c:v>1099</c:v>
                </c:pt>
                <c:pt idx="1">
                  <c:v>1431</c:v>
                </c:pt>
                <c:pt idx="2">
                  <c:v>1561</c:v>
                </c:pt>
                <c:pt idx="3">
                  <c:v>1650</c:v>
                </c:pt>
                <c:pt idx="4">
                  <c:v>1846</c:v>
                </c:pt>
                <c:pt idx="5">
                  <c:v>1973</c:v>
                </c:pt>
                <c:pt idx="6">
                  <c:v>2018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7-4605-BA6B-589D3AB32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816016"/>
        <c:axId val="239816576"/>
      </c:barChart>
      <c:lineChart>
        <c:grouping val="standard"/>
        <c:varyColors val="0"/>
        <c:ser>
          <c:idx val="1"/>
          <c:order val="1"/>
          <c:tx>
            <c:strRef>
              <c:f>'16'!$D$2</c:f>
              <c:strCache>
                <c:ptCount val="1"/>
                <c:pt idx="0">
                  <c:v>Percentual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'16'!$D$3:$D$9</c:f>
              <c:numCache>
                <c:formatCode>0.0%</c:formatCode>
                <c:ptCount val="7"/>
                <c:pt idx="0">
                  <c:v>0.69119496855345908</c:v>
                </c:pt>
                <c:pt idx="1">
                  <c:v>0.67852062588904694</c:v>
                </c:pt>
                <c:pt idx="2">
                  <c:v>0.72035071527457317</c:v>
                </c:pt>
                <c:pt idx="3">
                  <c:v>0.73365940417963538</c:v>
                </c:pt>
                <c:pt idx="4">
                  <c:v>0.77824620573355818</c:v>
                </c:pt>
                <c:pt idx="5">
                  <c:v>0.81026694045174541</c:v>
                </c:pt>
                <c:pt idx="6">
                  <c:v>0.80047600158667198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57-4605-BA6B-589D3AB32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817696"/>
        <c:axId val="239817136"/>
      </c:lineChart>
      <c:catAx>
        <c:axId val="2398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16576"/>
        <c:crosses val="autoZero"/>
        <c:auto val="1"/>
        <c:lblAlgn val="ctr"/>
        <c:lblOffset val="100"/>
        <c:noMultiLvlLbl val="0"/>
      </c:catAx>
      <c:valAx>
        <c:axId val="239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16016"/>
        <c:crosses val="autoZero"/>
        <c:crossBetween val="between"/>
      </c:valAx>
      <c:valAx>
        <c:axId val="23981713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17696"/>
        <c:crosses val="max"/>
        <c:crossBetween val="between"/>
      </c:valAx>
      <c:catAx>
        <c:axId val="2398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981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'17'!$A$3:$A$26</c:f>
              <c:strCache>
                <c:ptCount val="24"/>
                <c:pt idx="0">
                  <c:v>Provisão de órteses e próteses</c:v>
                </c:pt>
                <c:pt idx="1">
                  <c:v>Provimento de bens materiais</c:v>
                </c:pt>
                <c:pt idx="2">
                  <c:v>Orientação sobre tecnologias assistivas</c:v>
                </c:pt>
                <c:pt idx="3">
                  <c:v>Palestras e Oficinas envolvendo a comunidade</c:v>
                </c:pt>
                <c:pt idx="4">
                  <c:v>Mobilização dos usuários para acesso ao serviço</c:v>
                </c:pt>
                <c:pt idx="5">
                  <c:v>Elaboração de Plano de Acompanhamento Individual e/ou Familiar</c:v>
                </c:pt>
                <c:pt idx="6">
                  <c:v>Orientação para realização de cadastro no Cadúnico</c:v>
                </c:pt>
                <c:pt idx="7">
                  <c:v>Encaminhamento para política de educação</c:v>
                </c:pt>
                <c:pt idx="8">
                  <c:v>Acompanhamento dos usuários encaminhados para a rede</c:v>
                </c:pt>
                <c:pt idx="9">
                  <c:v>Orientação e apoio nos autocuidados</c:v>
                </c:pt>
                <c:pt idx="10">
                  <c:v>Estudo social</c:v>
                </c:pt>
                <c:pt idx="11">
                  <c:v>Encaminhamento para serviços/Unidades das demais políticas públicas</c:v>
                </c:pt>
                <c:pt idx="12">
                  <c:v>Apoio e orientação aos cuidadores familiares</c:v>
                </c:pt>
                <c:pt idx="13">
                  <c:v>Atividades com a família do usuário</c:v>
                </c:pt>
                <c:pt idx="14">
                  <c:v>Registro de informações em prontuário</c:v>
                </c:pt>
                <c:pt idx="15">
                  <c:v>Orientação e apoio para obtenção de documentação pessoal</c:v>
                </c:pt>
                <c:pt idx="16">
                  <c:v>Elaboração de relatórios sobre casos em acompanhamento</c:v>
                </c:pt>
                <c:pt idx="17">
                  <c:v>Encaminhamento para órgãos de defesa de direitos (Defensoria Pública, Ministério Público, Conselho Tutelar etc.)</c:v>
                </c:pt>
                <c:pt idx="18">
                  <c:v>Visitas Domiciliares</c:v>
                </c:pt>
                <c:pt idx="19">
                  <c:v>Oficinas e atividades coletivas de convívio e socialização</c:v>
                </c:pt>
                <c:pt idx="20">
                  <c:v>Orientação sobre acesso ao BPC e outros benefícios</c:v>
                </c:pt>
                <c:pt idx="21">
                  <c:v>Encaminhamento para a rede de serviços socioassistenciais</c:v>
                </c:pt>
                <c:pt idx="22">
                  <c:v>Encaminhamento para os serviços da rede de saúde</c:v>
                </c:pt>
                <c:pt idx="23">
                  <c:v>Acolhida e escuta inicial</c:v>
                </c:pt>
              </c:strCache>
            </c:strRef>
          </c:cat>
          <c:val>
            <c:numRef>
              <c:f>'17'!$C$3:$C$26</c:f>
              <c:numCache>
                <c:formatCode>0.0%</c:formatCode>
                <c:ptCount val="24"/>
                <c:pt idx="0">
                  <c:v>0.22801788375558868</c:v>
                </c:pt>
                <c:pt idx="1">
                  <c:v>0.23695976154992549</c:v>
                </c:pt>
                <c:pt idx="2">
                  <c:v>0.5275707898658718</c:v>
                </c:pt>
                <c:pt idx="3">
                  <c:v>0.64828614008941876</c:v>
                </c:pt>
                <c:pt idx="4">
                  <c:v>0.71013412816691501</c:v>
                </c:pt>
                <c:pt idx="5">
                  <c:v>0.73248882265275705</c:v>
                </c:pt>
                <c:pt idx="6">
                  <c:v>0.76005961251862886</c:v>
                </c:pt>
                <c:pt idx="7">
                  <c:v>0.7764530551415797</c:v>
                </c:pt>
                <c:pt idx="8">
                  <c:v>0.80104321907600595</c:v>
                </c:pt>
                <c:pt idx="9">
                  <c:v>0.82637853949329354</c:v>
                </c:pt>
                <c:pt idx="10">
                  <c:v>0.856929955290611</c:v>
                </c:pt>
                <c:pt idx="11">
                  <c:v>0.85767511177347244</c:v>
                </c:pt>
                <c:pt idx="12">
                  <c:v>0.8763040238450075</c:v>
                </c:pt>
                <c:pt idx="13">
                  <c:v>0.88077496274217582</c:v>
                </c:pt>
                <c:pt idx="14">
                  <c:v>0.88375558867362147</c:v>
                </c:pt>
                <c:pt idx="15">
                  <c:v>0.89195230998509689</c:v>
                </c:pt>
                <c:pt idx="16">
                  <c:v>0.89493293591654244</c:v>
                </c:pt>
                <c:pt idx="17">
                  <c:v>0.89567809239940388</c:v>
                </c:pt>
                <c:pt idx="18">
                  <c:v>0.89865871833084943</c:v>
                </c:pt>
                <c:pt idx="19">
                  <c:v>0.90163934426229508</c:v>
                </c:pt>
                <c:pt idx="20">
                  <c:v>0.93964232488822652</c:v>
                </c:pt>
                <c:pt idx="21">
                  <c:v>0.9470938897168405</c:v>
                </c:pt>
                <c:pt idx="22">
                  <c:v>0.95827123695976157</c:v>
                </c:pt>
                <c:pt idx="23">
                  <c:v>0.96646795827123699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0-4303-9196-7A68661AE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9820496"/>
        <c:axId val="239821056"/>
      </c:barChart>
      <c:catAx>
        <c:axId val="2398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21056"/>
        <c:crosses val="autoZero"/>
        <c:auto val="1"/>
        <c:lblAlgn val="ctr"/>
        <c:lblOffset val="100"/>
        <c:noMultiLvlLbl val="0"/>
      </c:catAx>
      <c:valAx>
        <c:axId val="239821056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2398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'18'!$A$3:$A$8</c:f>
              <c:strCache>
                <c:ptCount val="6"/>
                <c:pt idx="0">
                  <c:v>Crianças de 0 a 6 anos, com deficiência</c:v>
                </c:pt>
                <c:pt idx="1">
                  <c:v>Crianças de 7 a 14 anos, com deficiência</c:v>
                </c:pt>
                <c:pt idx="2">
                  <c:v>Adolescentes de 15 a 17 anos, com deficiência</c:v>
                </c:pt>
                <c:pt idx="3">
                  <c:v>Adultos (18 a 59 anos) com deficiência</c:v>
                </c:pt>
                <c:pt idx="4">
                  <c:v>Idosos (60 anos ou mais) com deficiência</c:v>
                </c:pt>
                <c:pt idx="5">
                  <c:v>Idosos (60 anos ou mais) dependentes pela idade, sem deficiência</c:v>
                </c:pt>
              </c:strCache>
            </c:strRef>
          </c:cat>
          <c:val>
            <c:numRef>
              <c:f>'18'!$D$3:$D$8</c:f>
              <c:numCache>
                <c:formatCode>#,##0</c:formatCode>
                <c:ptCount val="6"/>
                <c:pt idx="0">
                  <c:v>25911</c:v>
                </c:pt>
                <c:pt idx="1">
                  <c:v>45021</c:v>
                </c:pt>
                <c:pt idx="2">
                  <c:v>18754</c:v>
                </c:pt>
                <c:pt idx="3">
                  <c:v>66251</c:v>
                </c:pt>
                <c:pt idx="4">
                  <c:v>7883</c:v>
                </c:pt>
                <c:pt idx="5">
                  <c:v>5268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6C-42D9-B92D-9E4D480A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9823296"/>
        <c:axId val="239823856"/>
      </c:barChart>
      <c:catAx>
        <c:axId val="2398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23856"/>
        <c:crosses val="autoZero"/>
        <c:auto val="1"/>
        <c:lblAlgn val="ctr"/>
        <c:lblOffset val="100"/>
        <c:noMultiLvlLbl val="0"/>
      </c:catAx>
      <c:valAx>
        <c:axId val="239823856"/>
        <c:scaling>
          <c:orientation val="minMax"/>
          <c:max val="80000"/>
        </c:scaling>
        <c:delete val="1"/>
        <c:axPos val="b"/>
        <c:numFmt formatCode="#,##0" sourceLinked="1"/>
        <c:majorTickMark val="out"/>
        <c:minorTickMark val="none"/>
        <c:tickLblPos val="nextTo"/>
        <c:crossAx val="2398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02746111959883"/>
          <c:y val="1.3126491646778043E-2"/>
          <c:w val="0.48376855878089864"/>
          <c:h val="0.95919061131678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'19'!$C$2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'19'!$A$3:$A$25</c:f>
              <c:strCache>
                <c:ptCount val="23"/>
                <c:pt idx="0">
                  <c:v>Outras</c:v>
                </c:pt>
                <c:pt idx="1">
                  <c:v>Avaliação para concessão de aluguel social</c:v>
                </c:pt>
                <c:pt idx="2">
                  <c:v>Orientação sociojurídica</c:v>
                </c:pt>
                <c:pt idx="3">
                  <c:v>Mobilização de família extensa ou ampliada</c:v>
                </c:pt>
                <c:pt idx="4">
                  <c:v>Acolhida em Grupo realizada por profissional de nível superior</c:v>
                </c:pt>
                <c:pt idx="5">
                  <c:v>Ações de mobilização e participação social</c:v>
                </c:pt>
                <c:pt idx="6">
                  <c:v>Palestras</c:v>
                </c:pt>
                <c:pt idx="7">
                  <c:v>Encaminhamento de famílias ou indivíduos para políticas de educação (jovens e adultos, etc.)</c:v>
                </c:pt>
                <c:pt idx="8">
                  <c:v>Elaboração de Plano de Acompanhamento Individual e/ou Familiar</c:v>
                </c:pt>
                <c:pt idx="9">
                  <c:v>Mobilização e fortalecimento do convívio e de redes sociais de apoio</c:v>
                </c:pt>
                <c:pt idx="10">
                  <c:v>Acompanhamento dos usuários encaminhados para a rede</c:v>
                </c:pt>
                <c:pt idx="11">
                  <c:v>Orientação/acompanhamento para inserção no BPC</c:v>
                </c:pt>
                <c:pt idx="12">
                  <c:v>Encaminhamento de famílias ou indivíduos para demais políticas (trabalho, habitação, etc.)</c:v>
                </c:pt>
                <c:pt idx="13">
                  <c:v>Registro das informações em prontuário</c:v>
                </c:pt>
                <c:pt idx="14">
                  <c:v>Acolhida Particularizada realizada por técnico de nível superior</c:v>
                </c:pt>
                <c:pt idx="15">
                  <c:v>Atendimento particularizado de famílias ou indivíduos</c:v>
                </c:pt>
                <c:pt idx="16">
                  <c:v>Estudo de Caso/Discussão de casos em equipe</c:v>
                </c:pt>
                <c:pt idx="17">
                  <c:v>Encaminhamento para órgãos de defesa de direitos (Defensoria Pública, Poder Judiciário, Ministério Público, Conselho Tutelar, etc.)</c:v>
                </c:pt>
                <c:pt idx="18">
                  <c:v>Elaboração de relatórios técnicos sobre casos em atendimento</c:v>
                </c:pt>
                <c:pt idx="19">
                  <c:v>Encaminhamento de famílias ou indivíduos para a rede de serviço socioassistencial</c:v>
                </c:pt>
                <c:pt idx="20">
                  <c:v>Encaminhamento para outros serviços da rede de saúde</c:v>
                </c:pt>
                <c:pt idx="21">
                  <c:v>Encaminhamento de usuários/dependentes de substâncias psicoativas para serviços da rede de saúde</c:v>
                </c:pt>
                <c:pt idx="22">
                  <c:v>Apoio para obtenção de documentação pessoal</c:v>
                </c:pt>
              </c:strCache>
            </c:strRef>
          </c:cat>
          <c:val>
            <c:numRef>
              <c:f>'19'!$C$3:$C$25</c:f>
              <c:numCache>
                <c:formatCode>0.0%</c:formatCode>
                <c:ptCount val="23"/>
                <c:pt idx="0">
                  <c:v>0.2565217391304348</c:v>
                </c:pt>
                <c:pt idx="1">
                  <c:v>0.33478260869565218</c:v>
                </c:pt>
                <c:pt idx="2">
                  <c:v>0.44347826086956521</c:v>
                </c:pt>
                <c:pt idx="3">
                  <c:v>0.7</c:v>
                </c:pt>
                <c:pt idx="4">
                  <c:v>0.7</c:v>
                </c:pt>
                <c:pt idx="5">
                  <c:v>0.76956521739130435</c:v>
                </c:pt>
                <c:pt idx="6">
                  <c:v>0.77391304347826084</c:v>
                </c:pt>
                <c:pt idx="7">
                  <c:v>0.83913043478260874</c:v>
                </c:pt>
                <c:pt idx="8">
                  <c:v>0.85217391304347823</c:v>
                </c:pt>
                <c:pt idx="9">
                  <c:v>0.87826086956521743</c:v>
                </c:pt>
                <c:pt idx="10">
                  <c:v>0.94782608695652171</c:v>
                </c:pt>
                <c:pt idx="11">
                  <c:v>0.94782608695652171</c:v>
                </c:pt>
                <c:pt idx="12">
                  <c:v>0.96086956521739131</c:v>
                </c:pt>
                <c:pt idx="13">
                  <c:v>0.96086956521739131</c:v>
                </c:pt>
                <c:pt idx="14">
                  <c:v>0.9652173913043478</c:v>
                </c:pt>
                <c:pt idx="15">
                  <c:v>0.9695652173913043</c:v>
                </c:pt>
                <c:pt idx="16">
                  <c:v>0.9695652173913043</c:v>
                </c:pt>
                <c:pt idx="17">
                  <c:v>0.97391304347826091</c:v>
                </c:pt>
                <c:pt idx="18">
                  <c:v>0.97391304347826091</c:v>
                </c:pt>
                <c:pt idx="19">
                  <c:v>0.97826086956521741</c:v>
                </c:pt>
                <c:pt idx="20">
                  <c:v>0.9869565217391304</c:v>
                </c:pt>
                <c:pt idx="21">
                  <c:v>0.9956521739130435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DB-4877-BD1B-CFFF228A6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603120"/>
        <c:axId val="240603680"/>
      </c:barChart>
      <c:catAx>
        <c:axId val="24060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03680"/>
        <c:crosses val="autoZero"/>
        <c:auto val="1"/>
        <c:lblAlgn val="ctr"/>
        <c:lblOffset val="100"/>
        <c:noMultiLvlLbl val="0"/>
      </c:catAx>
      <c:valAx>
        <c:axId val="240603680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2406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'21'!$A$3:$A$19</c:f>
              <c:strCache>
                <c:ptCount val="17"/>
                <c:pt idx="0">
                  <c:v>Não realiza nenhuma das atividades listadas</c:v>
                </c:pt>
                <c:pt idx="1">
                  <c:v>Reuniões com grupos de famílias dos usuários</c:v>
                </c:pt>
                <c:pt idx="2">
                  <c:v>Envio de relatório semestral para o Judiciário (exclusivo para acolhimento de criança/adolescente)</c:v>
                </c:pt>
                <c:pt idx="3">
                  <c:v>Acompanhamento escolar</c:v>
                </c:pt>
                <c:pt idx="4">
                  <c:v>Palestras / oficinas</c:v>
                </c:pt>
                <c:pt idx="5">
                  <c:v>Atendimento psicossocial em grupos</c:v>
                </c:pt>
                <c:pt idx="6">
                  <c:v>Atendimento psicossocial das famílias das pessoas acolhidas (orientação familiar)</c:v>
                </c:pt>
                <c:pt idx="7">
                  <c:v>Promove contato e a participação da família na vida do usuário</c:v>
                </c:pt>
                <c:pt idx="8">
                  <c:v>Visitas domiciliares da equipe técnica da Unidade à família do usuário</c:v>
                </c:pt>
                <c:pt idx="9">
                  <c:v>Organização e discussão das rotinas das Unidades com os acolhidos</c:v>
                </c:pt>
                <c:pt idx="10">
                  <c:v>Promove atividades com participação da Comunidade</c:v>
                </c:pt>
                <c:pt idx="11">
                  <c:v>Promove a participação das pessoas acolhidas em serviços, projetos ou atividades existentes na comunidade</c:v>
                </c:pt>
                <c:pt idx="12">
                  <c:v>Atendimento psicossocial individualizado</c:v>
                </c:pt>
                <c:pt idx="13">
                  <c:v>Passeios com usuários</c:v>
                </c:pt>
                <c:pt idx="14">
                  <c:v>Encaminhamento para retirada de documentos</c:v>
                </c:pt>
                <c:pt idx="15">
                  <c:v>Discussão de casos com outros profissionais da rede</c:v>
                </c:pt>
                <c:pt idx="16">
                  <c:v>Elaboração de relatórios técnicos sobre casos em acompanhamento</c:v>
                </c:pt>
              </c:strCache>
            </c:strRef>
          </c:cat>
          <c:val>
            <c:numRef>
              <c:f>'21'!$C$3:$C$19</c:f>
              <c:numCache>
                <c:formatCode>0.0%</c:formatCode>
                <c:ptCount val="17"/>
                <c:pt idx="0">
                  <c:v>9.1679640200657327E-3</c:v>
                </c:pt>
                <c:pt idx="1">
                  <c:v>0.45147898287493515</c:v>
                </c:pt>
                <c:pt idx="2">
                  <c:v>0.48970766303407715</c:v>
                </c:pt>
                <c:pt idx="3">
                  <c:v>0.57516000691921809</c:v>
                </c:pt>
                <c:pt idx="4">
                  <c:v>0.5819062445943608</c:v>
                </c:pt>
                <c:pt idx="5">
                  <c:v>0.60698841030963502</c:v>
                </c:pt>
                <c:pt idx="6">
                  <c:v>0.61805915931499744</c:v>
                </c:pt>
                <c:pt idx="7">
                  <c:v>0.65179034769071098</c:v>
                </c:pt>
                <c:pt idx="8">
                  <c:v>0.70921985815602839</c:v>
                </c:pt>
                <c:pt idx="9">
                  <c:v>0.71856080262930289</c:v>
                </c:pt>
                <c:pt idx="10">
                  <c:v>0.76734129043418098</c:v>
                </c:pt>
                <c:pt idx="11">
                  <c:v>0.78723404255319152</c:v>
                </c:pt>
                <c:pt idx="12">
                  <c:v>0.78775298391281789</c:v>
                </c:pt>
                <c:pt idx="13">
                  <c:v>0.8245978204462896</c:v>
                </c:pt>
                <c:pt idx="14">
                  <c:v>0.82926829268292679</c:v>
                </c:pt>
                <c:pt idx="15">
                  <c:v>0.85158277114686043</c:v>
                </c:pt>
                <c:pt idx="16">
                  <c:v>0.85936689154125578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6B-4C5F-99FC-DB43E3FA4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605360"/>
        <c:axId val="240605920"/>
      </c:barChart>
      <c:catAx>
        <c:axId val="24060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05920"/>
        <c:crosses val="autoZero"/>
        <c:auto val="1"/>
        <c:lblAlgn val="ctr"/>
        <c:lblOffset val="100"/>
        <c:noMultiLvlLbl val="0"/>
      </c:catAx>
      <c:valAx>
        <c:axId val="240605920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06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Planilha5_OK!$A$5</c:f>
              <c:strCache>
                <c:ptCount val="1"/>
                <c:pt idx="0">
                  <c:v>Possui familia acolhedora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Planilha5_OK!$B$3:$G$3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Planilha5_OK!$B$5:$G$5</c:f>
              <c:numCache>
                <c:formatCode>General</c:formatCode>
                <c:ptCount val="6"/>
                <c:pt idx="0">
                  <c:v>132</c:v>
                </c:pt>
                <c:pt idx="1">
                  <c:v>36</c:v>
                </c:pt>
                <c:pt idx="2">
                  <c:v>24</c:v>
                </c:pt>
                <c:pt idx="3">
                  <c:v>56</c:v>
                </c:pt>
                <c:pt idx="4">
                  <c:v>5</c:v>
                </c:pt>
                <c:pt idx="5">
                  <c:v>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55-4BE0-A208-0EA6326135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0610960"/>
        <c:axId val="240611520"/>
      </c:barChart>
      <c:catAx>
        <c:axId val="240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11520"/>
        <c:crosses val="autoZero"/>
        <c:auto val="1"/>
        <c:lblAlgn val="ctr"/>
        <c:lblOffset val="100"/>
        <c:noMultiLvlLbl val="0"/>
      </c:catAx>
      <c:valAx>
        <c:axId val="24061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6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Planilha4_OK!$A$3:$A$28</c:f>
              <c:strCache>
                <c:ptCount val="26"/>
                <c:pt idx="0">
                  <c:v>Não realiza nenhuma das atividades acima</c:v>
                </c:pt>
                <c:pt idx="1">
                  <c:v>Reuniões em grupo com as famílias de origem</c:v>
                </c:pt>
                <c:pt idx="2">
                  <c:v>Estudo diagnóstico das crianças/adolescentes para inclusão no serviço</c:v>
                </c:pt>
                <c:pt idx="3">
                  <c:v>Reuniões em grupo com as famílias acolhedoras</c:v>
                </c:pt>
                <c:pt idx="4">
                  <c:v>Construção de um plano de acompanhamento da família de origem</c:v>
                </c:pt>
                <c:pt idx="5">
                  <c:v>Preparação da criança/adolescente para entrada no serviço</c:v>
                </c:pt>
                <c:pt idx="6">
                  <c:v>Construção de um plano de acompanhamento da família acolhedora</c:v>
                </c:pt>
                <c:pt idx="7">
                  <c:v>Palestras/oficinas</c:v>
                </c:pt>
                <c:pt idx="8">
                  <c:v>Atividades de mobilização, tais como anúncios, panfletos, entre outros</c:v>
                </c:pt>
                <c:pt idx="9">
                  <c:v>Aproximação supervisionada entre a criança/adolescente e família acolhedora</c:v>
                </c:pt>
                <c:pt idx="10">
                  <c:v>Atendimento psicossocial individualizado da família de origem</c:v>
                </c:pt>
                <c:pt idx="11">
                  <c:v>Capacitação das famílias</c:v>
                </c:pt>
                <c:pt idx="12">
                  <c:v>Atendimento psicossocial individualizado da família acolhedora</c:v>
                </c:pt>
                <c:pt idx="13">
                  <c:v>Viabilização de encontro com a família de origem quando autorizado</c:v>
                </c:pt>
                <c:pt idx="14">
                  <c:v>Estudo de caso pela equipe do serviço</c:v>
                </c:pt>
                <c:pt idx="15">
                  <c:v>Encaminhamento para retirada de documentos</c:v>
                </c:pt>
                <c:pt idx="16">
                  <c:v>Acompanhamento escolar</c:v>
                </c:pt>
                <c:pt idx="17">
                  <c:v>Envio de relatório semestral para o Judiciário</c:v>
                </c:pt>
                <c:pt idx="18">
                  <c:v>Acompanhamento na saúde</c:v>
                </c:pt>
                <c:pt idx="19">
                  <c:v>Identificação da família extensa ou ampliada</c:v>
                </c:pt>
                <c:pt idx="20">
                  <c:v>Discussão de casos com outros profissionais da rede</c:v>
                </c:pt>
                <c:pt idx="21">
                  <c:v>Atendimento psicossocial individualizado da criança/adolescente</c:v>
                </c:pt>
                <c:pt idx="22">
                  <c:v>Seleção e Preparação das famílias candidatas</c:v>
                </c:pt>
                <c:pt idx="23">
                  <c:v>Encaminhamento para a rede (socioassistencial ou setorial)</c:v>
                </c:pt>
                <c:pt idx="24">
                  <c:v>Elaboração de relatórios técnicos</c:v>
                </c:pt>
                <c:pt idx="25">
                  <c:v>Visitas domiciliares</c:v>
                </c:pt>
              </c:strCache>
            </c:strRef>
          </c:cat>
          <c:val>
            <c:numRef>
              <c:f>Planilha4_OK!$C$3:$C$28</c:f>
              <c:numCache>
                <c:formatCode>0.0%</c:formatCode>
                <c:ptCount val="26"/>
                <c:pt idx="0">
                  <c:v>2.9411764705882353E-2</c:v>
                </c:pt>
                <c:pt idx="1">
                  <c:v>0.43014705882352944</c:v>
                </c:pt>
                <c:pt idx="2">
                  <c:v>0.6654411764705882</c:v>
                </c:pt>
                <c:pt idx="3">
                  <c:v>0.6654411764705882</c:v>
                </c:pt>
                <c:pt idx="4">
                  <c:v>0.66911764705882348</c:v>
                </c:pt>
                <c:pt idx="5">
                  <c:v>0.67279411764705888</c:v>
                </c:pt>
                <c:pt idx="6">
                  <c:v>0.68014705882352944</c:v>
                </c:pt>
                <c:pt idx="7">
                  <c:v>0.69485294117647056</c:v>
                </c:pt>
                <c:pt idx="8">
                  <c:v>0.76102941176470584</c:v>
                </c:pt>
                <c:pt idx="9">
                  <c:v>0.76838235294117652</c:v>
                </c:pt>
                <c:pt idx="10">
                  <c:v>0.76838235294117652</c:v>
                </c:pt>
                <c:pt idx="11">
                  <c:v>0.81617647058823528</c:v>
                </c:pt>
                <c:pt idx="12">
                  <c:v>0.81617647058823528</c:v>
                </c:pt>
                <c:pt idx="13">
                  <c:v>0.82352941176470584</c:v>
                </c:pt>
                <c:pt idx="14">
                  <c:v>0.83088235294117652</c:v>
                </c:pt>
                <c:pt idx="15">
                  <c:v>0.8345588235294118</c:v>
                </c:pt>
                <c:pt idx="16">
                  <c:v>0.83823529411764708</c:v>
                </c:pt>
                <c:pt idx="17">
                  <c:v>0.84558823529411764</c:v>
                </c:pt>
                <c:pt idx="18">
                  <c:v>0.84926470588235292</c:v>
                </c:pt>
                <c:pt idx="19">
                  <c:v>0.85661764705882348</c:v>
                </c:pt>
                <c:pt idx="20">
                  <c:v>0.86764705882352944</c:v>
                </c:pt>
                <c:pt idx="21">
                  <c:v>0.88235294117647056</c:v>
                </c:pt>
                <c:pt idx="22">
                  <c:v>0.88970588235294112</c:v>
                </c:pt>
                <c:pt idx="23">
                  <c:v>0.90073529411764708</c:v>
                </c:pt>
                <c:pt idx="24">
                  <c:v>0.92279411764705888</c:v>
                </c:pt>
                <c:pt idx="25">
                  <c:v>0.95220588235294112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D3-4ACD-B45D-2E25F31DC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614320"/>
        <c:axId val="240614880"/>
      </c:barChart>
      <c:catAx>
        <c:axId val="2406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14880"/>
        <c:crosses val="autoZero"/>
        <c:auto val="1"/>
        <c:lblAlgn val="ctr"/>
        <c:lblOffset val="100"/>
        <c:noMultiLvlLbl val="0"/>
      </c:catAx>
      <c:valAx>
        <c:axId val="240614880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06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[1]CRAS2!$B$4</c:f>
              <c:strCache>
                <c:ptCount val="1"/>
                <c:pt idx="0">
                  <c:v>SCFV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[1]CRAS2!$A$5:$A$13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[1]CRAS2!$B$5:$B$13</c:f>
              <c:numCache>
                <c:formatCode>General</c:formatCode>
                <c:ptCount val="9"/>
                <c:pt idx="0">
                  <c:v>0.8716452742123687</c:v>
                </c:pt>
                <c:pt idx="1">
                  <c:v>0.84977578475336324</c:v>
                </c:pt>
                <c:pt idx="2">
                  <c:v>0.84119982355535949</c:v>
                </c:pt>
                <c:pt idx="3">
                  <c:v>0.9090301003344482</c:v>
                </c:pt>
                <c:pt idx="4">
                  <c:v>0.91236245954692552</c:v>
                </c:pt>
                <c:pt idx="5">
                  <c:v>0.92604338449828749</c:v>
                </c:pt>
                <c:pt idx="6">
                  <c:v>0.88884767556874378</c:v>
                </c:pt>
                <c:pt idx="7">
                  <c:v>0.89098712446351935</c:v>
                </c:pt>
                <c:pt idx="8">
                  <c:v>0.85922330097087374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B1-4E65-9162-10772F9D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62208"/>
        <c:axId val="201262768"/>
      </c:lineChart>
      <c:catAx>
        <c:axId val="2012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62768"/>
        <c:crosses val="autoZero"/>
        <c:auto val="1"/>
        <c:lblAlgn val="ctr"/>
        <c:lblOffset val="100"/>
        <c:noMultiLvlLbl val="0"/>
      </c:catAx>
      <c:valAx>
        <c:axId val="201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'3'!$B$4:$B$10</c:f>
              <c:numCache>
                <c:formatCode>0.0%</c:formatCode>
                <c:ptCount val="7"/>
                <c:pt idx="0">
                  <c:v>0.96784565916398713</c:v>
                </c:pt>
                <c:pt idx="1">
                  <c:v>0.57073954983922826</c:v>
                </c:pt>
                <c:pt idx="2">
                  <c:v>0.93086816720257237</c:v>
                </c:pt>
                <c:pt idx="3">
                  <c:v>0.89710610932475887</c:v>
                </c:pt>
                <c:pt idx="4">
                  <c:v>0.34887459807073956</c:v>
                </c:pt>
                <c:pt idx="5">
                  <c:v>0.47427652733118969</c:v>
                </c:pt>
                <c:pt idx="6">
                  <c:v>0.93086816720257237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19-498F-B641-FF7E4C677BB0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'3'!$C$4:$C$10</c:f>
              <c:numCache>
                <c:formatCode>0.0%</c:formatCode>
                <c:ptCount val="7"/>
                <c:pt idx="0">
                  <c:v>0.88724933787362847</c:v>
                </c:pt>
                <c:pt idx="1">
                  <c:v>0.54407869844873247</c:v>
                </c:pt>
                <c:pt idx="2">
                  <c:v>0.80968596292092321</c:v>
                </c:pt>
                <c:pt idx="3">
                  <c:v>0.7635262958758986</c:v>
                </c:pt>
                <c:pt idx="4">
                  <c:v>0.28755202421490728</c:v>
                </c:pt>
                <c:pt idx="5">
                  <c:v>0.39424895951570188</c:v>
                </c:pt>
                <c:pt idx="6">
                  <c:v>0.84071131290200529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19-498F-B641-FF7E4C677BB0}"/>
            </c:ext>
          </c:extLst>
        </c:ser>
        <c:ser>
          <c:idx val="2"/>
          <c:order val="2"/>
          <c:tx>
            <c:strRef>
              <c:f>'3'!$D$3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'3'!$D$4:$D$10</c:f>
              <c:numCache>
                <c:formatCode>0.0%</c:formatCode>
                <c:ptCount val="7"/>
                <c:pt idx="0">
                  <c:v>0.84864484336501234</c:v>
                </c:pt>
                <c:pt idx="1">
                  <c:v>0.43998592045054558</c:v>
                </c:pt>
                <c:pt idx="2">
                  <c:v>0.72896867300246393</c:v>
                </c:pt>
                <c:pt idx="3">
                  <c:v>0.72474480816613873</c:v>
                </c:pt>
                <c:pt idx="4">
                  <c:v>0.45723336853220697</c:v>
                </c:pt>
                <c:pt idx="5">
                  <c:v>0.5543822597676874</c:v>
                </c:pt>
                <c:pt idx="6">
                  <c:v>0.7497360084477297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19-498F-B641-FF7E4C677BB0}"/>
            </c:ext>
          </c:extLst>
        </c:ser>
        <c:ser>
          <c:idx val="3"/>
          <c:order val="3"/>
          <c:tx>
            <c:strRef>
              <c:f>'3'!$E$3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'3'!$E$4:$E$10</c:f>
              <c:numCache>
                <c:formatCode>0.0%</c:formatCode>
                <c:ptCount val="7"/>
                <c:pt idx="0">
                  <c:v>0.8490441661173368</c:v>
                </c:pt>
                <c:pt idx="1">
                  <c:v>0.41463414634146339</c:v>
                </c:pt>
                <c:pt idx="2">
                  <c:v>0.74620962425840476</c:v>
                </c:pt>
                <c:pt idx="3">
                  <c:v>0.65589980224126565</c:v>
                </c:pt>
                <c:pt idx="4">
                  <c:v>0.38694792353328938</c:v>
                </c:pt>
                <c:pt idx="5">
                  <c:v>0.51812788398154253</c:v>
                </c:pt>
                <c:pt idx="6">
                  <c:v>0.75543836519446272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19-498F-B641-FF7E4C677BB0}"/>
            </c:ext>
          </c:extLst>
        </c:ser>
        <c:ser>
          <c:idx val="4"/>
          <c:order val="4"/>
          <c:tx>
            <c:strRef>
              <c:f>'3'!$F$3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'3'!$F$4:$F$10</c:f>
              <c:numCache>
                <c:formatCode>0.0%</c:formatCode>
                <c:ptCount val="7"/>
                <c:pt idx="0">
                  <c:v>0.87682333873581852</c:v>
                </c:pt>
                <c:pt idx="1">
                  <c:v>0.5121555915721232</c:v>
                </c:pt>
                <c:pt idx="2">
                  <c:v>0.78282009724473256</c:v>
                </c:pt>
                <c:pt idx="3">
                  <c:v>0.73419773095623986</c:v>
                </c:pt>
                <c:pt idx="4">
                  <c:v>0.3841166936790924</c:v>
                </c:pt>
                <c:pt idx="5">
                  <c:v>0.47649918962722854</c:v>
                </c:pt>
                <c:pt idx="6">
                  <c:v>0.83468395461912481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19-498F-B641-FF7E4C677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67248"/>
        <c:axId val="201267808"/>
      </c:barChart>
      <c:catAx>
        <c:axId val="2012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67808"/>
        <c:crosses val="autoZero"/>
        <c:auto val="1"/>
        <c:lblAlgn val="ctr"/>
        <c:lblOffset val="100"/>
        <c:noMultiLvlLbl val="0"/>
      </c:catAx>
      <c:valAx>
        <c:axId val="20126780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012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'5'!$A$4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'5'!$B$4:$G$4</c:f>
              <c:numCache>
                <c:formatCode>0.0%</c:formatCode>
                <c:ptCount val="6"/>
                <c:pt idx="0">
                  <c:v>0.30436437452423243</c:v>
                </c:pt>
                <c:pt idx="1">
                  <c:v>0.70680030449124587</c:v>
                </c:pt>
                <c:pt idx="2">
                  <c:v>0.48223801065719363</c:v>
                </c:pt>
                <c:pt idx="3">
                  <c:v>0.19538188277087035</c:v>
                </c:pt>
                <c:pt idx="4">
                  <c:v>0.2144125856381629</c:v>
                </c:pt>
                <c:pt idx="5">
                  <c:v>0.3703374777975133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F2-4871-B72D-3CB9476B0BE9}"/>
            </c:ext>
          </c:extLst>
        </c:ser>
        <c:ser>
          <c:idx val="1"/>
          <c:order val="1"/>
          <c:tx>
            <c:strRef>
              <c:f>'5'!$A$5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'5'!$B$5:$G$5</c:f>
              <c:numCache>
                <c:formatCode>0.0%</c:formatCode>
                <c:ptCount val="6"/>
                <c:pt idx="0">
                  <c:v>0.25364828097947067</c:v>
                </c:pt>
                <c:pt idx="1">
                  <c:v>0.71419737818451645</c:v>
                </c:pt>
                <c:pt idx="2">
                  <c:v>0.48769325912183054</c:v>
                </c:pt>
                <c:pt idx="3">
                  <c:v>0.20776651001731389</c:v>
                </c:pt>
                <c:pt idx="4">
                  <c:v>0.23212960672767746</c:v>
                </c:pt>
                <c:pt idx="5">
                  <c:v>0.38214197378184517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F2-4871-B72D-3CB9476B0BE9}"/>
            </c:ext>
          </c:extLst>
        </c:ser>
        <c:ser>
          <c:idx val="0"/>
          <c:order val="2"/>
          <c:tx>
            <c:strRef>
              <c:f>'5'!$A$6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'5'!$B$6:$G$6</c:f>
              <c:numCache>
                <c:formatCode>0.0%</c:formatCode>
                <c:ptCount val="6"/>
                <c:pt idx="0">
                  <c:v>0.28096533774991128</c:v>
                </c:pt>
                <c:pt idx="1">
                  <c:v>0.72009937300366733</c:v>
                </c:pt>
                <c:pt idx="2">
                  <c:v>0.48586300721637288</c:v>
                </c:pt>
                <c:pt idx="3">
                  <c:v>0.2285579084348752</c:v>
                </c:pt>
                <c:pt idx="4">
                  <c:v>0.2384952088016089</c:v>
                </c:pt>
                <c:pt idx="5">
                  <c:v>0.38223116053472139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62-4328-B841-BC8794ABA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71728"/>
        <c:axId val="201272288"/>
      </c:barChart>
      <c:catAx>
        <c:axId val="201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72288"/>
        <c:crosses val="autoZero"/>
        <c:auto val="1"/>
        <c:lblAlgn val="ctr"/>
        <c:lblOffset val="100"/>
        <c:noMultiLvlLbl val="0"/>
      </c:catAx>
      <c:valAx>
        <c:axId val="2012722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12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[1]CRAS3!$B$3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[1]CRAS3!$B$4:$B$10</c:f>
              <c:numCache>
                <c:formatCode>General</c:formatCode>
                <c:ptCount val="7"/>
                <c:pt idx="0">
                  <c:v>0.96784565916398713</c:v>
                </c:pt>
                <c:pt idx="1">
                  <c:v>0.57073954983922826</c:v>
                </c:pt>
                <c:pt idx="2">
                  <c:v>0.93086816720257237</c:v>
                </c:pt>
                <c:pt idx="3">
                  <c:v>0.89710610932475887</c:v>
                </c:pt>
                <c:pt idx="4">
                  <c:v>0.34887459807073956</c:v>
                </c:pt>
                <c:pt idx="5">
                  <c:v>0.47427652733118969</c:v>
                </c:pt>
                <c:pt idx="6">
                  <c:v>0.93086816720257237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26-45A1-B15F-A48BE9C803C9}"/>
            </c:ext>
          </c:extLst>
        </c:ser>
        <c:ser>
          <c:idx val="1"/>
          <c:order val="1"/>
          <c:tx>
            <c:strRef>
              <c:f>[1]CRAS3!$C$3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[1]CRAS3!$C$4:$C$10</c:f>
              <c:numCache>
                <c:formatCode>General</c:formatCode>
                <c:ptCount val="7"/>
                <c:pt idx="0">
                  <c:v>0.88724933787362847</c:v>
                </c:pt>
                <c:pt idx="1">
                  <c:v>0.54407869844873247</c:v>
                </c:pt>
                <c:pt idx="2">
                  <c:v>0.80968596292092321</c:v>
                </c:pt>
                <c:pt idx="3">
                  <c:v>0.7635262958758986</c:v>
                </c:pt>
                <c:pt idx="4">
                  <c:v>0.28755202421490728</c:v>
                </c:pt>
                <c:pt idx="5">
                  <c:v>0.39424895951570188</c:v>
                </c:pt>
                <c:pt idx="6">
                  <c:v>0.84071131290200529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26-45A1-B15F-A48BE9C803C9}"/>
            </c:ext>
          </c:extLst>
        </c:ser>
        <c:ser>
          <c:idx val="2"/>
          <c:order val="2"/>
          <c:tx>
            <c:strRef>
              <c:f>[1]CRAS3!$D$3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[1]CRAS3!$D$4:$D$10</c:f>
              <c:numCache>
                <c:formatCode>General</c:formatCode>
                <c:ptCount val="7"/>
                <c:pt idx="0">
                  <c:v>0.84864484336501234</c:v>
                </c:pt>
                <c:pt idx="1">
                  <c:v>0.43998592045054558</c:v>
                </c:pt>
                <c:pt idx="2">
                  <c:v>0.72896867300246393</c:v>
                </c:pt>
                <c:pt idx="3">
                  <c:v>0.72474480816613873</c:v>
                </c:pt>
                <c:pt idx="4">
                  <c:v>0.45723336853220697</c:v>
                </c:pt>
                <c:pt idx="5">
                  <c:v>0.5543822597676874</c:v>
                </c:pt>
                <c:pt idx="6">
                  <c:v>0.7497360084477297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26-45A1-B15F-A48BE9C803C9}"/>
            </c:ext>
          </c:extLst>
        </c:ser>
        <c:ser>
          <c:idx val="3"/>
          <c:order val="3"/>
          <c:tx>
            <c:strRef>
              <c:f>[1]CRAS3!$E$3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[1]CRAS3!$E$4:$E$10</c:f>
              <c:numCache>
                <c:formatCode>General</c:formatCode>
                <c:ptCount val="7"/>
                <c:pt idx="0">
                  <c:v>0.8490441661173368</c:v>
                </c:pt>
                <c:pt idx="1">
                  <c:v>0.41463414634146339</c:v>
                </c:pt>
                <c:pt idx="2">
                  <c:v>0.74620962425840476</c:v>
                </c:pt>
                <c:pt idx="3">
                  <c:v>0.65589980224126565</c:v>
                </c:pt>
                <c:pt idx="4">
                  <c:v>0.38694792353328938</c:v>
                </c:pt>
                <c:pt idx="5">
                  <c:v>0.51812788398154253</c:v>
                </c:pt>
                <c:pt idx="6">
                  <c:v>0.75543836519446272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26-45A1-B15F-A48BE9C803C9}"/>
            </c:ext>
          </c:extLst>
        </c:ser>
        <c:ser>
          <c:idx val="4"/>
          <c:order val="4"/>
          <c:tx>
            <c:strRef>
              <c:f>[1]CRAS3!$F$3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[1]CRAS3!$F$4:$F$10</c:f>
              <c:numCache>
                <c:formatCode>General</c:formatCode>
                <c:ptCount val="7"/>
                <c:pt idx="0">
                  <c:v>0.87682333873581852</c:v>
                </c:pt>
                <c:pt idx="1">
                  <c:v>0.5121555915721232</c:v>
                </c:pt>
                <c:pt idx="2">
                  <c:v>0.78282009724473256</c:v>
                </c:pt>
                <c:pt idx="3">
                  <c:v>0.73419773095623986</c:v>
                </c:pt>
                <c:pt idx="4">
                  <c:v>0.3841166936790924</c:v>
                </c:pt>
                <c:pt idx="5">
                  <c:v>0.47649918962722854</c:v>
                </c:pt>
                <c:pt idx="6">
                  <c:v>0.83468395461912481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26-45A1-B15F-A48BE9C803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760176"/>
        <c:axId val="238760736"/>
      </c:barChart>
      <c:catAx>
        <c:axId val="2387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60736"/>
        <c:crosses val="autoZero"/>
        <c:auto val="1"/>
        <c:lblAlgn val="ctr"/>
        <c:lblOffset val="100"/>
        <c:noMultiLvlLbl val="0"/>
      </c:catAx>
      <c:valAx>
        <c:axId val="23876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87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'6'!$A$3:$A$11</c:f>
              <c:strCache>
                <c:ptCount val="9"/>
                <c:pt idx="0">
                  <c:v>Não realiza nenhuma das atividades</c:v>
                </c:pt>
                <c:pt idx="1">
                  <c:v>Reforço Escolar</c:v>
                </c:pt>
                <c:pt idx="2">
                  <c:v>Discussão de casos com outros profissionais da rede</c:v>
                </c:pt>
                <c:pt idx="3">
                  <c:v>Atividades com participação da Comunidade</c:v>
                </c:pt>
                <c:pt idx="4">
                  <c:v>Visitas domiciliares da equipe técnica da Unidade à família do usuário</c:v>
                </c:pt>
                <c:pt idx="5">
                  <c:v>Reuniões com grupos de famílias dos usuários</c:v>
                </c:pt>
                <c:pt idx="6">
                  <c:v>Palestras</c:v>
                </c:pt>
                <c:pt idx="7">
                  <c:v>Atividades recreativas</c:v>
                </c:pt>
                <c:pt idx="8">
                  <c:v>Oficinas</c:v>
                </c:pt>
              </c:strCache>
            </c:strRef>
          </c:cat>
          <c:val>
            <c:numRef>
              <c:f>'6'!$C$3:$C$11</c:f>
              <c:numCache>
                <c:formatCode>0.0%</c:formatCode>
                <c:ptCount val="9"/>
                <c:pt idx="0">
                  <c:v>7.2240644244433916E-3</c:v>
                </c:pt>
                <c:pt idx="1">
                  <c:v>0.19789199431549029</c:v>
                </c:pt>
                <c:pt idx="2">
                  <c:v>0.69351018474656556</c:v>
                </c:pt>
                <c:pt idx="3">
                  <c:v>0.72619611558503083</c:v>
                </c:pt>
                <c:pt idx="4">
                  <c:v>0.75580293699668399</c:v>
                </c:pt>
                <c:pt idx="5">
                  <c:v>0.82970156324017053</c:v>
                </c:pt>
                <c:pt idx="6">
                  <c:v>0.8737565135007106</c:v>
                </c:pt>
                <c:pt idx="7">
                  <c:v>0.89732354334438658</c:v>
                </c:pt>
                <c:pt idx="8">
                  <c:v>0.91271909047844624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D6-41AA-AA45-2C94BC51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763536"/>
        <c:axId val="238764096"/>
      </c:barChart>
      <c:catAx>
        <c:axId val="2387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64096"/>
        <c:crosses val="autoZero"/>
        <c:auto val="1"/>
        <c:lblAlgn val="ctr"/>
        <c:lblOffset val="100"/>
        <c:noMultiLvlLbl val="0"/>
      </c:catAx>
      <c:valAx>
        <c:axId val="238764096"/>
        <c:scaling>
          <c:orientation val="minMax"/>
        </c:scaling>
        <c:delete val="1"/>
        <c:axPos val="b"/>
        <c:numFmt formatCode="0%" sourceLinked="0"/>
        <c:majorTickMark val="none"/>
        <c:minorTickMark val="none"/>
        <c:tickLblPos val="nextTo"/>
        <c:crossAx val="2387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'8'!$B$4:$B$8</c:f>
              <c:numCache>
                <c:formatCode>0.0%</c:formatCode>
                <c:ptCount val="5"/>
                <c:pt idx="0">
                  <c:v>0.31</c:v>
                </c:pt>
                <c:pt idx="1">
                  <c:v>0.22500000000000001</c:v>
                </c:pt>
                <c:pt idx="2">
                  <c:v>0.45100000000000001</c:v>
                </c:pt>
                <c:pt idx="3">
                  <c:v>0.27900000000000003</c:v>
                </c:pt>
                <c:pt idx="4">
                  <c:v>0.191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27-4C10-BE51-5CC935D50BD7}"/>
            </c:ext>
          </c:extLst>
        </c:ser>
        <c:ser>
          <c:idx val="1"/>
          <c:order val="1"/>
          <c:tx>
            <c:strRef>
              <c:f>'8'!$C$3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'8'!$C$4:$C$8</c:f>
              <c:numCache>
                <c:formatCode>0.0%</c:formatCode>
                <c:ptCount val="5"/>
                <c:pt idx="0">
                  <c:v>0.34200000000000003</c:v>
                </c:pt>
                <c:pt idx="1">
                  <c:v>0.25900000000000001</c:v>
                </c:pt>
                <c:pt idx="2">
                  <c:v>0.51300000000000001</c:v>
                </c:pt>
                <c:pt idx="3">
                  <c:v>0.29199999999999998</c:v>
                </c:pt>
                <c:pt idx="4">
                  <c:v>0.20599999999999999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27-4C10-BE51-5CC935D50BD7}"/>
            </c:ext>
          </c:extLst>
        </c:ser>
        <c:ser>
          <c:idx val="2"/>
          <c:order val="2"/>
          <c:tx>
            <c:strRef>
              <c:f>'8'!$D$3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'8'!$D$4:$D$8</c:f>
              <c:numCache>
                <c:formatCode>0.0%</c:formatCode>
                <c:ptCount val="5"/>
                <c:pt idx="0">
                  <c:v>0.36299999999999999</c:v>
                </c:pt>
                <c:pt idx="1">
                  <c:v>0.28299999999999997</c:v>
                </c:pt>
                <c:pt idx="2">
                  <c:v>0.53700000000000003</c:v>
                </c:pt>
                <c:pt idx="3">
                  <c:v>0.28499999999999998</c:v>
                </c:pt>
                <c:pt idx="4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27-4C10-BE51-5CC935D50BD7}"/>
            </c:ext>
          </c:extLst>
        </c:ser>
        <c:ser>
          <c:idx val="3"/>
          <c:order val="3"/>
          <c:tx>
            <c:strRef>
              <c:f>'8'!$E$3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'8'!$E$4:$E$8</c:f>
              <c:numCache>
                <c:formatCode>0.0%</c:formatCode>
                <c:ptCount val="5"/>
                <c:pt idx="0">
                  <c:v>0.40400000000000003</c:v>
                </c:pt>
                <c:pt idx="1">
                  <c:v>0.32800000000000001</c:v>
                </c:pt>
                <c:pt idx="2">
                  <c:v>0.55200000000000005</c:v>
                </c:pt>
                <c:pt idx="3">
                  <c:v>0.28899999999999998</c:v>
                </c:pt>
                <c:pt idx="4">
                  <c:v>0.20799999999999999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27-4C10-BE51-5CC935D50BD7}"/>
            </c:ext>
          </c:extLst>
        </c:ser>
        <c:ser>
          <c:idx val="4"/>
          <c:order val="4"/>
          <c:tx>
            <c:strRef>
              <c:f>'8'!$F$3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'8'!$F$4:$F$8</c:f>
              <c:numCache>
                <c:formatCode>0.0%</c:formatCode>
                <c:ptCount val="5"/>
                <c:pt idx="0">
                  <c:v>0.44400000000000001</c:v>
                </c:pt>
                <c:pt idx="1">
                  <c:v>0.36799999999999999</c:v>
                </c:pt>
                <c:pt idx="2">
                  <c:v>0.62</c:v>
                </c:pt>
                <c:pt idx="3">
                  <c:v>0.318</c:v>
                </c:pt>
                <c:pt idx="4">
                  <c:v>0.23799999999999999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27-4C10-BE51-5CC935D50BD7}"/>
            </c:ext>
          </c:extLst>
        </c:ser>
        <c:ser>
          <c:idx val="5"/>
          <c:order val="5"/>
          <c:tx>
            <c:strRef>
              <c:f>'8'!$G$3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'8'!$G$4:$G$8</c:f>
              <c:numCache>
                <c:formatCode>0.0%</c:formatCode>
                <c:ptCount val="5"/>
                <c:pt idx="0">
                  <c:v>0.45775597792765177</c:v>
                </c:pt>
                <c:pt idx="1">
                  <c:v>0.38430410790925812</c:v>
                </c:pt>
                <c:pt idx="2">
                  <c:v>0.62795830778663397</c:v>
                </c:pt>
                <c:pt idx="3">
                  <c:v>0.3195585530349479</c:v>
                </c:pt>
                <c:pt idx="4">
                  <c:v>0.25689760882893931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27-4C10-BE51-5CC935D50BD7}"/>
            </c:ext>
          </c:extLst>
        </c:ser>
        <c:ser>
          <c:idx val="6"/>
          <c:order val="6"/>
          <c:tx>
            <c:strRef>
              <c:f>'8'!$H$3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'8'!$H$4:$H$8</c:f>
              <c:numCache>
                <c:formatCode>0.0%</c:formatCode>
                <c:ptCount val="5"/>
                <c:pt idx="0">
                  <c:v>0.56662621359223297</c:v>
                </c:pt>
                <c:pt idx="1">
                  <c:v>0.44720873786407767</c:v>
                </c:pt>
                <c:pt idx="2">
                  <c:v>0.73628640776699028</c:v>
                </c:pt>
                <c:pt idx="3">
                  <c:v>0.3978155339805825</c:v>
                </c:pt>
                <c:pt idx="4">
                  <c:v>0.30449029126213595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27-4C10-BE51-5CC935D50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769696"/>
        <c:axId val="238770256"/>
      </c:barChart>
      <c:catAx>
        <c:axId val="2387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70256"/>
        <c:crosses val="autoZero"/>
        <c:auto val="1"/>
        <c:lblAlgn val="ctr"/>
        <c:lblOffset val="100"/>
        <c:noMultiLvlLbl val="0"/>
      </c:catAx>
      <c:valAx>
        <c:axId val="2387702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387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600735387346E-2"/>
          <c:y val="0.103854513754133"/>
          <c:w val="0.96309855880985595"/>
          <c:h val="0.78585602185463699"/>
        </c:manualLayout>
      </c:layout>
      <c:barChart>
        <c:barDir val="col"/>
        <c:grouping val="clustered"/>
        <c:varyColors val="1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9275408"/>
        <c:axId val="239275968"/>
      </c:barChart>
      <c:catAx>
        <c:axId val="23927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9275968"/>
        <c:crosses val="autoZero"/>
        <c:auto val="1"/>
        <c:lblAlgn val="ctr"/>
        <c:lblOffset val="100"/>
        <c:noMultiLvlLbl val="1"/>
      </c:catAx>
      <c:valAx>
        <c:axId val="23927596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39275408"/>
        <c:crossesAt val="0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'9'!$B$4:$B$8</c:f>
              <c:numCache>
                <c:formatCode>0.0%</c:formatCode>
                <c:ptCount val="5"/>
                <c:pt idx="0">
                  <c:v>0.65916398713826363</c:v>
                </c:pt>
                <c:pt idx="1">
                  <c:v>0.45819935691318325</c:v>
                </c:pt>
                <c:pt idx="2">
                  <c:v>0.80225080385852088</c:v>
                </c:pt>
                <c:pt idx="3">
                  <c:v>0.39710610932475882</c:v>
                </c:pt>
                <c:pt idx="4">
                  <c:v>0.19935691318327975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EC-43F2-9FA5-529165379815}"/>
            </c:ext>
          </c:extLst>
        </c:ser>
        <c:ser>
          <c:idx val="1"/>
          <c:order val="1"/>
          <c:tx>
            <c:strRef>
              <c:f>'9'!$C$3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'9'!$C$4:$C$8</c:f>
              <c:numCache>
                <c:formatCode>0.0%</c:formatCode>
                <c:ptCount val="5"/>
                <c:pt idx="0">
                  <c:v>0.53688989784335983</c:v>
                </c:pt>
                <c:pt idx="1">
                  <c:v>0.58191449110858873</c:v>
                </c:pt>
                <c:pt idx="2">
                  <c:v>0.69163828982217179</c:v>
                </c:pt>
                <c:pt idx="3">
                  <c:v>0.3329549754067348</c:v>
                </c:pt>
                <c:pt idx="4">
                  <c:v>0.20582671206961786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EC-43F2-9FA5-529165379815}"/>
            </c:ext>
          </c:extLst>
        </c:ser>
        <c:ser>
          <c:idx val="2"/>
          <c:order val="2"/>
          <c:tx>
            <c:strRef>
              <c:f>'9'!$D$3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'9'!$D$4:$D$8</c:f>
              <c:numCache>
                <c:formatCode>0.0%</c:formatCode>
                <c:ptCount val="5"/>
                <c:pt idx="0">
                  <c:v>0.49982400563181978</c:v>
                </c:pt>
                <c:pt idx="1">
                  <c:v>0.3020063357972545</c:v>
                </c:pt>
                <c:pt idx="2">
                  <c:v>0.7127771911298838</c:v>
                </c:pt>
                <c:pt idx="3">
                  <c:v>0.36571629707849351</c:v>
                </c:pt>
                <c:pt idx="4">
                  <c:v>0.36642027455121434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EC-43F2-9FA5-529165379815}"/>
            </c:ext>
          </c:extLst>
        </c:ser>
        <c:ser>
          <c:idx val="3"/>
          <c:order val="3"/>
          <c:tx>
            <c:strRef>
              <c:f>'9'!$E$3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'9'!$E$4:$E$8</c:f>
              <c:numCache>
                <c:formatCode>0.0%</c:formatCode>
                <c:ptCount val="5"/>
                <c:pt idx="0">
                  <c:v>0.64469347396176668</c:v>
                </c:pt>
                <c:pt idx="1">
                  <c:v>0.40804218852999341</c:v>
                </c:pt>
                <c:pt idx="2">
                  <c:v>0.78444297956493081</c:v>
                </c:pt>
                <c:pt idx="3">
                  <c:v>0.50955833882663149</c:v>
                </c:pt>
                <c:pt idx="4">
                  <c:v>0.39090309822017139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EC-43F2-9FA5-529165379815}"/>
            </c:ext>
          </c:extLst>
        </c:ser>
        <c:ser>
          <c:idx val="4"/>
          <c:order val="4"/>
          <c:tx>
            <c:strRef>
              <c:f>'9'!$F$3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'9'!$F$4:$F$8</c:f>
              <c:numCache>
                <c:formatCode>0.0%</c:formatCode>
                <c:ptCount val="5"/>
                <c:pt idx="0">
                  <c:v>0.71636952998379255</c:v>
                </c:pt>
                <c:pt idx="1">
                  <c:v>0.62398703403565636</c:v>
                </c:pt>
                <c:pt idx="2">
                  <c:v>0.85089141004862234</c:v>
                </c:pt>
                <c:pt idx="3">
                  <c:v>0.54943273905996759</c:v>
                </c:pt>
                <c:pt idx="4">
                  <c:v>0.3354943273905997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EC-43F2-9FA5-529165379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280448"/>
        <c:axId val="239281008"/>
      </c:barChart>
      <c:catAx>
        <c:axId val="2392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81008"/>
        <c:crosses val="autoZero"/>
        <c:auto val="1"/>
        <c:lblAlgn val="ctr"/>
        <c:lblOffset val="100"/>
        <c:noMultiLvlLbl val="0"/>
      </c:catAx>
      <c:valAx>
        <c:axId val="239281008"/>
        <c:scaling>
          <c:orientation val="minMax"/>
          <c:max val="1"/>
        </c:scaling>
        <c:delete val="1"/>
        <c:axPos val="l"/>
        <c:numFmt formatCode="0.0%" sourceLinked="1"/>
        <c:majorTickMark val="out"/>
        <c:minorTickMark val="none"/>
        <c:tickLblPos val="nextTo"/>
        <c:crossAx val="2392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180960</xdr:colOff>
      <xdr:row>1</xdr:row>
      <xdr:rowOff>180970</xdr:rowOff>
    </xdr:from>
    <xdr:to>
      <xdr:col>20</xdr:col>
      <xdr:colOff>576589</xdr:colOff>
      <xdr:row>12</xdr:row>
      <xdr:rowOff>182128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123801</xdr:colOff>
      <xdr:row>26</xdr:row>
      <xdr:rowOff>85700</xdr:rowOff>
    </xdr:from>
    <xdr:to>
      <xdr:col>6</xdr:col>
      <xdr:colOff>591441</xdr:colOff>
      <xdr:row>60</xdr:row>
      <xdr:rowOff>38629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295275</xdr:rowOff>
    </xdr:from>
    <xdr:to>
      <xdr:col>18</xdr:col>
      <xdr:colOff>0</xdr:colOff>
      <xdr:row>19</xdr:row>
      <xdr:rowOff>165735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76200</xdr:rowOff>
    </xdr:from>
    <xdr:to>
      <xdr:col>13</xdr:col>
      <xdr:colOff>504825</xdr:colOff>
      <xdr:row>12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19050</xdr:rowOff>
    </xdr:from>
    <xdr:to>
      <xdr:col>8</xdr:col>
      <xdr:colOff>127635</xdr:colOff>
      <xdr:row>62</xdr:row>
      <xdr:rowOff>70866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257175</xdr:rowOff>
    </xdr:from>
    <xdr:to>
      <xdr:col>12</xdr:col>
      <xdr:colOff>266700</xdr:colOff>
      <xdr:row>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2</xdr:row>
      <xdr:rowOff>63500</xdr:rowOff>
    </xdr:from>
    <xdr:to>
      <xdr:col>16</xdr:col>
      <xdr:colOff>663575</xdr:colOff>
      <xdr:row>58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0</xdr:row>
      <xdr:rowOff>114301</xdr:rowOff>
    </xdr:from>
    <xdr:to>
      <xdr:col>16</xdr:col>
      <xdr:colOff>542770</xdr:colOff>
      <xdr:row>26</xdr:row>
      <xdr:rowOff>190410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1</xdr:row>
      <xdr:rowOff>66675</xdr:rowOff>
    </xdr:from>
    <xdr:to>
      <xdr:col>22</xdr:col>
      <xdr:colOff>333374</xdr:colOff>
      <xdr:row>21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0</xdr:row>
      <xdr:rowOff>114301</xdr:rowOff>
    </xdr:from>
    <xdr:to>
      <xdr:col>16</xdr:col>
      <xdr:colOff>542770</xdr:colOff>
      <xdr:row>35</xdr:row>
      <xdr:rowOff>190410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104775</xdr:rowOff>
    </xdr:from>
    <xdr:to>
      <xdr:col>17</xdr:col>
      <xdr:colOff>581025</xdr:colOff>
      <xdr:row>17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185736</xdr:rowOff>
    </xdr:from>
    <xdr:to>
      <xdr:col>17</xdr:col>
      <xdr:colOff>390524</xdr:colOff>
      <xdr:row>21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2</xdr:row>
      <xdr:rowOff>4762</xdr:rowOff>
    </xdr:from>
    <xdr:to>
      <xdr:col>16</xdr:col>
      <xdr:colOff>466724</xdr:colOff>
      <xdr:row>16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185736</xdr:rowOff>
    </xdr:from>
    <xdr:to>
      <xdr:col>17</xdr:col>
      <xdr:colOff>390524</xdr:colOff>
      <xdr:row>21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161925</xdr:rowOff>
    </xdr:from>
    <xdr:to>
      <xdr:col>12</xdr:col>
      <xdr:colOff>156210</xdr:colOff>
      <xdr:row>11</xdr:row>
      <xdr:rowOff>76581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157161</xdr:rowOff>
    </xdr:from>
    <xdr:to>
      <xdr:col>21</xdr:col>
      <xdr:colOff>66675</xdr:colOff>
      <xdr:row>16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2425575</xdr:colOff>
      <xdr:row>22</xdr:row>
      <xdr:rowOff>158505</xdr:rowOff>
    </xdr:from>
    <xdr:ext cx="7571520" cy="4290165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0</xdr:col>
      <xdr:colOff>790575</xdr:colOff>
      <xdr:row>22</xdr:row>
      <xdr:rowOff>176211</xdr:rowOff>
    </xdr:from>
    <xdr:to>
      <xdr:col>9</xdr:col>
      <xdr:colOff>409575</xdr:colOff>
      <xdr:row>41</xdr:row>
      <xdr:rowOff>152399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5</xdr:col>
      <xdr:colOff>847725</xdr:colOff>
      <xdr:row>25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a.ramos/AppData/Local/Microsoft/Windows/Temporary%20Internet%20Files/Content.Outlook/T5IH6WT7/Censo%20SUAS%202017%20Servi&#231;os_propos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a.ramos/AppData/Local/Microsoft/Windows/Temporary%20Internet%20Files/Content.Outlook/T5IH6WT7/Censo%20SUAS%202016%20Gr&#225;ficos%20Equipamentos%20v3%20revisao%20S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RAS1"/>
      <sheetName val="CRAS2"/>
      <sheetName val="Planilha1"/>
      <sheetName val="CRAS3"/>
      <sheetName val="CRAS4"/>
      <sheetName val="CRAS6"/>
      <sheetName val="CRAS7"/>
      <sheetName val="CRAS8"/>
      <sheetName val="CC1"/>
      <sheetName val="CC2"/>
      <sheetName val="CC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 refreshError="1"/>
      <sheetData sheetId="1" refreshError="1"/>
      <sheetData sheetId="2">
        <row r="4">
          <cell r="B4" t="str">
            <v>SCFV</v>
          </cell>
        </row>
        <row r="5">
          <cell r="A5">
            <v>2008</v>
          </cell>
          <cell r="B5">
            <v>0.8716452742123687</v>
          </cell>
        </row>
        <row r="6">
          <cell r="A6">
            <v>2009</v>
          </cell>
          <cell r="B6">
            <v>0.84977578475336324</v>
          </cell>
        </row>
        <row r="7">
          <cell r="A7">
            <v>2010</v>
          </cell>
          <cell r="B7">
            <v>0.84119982355535949</v>
          </cell>
        </row>
        <row r="8">
          <cell r="A8">
            <v>2011</v>
          </cell>
          <cell r="B8">
            <v>0.9090301003344482</v>
          </cell>
        </row>
        <row r="9">
          <cell r="A9">
            <v>2012</v>
          </cell>
          <cell r="B9">
            <v>0.91236245954692552</v>
          </cell>
        </row>
        <row r="10">
          <cell r="A10">
            <v>2013</v>
          </cell>
          <cell r="B10">
            <v>0.92604338449828749</v>
          </cell>
        </row>
        <row r="11">
          <cell r="A11">
            <v>2014</v>
          </cell>
          <cell r="B11">
            <v>0.88884767556874378</v>
          </cell>
        </row>
        <row r="12">
          <cell r="A12">
            <v>2015</v>
          </cell>
          <cell r="B12">
            <v>0.89098712446351935</v>
          </cell>
        </row>
        <row r="13">
          <cell r="A13">
            <v>2016</v>
          </cell>
          <cell r="B13">
            <v>0.85922330097087374</v>
          </cell>
        </row>
      </sheetData>
      <sheetData sheetId="3" refreshError="1"/>
      <sheetData sheetId="4">
        <row r="3">
          <cell r="B3" t="str">
            <v>Norte</v>
          </cell>
          <cell r="C3" t="str">
            <v>Nordeste</v>
          </cell>
          <cell r="D3" t="str">
            <v>Sudeste</v>
          </cell>
          <cell r="E3" t="str">
            <v>Sul</v>
          </cell>
          <cell r="F3" t="str">
            <v>Centro-Oeste</v>
          </cell>
        </row>
        <row r="4">
          <cell r="A4" t="str">
            <v>SCFV</v>
          </cell>
          <cell r="B4">
            <v>0.96784565916398713</v>
          </cell>
          <cell r="C4">
            <v>0.88724933787362847</v>
          </cell>
          <cell r="D4">
            <v>0.84864484336501234</v>
          </cell>
          <cell r="E4">
            <v>0.8490441661173368</v>
          </cell>
          <cell r="F4">
            <v>0.87682333873581852</v>
          </cell>
        </row>
        <row r="5">
          <cell r="A5" t="str">
            <v>0 a 6 anos</v>
          </cell>
          <cell r="B5">
            <v>0.57073954983922826</v>
          </cell>
          <cell r="C5">
            <v>0.54407869844873247</v>
          </cell>
          <cell r="D5">
            <v>0.43998592045054558</v>
          </cell>
          <cell r="E5">
            <v>0.41463414634146339</v>
          </cell>
          <cell r="F5">
            <v>0.5121555915721232</v>
          </cell>
        </row>
        <row r="6">
          <cell r="A6" t="str">
            <v>7 a 14 anos</v>
          </cell>
          <cell r="B6">
            <v>0.93086816720257237</v>
          </cell>
          <cell r="C6">
            <v>0.80968596292092321</v>
          </cell>
          <cell r="D6">
            <v>0.72896867300246393</v>
          </cell>
          <cell r="E6">
            <v>0.74620962425840476</v>
          </cell>
          <cell r="F6">
            <v>0.78282009724473256</v>
          </cell>
        </row>
        <row r="7">
          <cell r="A7" t="str">
            <v>15 a 17 anos</v>
          </cell>
          <cell r="B7">
            <v>0.89710610932475887</v>
          </cell>
          <cell r="C7">
            <v>0.7635262958758986</v>
          </cell>
          <cell r="D7">
            <v>0.72474480816613873</v>
          </cell>
          <cell r="E7">
            <v>0.65589980224126565</v>
          </cell>
          <cell r="F7">
            <v>0.73419773095623986</v>
          </cell>
        </row>
        <row r="8">
          <cell r="A8" t="str">
            <v>18 a 29 anos</v>
          </cell>
          <cell r="B8">
            <v>0.34887459807073956</v>
          </cell>
          <cell r="C8">
            <v>0.28755202421490728</v>
          </cell>
          <cell r="D8">
            <v>0.45723336853220697</v>
          </cell>
          <cell r="E8">
            <v>0.38694792353328938</v>
          </cell>
          <cell r="F8">
            <v>0.3841166936790924</v>
          </cell>
        </row>
        <row r="9">
          <cell r="A9" t="str">
            <v>30 a 59 anos</v>
          </cell>
          <cell r="B9">
            <v>0.47427652733118969</v>
          </cell>
          <cell r="C9">
            <v>0.39424895951570188</v>
          </cell>
          <cell r="D9">
            <v>0.5543822597676874</v>
          </cell>
          <cell r="E9">
            <v>0.51812788398154253</v>
          </cell>
          <cell r="F9">
            <v>0.47649918962722854</v>
          </cell>
        </row>
        <row r="10">
          <cell r="A10" t="str">
            <v>Idosos</v>
          </cell>
          <cell r="B10">
            <v>0.93086816720257237</v>
          </cell>
          <cell r="C10">
            <v>0.84071131290200529</v>
          </cell>
          <cell r="D10">
            <v>0.7497360084477297</v>
          </cell>
          <cell r="E10">
            <v>0.75543836519446272</v>
          </cell>
          <cell r="F10">
            <v>0.83468395461912481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RAS Gráfico 1"/>
      <sheetName val="CRAS Gráfico 2"/>
      <sheetName val="CRAS Gráfico 3"/>
      <sheetName val="CRAS Gráfico 4"/>
      <sheetName val="CRAS Gráfico 5"/>
      <sheetName val="CRAS Gráfico 6"/>
      <sheetName val="CRAS Gráfico 7"/>
      <sheetName val="CRAS Tabela 1"/>
      <sheetName val="CCONV Gráfico 8"/>
      <sheetName val="CCONV Gráfico 9"/>
      <sheetName val="CCONV Gráfico 10"/>
      <sheetName val="CREAS Gráfico 11"/>
      <sheetName val="CREAS Gráfico 12"/>
      <sheetName val="CREAS Gráfico 13"/>
      <sheetName val="CREAS Gráfico 14"/>
      <sheetName val="CREAS Gráfico 15"/>
      <sheetName val="CREAS Tabela 2"/>
      <sheetName val="CPOP Gráfico 16"/>
      <sheetName val="CPOP Gráfico 17"/>
      <sheetName val="CPOP Gráfico 18"/>
      <sheetName val="CPOP Gráfico 19"/>
      <sheetName val="CPOP Gráfico 20"/>
      <sheetName val="CPOP Gráfico 21"/>
      <sheetName val="CPOP Tabela 3"/>
      <sheetName val="CDIA Gráfico 22"/>
      <sheetName val="CDIA Gráfico 23"/>
      <sheetName val="CDIA Gráfico 24"/>
      <sheetName val="CDIA Gráfico 25"/>
      <sheetName val="CDIA Gráfico 26"/>
      <sheetName val="CDIA Gráfico 27"/>
      <sheetName val="UNACOL Gráfico 28"/>
      <sheetName val="UNACOL Gráfico 29"/>
      <sheetName val="UNACOL Gráfico 30"/>
      <sheetName val="UNACOL Gráfico 31"/>
      <sheetName val="UNACOL Gráfico 32"/>
      <sheetName val="UNACOL Gráfico 33"/>
      <sheetName val="UNACOL Gráfico 34"/>
      <sheetName val="UNACOL Gráfico 35"/>
      <sheetName val="UNACOL Tabela 4"/>
      <sheetName val="COMP Gráfico 36"/>
      <sheetName val="COMP Gráfico 37"/>
      <sheetName val="COMP Gráfico 38"/>
      <sheetName val="COMP Gráfico 39"/>
    </sheetNames>
    <sheetDataSet>
      <sheetData sheetId="0" refreshError="1"/>
      <sheetData sheetId="1" refreshError="1"/>
      <sheetData sheetId="2">
        <row r="3">
          <cell r="B3" t="str">
            <v>Pequeno I</v>
          </cell>
          <cell r="C3" t="str">
            <v>Pequeno II</v>
          </cell>
          <cell r="D3" t="str">
            <v>Médio</v>
          </cell>
          <cell r="E3" t="str">
            <v>Grande</v>
          </cell>
          <cell r="F3" t="str">
            <v>Metrópole</v>
          </cell>
          <cell r="G3" t="str">
            <v>Brasil</v>
          </cell>
        </row>
        <row r="4">
          <cell r="A4" t="str">
            <v>Nenhum CRAS</v>
          </cell>
          <cell r="B4">
            <v>75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76</v>
          </cell>
        </row>
        <row r="5">
          <cell r="A5" t="str">
            <v>1 CRAS</v>
          </cell>
          <cell r="B5">
            <v>3702</v>
          </cell>
          <cell r="C5">
            <v>711</v>
          </cell>
          <cell r="D5">
            <v>63</v>
          </cell>
          <cell r="E5">
            <v>1</v>
          </cell>
          <cell r="F5">
            <v>0</v>
          </cell>
          <cell r="G5">
            <v>4477</v>
          </cell>
        </row>
        <row r="6">
          <cell r="A6" t="str">
            <v>De 2 a 3 CRAS</v>
          </cell>
          <cell r="B6">
            <v>142</v>
          </cell>
          <cell r="C6">
            <v>321</v>
          </cell>
          <cell r="D6">
            <v>216</v>
          </cell>
          <cell r="E6">
            <v>43</v>
          </cell>
          <cell r="F6">
            <v>0</v>
          </cell>
          <cell r="G6">
            <v>722</v>
          </cell>
        </row>
        <row r="7">
          <cell r="A7" t="str">
            <v>De 4 a 6 CRAS</v>
          </cell>
          <cell r="B7">
            <v>3</v>
          </cell>
          <cell r="C7">
            <v>7</v>
          </cell>
          <cell r="D7">
            <v>44</v>
          </cell>
          <cell r="E7">
            <v>146</v>
          </cell>
          <cell r="F7">
            <v>0</v>
          </cell>
          <cell r="G7">
            <v>200</v>
          </cell>
        </row>
        <row r="8">
          <cell r="A8" t="str">
            <v>De 7 a 10 CRAS</v>
          </cell>
          <cell r="B8">
            <v>0</v>
          </cell>
          <cell r="C8">
            <v>0</v>
          </cell>
          <cell r="D8">
            <v>2</v>
          </cell>
          <cell r="E8">
            <v>55</v>
          </cell>
          <cell r="F8">
            <v>1</v>
          </cell>
          <cell r="G8">
            <v>58</v>
          </cell>
        </row>
        <row r="9">
          <cell r="A9" t="str">
            <v>Mais de 10 CRAS</v>
          </cell>
          <cell r="B9">
            <v>0</v>
          </cell>
          <cell r="C9">
            <v>0</v>
          </cell>
          <cell r="D9">
            <v>0</v>
          </cell>
          <cell r="E9">
            <v>21</v>
          </cell>
          <cell r="F9">
            <v>16</v>
          </cell>
          <cell r="G9">
            <v>37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34"/>
  <sheetViews>
    <sheetView workbookViewId="0">
      <selection activeCell="G15" sqref="G15"/>
    </sheetView>
  </sheetViews>
  <sheetFormatPr defaultRowHeight="15" x14ac:dyDescent="0.25"/>
  <cols>
    <col min="1" max="1" width="27.28515625" style="3" customWidth="1"/>
    <col min="2" max="2" width="9.140625" style="4" customWidth="1"/>
    <col min="3" max="3" width="13.42578125" style="5" customWidth="1"/>
    <col min="4" max="18" width="9.140625" style="3" customWidth="1"/>
    <col min="19" max="16384" width="9.140625" style="3"/>
  </cols>
  <sheetData>
    <row r="1" spans="1:20" x14ac:dyDescent="0.25">
      <c r="A1" s="119" t="s">
        <v>173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30" x14ac:dyDescent="0.25">
      <c r="A2" s="2" t="s">
        <v>6</v>
      </c>
      <c r="B2" s="4">
        <v>5653</v>
      </c>
      <c r="C2" s="5">
        <f t="shared" ref="C2:C18" si="0">B2/B$19</f>
        <v>0.68604368932038839</v>
      </c>
    </row>
    <row r="3" spans="1:20" ht="30" x14ac:dyDescent="0.25">
      <c r="A3" s="2" t="s">
        <v>10</v>
      </c>
      <c r="B3" s="4">
        <v>7050</v>
      </c>
      <c r="C3" s="5">
        <f t="shared" si="0"/>
        <v>0.85558252427184467</v>
      </c>
    </row>
    <row r="4" spans="1:20" ht="45" x14ac:dyDescent="0.25">
      <c r="A4" s="2" t="s">
        <v>0</v>
      </c>
      <c r="B4" s="4">
        <v>7175</v>
      </c>
      <c r="C4" s="5">
        <f t="shared" si="0"/>
        <v>0.87075242718446599</v>
      </c>
    </row>
    <row r="5" spans="1:20" ht="45" x14ac:dyDescent="0.25">
      <c r="A5" s="2" t="s">
        <v>5</v>
      </c>
      <c r="B5" s="4">
        <v>7533</v>
      </c>
      <c r="C5" s="5">
        <f t="shared" si="0"/>
        <v>0.91419902912621365</v>
      </c>
    </row>
    <row r="6" spans="1:20" ht="30" x14ac:dyDescent="0.25">
      <c r="A6" s="2" t="s">
        <v>11</v>
      </c>
      <c r="B6" s="4">
        <v>7535</v>
      </c>
      <c r="C6" s="5">
        <f t="shared" si="0"/>
        <v>0.91444174757281549</v>
      </c>
    </row>
    <row r="7" spans="1:20" x14ac:dyDescent="0.25">
      <c r="A7" s="2" t="s">
        <v>7</v>
      </c>
      <c r="B7" s="4">
        <v>7659</v>
      </c>
      <c r="C7" s="5">
        <f t="shared" si="0"/>
        <v>0.92949029126213589</v>
      </c>
    </row>
    <row r="8" spans="1:20" ht="45" x14ac:dyDescent="0.25">
      <c r="A8" s="2" t="s">
        <v>3</v>
      </c>
      <c r="B8" s="4">
        <v>7747</v>
      </c>
      <c r="C8" s="5">
        <f t="shared" si="0"/>
        <v>0.94016990291262137</v>
      </c>
    </row>
    <row r="9" spans="1:20" x14ac:dyDescent="0.25">
      <c r="A9" s="2" t="s">
        <v>9</v>
      </c>
      <c r="B9" s="4">
        <v>7772</v>
      </c>
      <c r="C9" s="5">
        <f t="shared" si="0"/>
        <v>0.94320388349514561</v>
      </c>
    </row>
    <row r="10" spans="1:20" ht="45" x14ac:dyDescent="0.25">
      <c r="A10" s="2" t="s">
        <v>1</v>
      </c>
      <c r="B10" s="4">
        <v>7847</v>
      </c>
      <c r="C10" s="5">
        <f t="shared" si="0"/>
        <v>0.95230582524271845</v>
      </c>
    </row>
    <row r="11" spans="1:20" ht="45" x14ac:dyDescent="0.25">
      <c r="A11" s="2" t="s">
        <v>15</v>
      </c>
      <c r="B11" s="4">
        <v>7870</v>
      </c>
      <c r="C11" s="5">
        <f t="shared" si="0"/>
        <v>0.95509708737864074</v>
      </c>
    </row>
    <row r="12" spans="1:20" ht="30" x14ac:dyDescent="0.25">
      <c r="A12" s="2" t="s">
        <v>4</v>
      </c>
      <c r="B12" s="4">
        <v>7965</v>
      </c>
      <c r="C12" s="5">
        <f t="shared" si="0"/>
        <v>0.966626213592233</v>
      </c>
    </row>
    <row r="13" spans="1:20" ht="45" x14ac:dyDescent="0.25">
      <c r="A13" s="2" t="s">
        <v>13</v>
      </c>
      <c r="B13" s="4">
        <v>8037</v>
      </c>
      <c r="C13" s="5">
        <f t="shared" si="0"/>
        <v>0.97536407766990296</v>
      </c>
    </row>
    <row r="14" spans="1:20" ht="60" x14ac:dyDescent="0.25">
      <c r="A14" s="2" t="s">
        <v>14</v>
      </c>
      <c r="B14" s="4">
        <v>8058</v>
      </c>
      <c r="C14" s="5">
        <f t="shared" si="0"/>
        <v>0.9779126213592233</v>
      </c>
      <c r="J14" s="121" t="s">
        <v>164</v>
      </c>
      <c r="K14" s="121"/>
      <c r="L14" s="121"/>
    </row>
    <row r="15" spans="1:20" ht="30" x14ac:dyDescent="0.25">
      <c r="A15" s="2" t="s">
        <v>12</v>
      </c>
      <c r="B15" s="4">
        <v>8082</v>
      </c>
      <c r="C15" s="5">
        <f t="shared" si="0"/>
        <v>0.98082524271844662</v>
      </c>
    </row>
    <row r="16" spans="1:20" ht="45" x14ac:dyDescent="0.25">
      <c r="A16" s="2" t="s">
        <v>16</v>
      </c>
      <c r="B16" s="4">
        <v>8110</v>
      </c>
      <c r="C16" s="5">
        <f t="shared" si="0"/>
        <v>0.98422330097087374</v>
      </c>
    </row>
    <row r="17" spans="1:9" ht="30" x14ac:dyDescent="0.25">
      <c r="A17" s="2" t="s">
        <v>2</v>
      </c>
      <c r="B17" s="4">
        <v>8162</v>
      </c>
      <c r="C17" s="5">
        <f t="shared" si="0"/>
        <v>0.99053398058252429</v>
      </c>
    </row>
    <row r="18" spans="1:9" x14ac:dyDescent="0.25">
      <c r="A18" s="2" t="s">
        <v>8</v>
      </c>
      <c r="B18" s="4">
        <v>8190</v>
      </c>
      <c r="C18" s="5">
        <f t="shared" si="0"/>
        <v>0.9939320388349514</v>
      </c>
    </row>
    <row r="19" spans="1:9" x14ac:dyDescent="0.25">
      <c r="A19" s="3" t="s">
        <v>17</v>
      </c>
      <c r="B19" s="4">
        <v>8240</v>
      </c>
    </row>
    <row r="21" spans="1:9" x14ac:dyDescent="0.25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x14ac:dyDescent="0.25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9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9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9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29" spans="1:9" x14ac:dyDescent="0.25">
      <c r="A29" s="120"/>
      <c r="B29" s="120"/>
      <c r="C29" s="120"/>
      <c r="D29" s="120"/>
      <c r="E29" s="120"/>
      <c r="F29" s="120"/>
      <c r="G29" s="120"/>
      <c r="H29" s="120"/>
      <c r="I29" s="120"/>
    </row>
    <row r="30" spans="1:9" x14ac:dyDescent="0.25">
      <c r="A30" s="120"/>
      <c r="B30" s="120"/>
      <c r="C30" s="120"/>
      <c r="D30" s="120"/>
      <c r="E30" s="120"/>
      <c r="F30" s="120"/>
      <c r="G30" s="120"/>
      <c r="H30" s="120"/>
      <c r="I30" s="120"/>
    </row>
    <row r="31" spans="1:9" x14ac:dyDescent="0.25">
      <c r="A31" s="120"/>
      <c r="B31" s="120"/>
      <c r="C31" s="120"/>
      <c r="D31" s="120"/>
      <c r="E31" s="120"/>
      <c r="F31" s="120"/>
      <c r="G31" s="120"/>
      <c r="H31" s="120"/>
      <c r="I31" s="120"/>
    </row>
    <row r="32" spans="1:9" x14ac:dyDescent="0.25">
      <c r="A32" s="120"/>
      <c r="B32" s="120"/>
      <c r="C32" s="120"/>
      <c r="D32" s="120"/>
      <c r="E32" s="120"/>
      <c r="F32" s="120"/>
      <c r="G32" s="120"/>
      <c r="H32" s="120"/>
      <c r="I32" s="120"/>
    </row>
    <row r="33" spans="1:9" x14ac:dyDescent="0.25">
      <c r="A33" s="120"/>
      <c r="B33" s="120"/>
      <c r="C33" s="120"/>
      <c r="D33" s="120"/>
      <c r="E33" s="120"/>
      <c r="F33" s="120"/>
      <c r="G33" s="120"/>
      <c r="H33" s="120"/>
      <c r="I33" s="120"/>
    </row>
    <row r="34" spans="1:9" x14ac:dyDescent="0.25">
      <c r="A34" s="120"/>
      <c r="B34" s="120"/>
      <c r="C34" s="120"/>
      <c r="D34" s="120"/>
      <c r="E34" s="120"/>
      <c r="F34" s="120"/>
      <c r="G34" s="120"/>
      <c r="H34" s="120"/>
      <c r="I34" s="120"/>
    </row>
  </sheetData>
  <mergeCells count="3">
    <mergeCell ref="A1:T1"/>
    <mergeCell ref="A21:I34"/>
    <mergeCell ref="J14:L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66"/>
  <sheetViews>
    <sheetView workbookViewId="0">
      <selection activeCell="A66" sqref="A66:C66"/>
    </sheetView>
  </sheetViews>
  <sheetFormatPr defaultRowHeight="15" x14ac:dyDescent="0.25"/>
  <cols>
    <col min="1" max="1" width="108" bestFit="1" customWidth="1"/>
  </cols>
  <sheetData>
    <row r="1" spans="1:20" x14ac:dyDescent="0.25">
      <c r="A1" s="119" t="s">
        <v>174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x14ac:dyDescent="0.25">
      <c r="A2" s="99"/>
      <c r="B2" s="99"/>
      <c r="C2" s="99"/>
    </row>
    <row r="3" spans="1:20" x14ac:dyDescent="0.25">
      <c r="A3" t="s">
        <v>83</v>
      </c>
      <c r="B3">
        <v>208</v>
      </c>
      <c r="C3" s="18">
        <f t="shared" ref="C3:C24" si="0">B3/B$26</f>
        <v>8.250694168980563E-2</v>
      </c>
      <c r="E3" s="127"/>
      <c r="F3" s="127"/>
      <c r="G3" s="127"/>
      <c r="H3" s="127"/>
      <c r="I3" s="127"/>
      <c r="J3" s="127"/>
      <c r="K3" s="127"/>
      <c r="L3" s="127"/>
      <c r="M3" s="127"/>
    </row>
    <row r="4" spans="1:20" x14ac:dyDescent="0.25">
      <c r="A4" t="s">
        <v>75</v>
      </c>
      <c r="B4">
        <v>1827</v>
      </c>
      <c r="C4" s="18">
        <f t="shared" si="0"/>
        <v>0.72471241570805234</v>
      </c>
      <c r="E4" s="127"/>
      <c r="F4" s="127"/>
      <c r="G4" s="127"/>
      <c r="H4" s="127"/>
      <c r="I4" s="127"/>
      <c r="J4" s="127"/>
      <c r="K4" s="127"/>
      <c r="L4" s="127"/>
      <c r="M4" s="127"/>
    </row>
    <row r="5" spans="1:20" x14ac:dyDescent="0.25">
      <c r="A5" t="s">
        <v>76</v>
      </c>
      <c r="B5">
        <v>1897</v>
      </c>
      <c r="C5" s="18">
        <f t="shared" si="0"/>
        <v>0.75247917493058314</v>
      </c>
      <c r="E5" s="127"/>
      <c r="F5" s="127"/>
      <c r="G5" s="127"/>
      <c r="H5" s="127"/>
      <c r="I5" s="127"/>
      <c r="J5" s="127"/>
      <c r="K5" s="127"/>
      <c r="L5" s="127"/>
      <c r="M5" s="127"/>
    </row>
    <row r="6" spans="1:20" x14ac:dyDescent="0.25">
      <c r="A6" t="s">
        <v>6</v>
      </c>
      <c r="B6">
        <v>2016</v>
      </c>
      <c r="C6" s="18">
        <f t="shared" si="0"/>
        <v>0.79968266560888535</v>
      </c>
      <c r="E6" s="127"/>
      <c r="F6" s="127"/>
      <c r="G6" s="127"/>
      <c r="H6" s="127"/>
      <c r="I6" s="127"/>
      <c r="J6" s="127"/>
      <c r="K6" s="127"/>
      <c r="L6" s="127"/>
      <c r="M6" s="127"/>
    </row>
    <row r="7" spans="1:20" x14ac:dyDescent="0.25">
      <c r="A7" t="s">
        <v>12</v>
      </c>
      <c r="B7">
        <v>2115</v>
      </c>
      <c r="C7" s="18">
        <f t="shared" si="0"/>
        <v>0.83895279650932175</v>
      </c>
      <c r="E7" s="127"/>
      <c r="F7" s="127"/>
      <c r="G7" s="127"/>
      <c r="H7" s="127"/>
      <c r="I7" s="127"/>
      <c r="J7" s="127"/>
      <c r="K7" s="127"/>
      <c r="L7" s="127"/>
      <c r="M7" s="127"/>
    </row>
    <row r="8" spans="1:20" x14ac:dyDescent="0.25">
      <c r="A8" t="s">
        <v>11</v>
      </c>
      <c r="B8">
        <v>2177</v>
      </c>
      <c r="C8" s="18">
        <f t="shared" si="0"/>
        <v>0.86354621182070612</v>
      </c>
      <c r="E8" s="127"/>
      <c r="F8" s="127"/>
      <c r="G8" s="127"/>
      <c r="H8" s="127"/>
      <c r="I8" s="127"/>
      <c r="J8" s="127"/>
      <c r="K8" s="127"/>
      <c r="L8" s="127"/>
      <c r="M8" s="127"/>
    </row>
    <row r="9" spans="1:20" x14ac:dyDescent="0.25">
      <c r="A9" t="s">
        <v>9</v>
      </c>
      <c r="B9">
        <v>2251</v>
      </c>
      <c r="C9" s="18">
        <f t="shared" si="0"/>
        <v>0.89289964299880997</v>
      </c>
      <c r="E9" s="127"/>
      <c r="F9" s="127"/>
      <c r="G9" s="127"/>
      <c r="H9" s="127"/>
      <c r="I9" s="127"/>
      <c r="J9" s="127"/>
      <c r="K9" s="127"/>
      <c r="L9" s="127"/>
      <c r="M9" s="127"/>
    </row>
    <row r="10" spans="1:20" x14ac:dyDescent="0.25">
      <c r="A10" t="s">
        <v>78</v>
      </c>
      <c r="B10">
        <v>2308</v>
      </c>
      <c r="C10" s="18">
        <f t="shared" si="0"/>
        <v>0.91550971836572792</v>
      </c>
      <c r="E10" s="127"/>
      <c r="F10" s="127"/>
      <c r="G10" s="127"/>
      <c r="H10" s="127"/>
      <c r="I10" s="127"/>
      <c r="J10" s="127"/>
      <c r="K10" s="127"/>
      <c r="L10" s="127"/>
      <c r="M10" s="127"/>
    </row>
    <row r="11" spans="1:20" x14ac:dyDescent="0.25">
      <c r="A11" t="s">
        <v>15</v>
      </c>
      <c r="B11">
        <v>2356</v>
      </c>
      <c r="C11" s="18">
        <f t="shared" si="0"/>
        <v>0.93454978183260606</v>
      </c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20" x14ac:dyDescent="0.25">
      <c r="A12" t="s">
        <v>16</v>
      </c>
      <c r="B12">
        <v>2359</v>
      </c>
      <c r="C12" s="18">
        <f t="shared" si="0"/>
        <v>0.93573978579928596</v>
      </c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0" x14ac:dyDescent="0.25">
      <c r="A13" t="s">
        <v>73</v>
      </c>
      <c r="B13">
        <v>2434</v>
      </c>
      <c r="C13" s="18">
        <f t="shared" si="0"/>
        <v>0.96548988496628319</v>
      </c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0" x14ac:dyDescent="0.25">
      <c r="A14" t="s">
        <v>1</v>
      </c>
      <c r="B14">
        <v>2461</v>
      </c>
      <c r="C14" s="18">
        <f t="shared" si="0"/>
        <v>0.97619992066640227</v>
      </c>
    </row>
    <row r="15" spans="1:20" x14ac:dyDescent="0.25">
      <c r="A15" t="s">
        <v>14</v>
      </c>
      <c r="B15">
        <v>2463</v>
      </c>
      <c r="C15" s="18">
        <f t="shared" si="0"/>
        <v>0.97699325664418879</v>
      </c>
    </row>
    <row r="16" spans="1:20" x14ac:dyDescent="0.25">
      <c r="A16" t="s">
        <v>3</v>
      </c>
      <c r="B16">
        <v>2472</v>
      </c>
      <c r="C16" s="18">
        <f t="shared" si="0"/>
        <v>0.98056326854422848</v>
      </c>
    </row>
    <row r="17" spans="1:3" x14ac:dyDescent="0.25">
      <c r="A17" t="s">
        <v>74</v>
      </c>
      <c r="B17">
        <v>2473</v>
      </c>
      <c r="C17" s="18">
        <f t="shared" si="0"/>
        <v>0.98095993653312175</v>
      </c>
    </row>
    <row r="18" spans="1:3" x14ac:dyDescent="0.25">
      <c r="A18" t="s">
        <v>82</v>
      </c>
      <c r="B18">
        <v>2474</v>
      </c>
      <c r="C18" s="18">
        <f t="shared" si="0"/>
        <v>0.98135660452201512</v>
      </c>
    </row>
    <row r="19" spans="1:3" x14ac:dyDescent="0.25">
      <c r="A19" t="s">
        <v>81</v>
      </c>
      <c r="B19">
        <v>2483</v>
      </c>
      <c r="C19" s="18">
        <f t="shared" si="0"/>
        <v>0.9849266164220547</v>
      </c>
    </row>
    <row r="20" spans="1:3" x14ac:dyDescent="0.25">
      <c r="A20" t="s">
        <v>13</v>
      </c>
      <c r="B20">
        <v>2496</v>
      </c>
      <c r="C20" s="18">
        <f t="shared" si="0"/>
        <v>0.99008330027766756</v>
      </c>
    </row>
    <row r="21" spans="1:3" x14ac:dyDescent="0.25">
      <c r="A21" t="s">
        <v>80</v>
      </c>
      <c r="B21">
        <v>2498</v>
      </c>
      <c r="C21" s="18">
        <f t="shared" si="0"/>
        <v>0.99087663625545419</v>
      </c>
    </row>
    <row r="22" spans="1:3" x14ac:dyDescent="0.25">
      <c r="A22" t="s">
        <v>79</v>
      </c>
      <c r="B22">
        <v>2507</v>
      </c>
      <c r="C22" s="18">
        <f t="shared" si="0"/>
        <v>0.99444664815549388</v>
      </c>
    </row>
    <row r="23" spans="1:3" x14ac:dyDescent="0.25">
      <c r="A23" t="s">
        <v>72</v>
      </c>
      <c r="B23">
        <v>2509</v>
      </c>
      <c r="C23" s="18">
        <f t="shared" si="0"/>
        <v>0.99523998413328041</v>
      </c>
    </row>
    <row r="24" spans="1:3" x14ac:dyDescent="0.25">
      <c r="A24" t="s">
        <v>77</v>
      </c>
      <c r="B24">
        <v>2509</v>
      </c>
      <c r="C24" s="18">
        <f t="shared" si="0"/>
        <v>0.99523998413328041</v>
      </c>
    </row>
    <row r="26" spans="1:3" x14ac:dyDescent="0.25">
      <c r="A26" s="3" t="s">
        <v>50</v>
      </c>
      <c r="B26" s="4">
        <v>2521</v>
      </c>
    </row>
    <row r="66" spans="1:3" x14ac:dyDescent="0.25">
      <c r="A66" s="121" t="s">
        <v>164</v>
      </c>
      <c r="B66" s="121"/>
      <c r="C66" s="121"/>
    </row>
  </sheetData>
  <autoFilter ref="A2:C2">
    <sortState ref="A3:C24">
      <sortCondition ref="C2"/>
    </sortState>
  </autoFilter>
  <mergeCells count="3">
    <mergeCell ref="E3:M13"/>
    <mergeCell ref="A1:T1"/>
    <mergeCell ref="A66:C6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33"/>
  <sheetViews>
    <sheetView workbookViewId="0">
      <selection activeCell="N24" sqref="N24:P24"/>
    </sheetView>
  </sheetViews>
  <sheetFormatPr defaultRowHeight="15" x14ac:dyDescent="0.25"/>
  <cols>
    <col min="1" max="1" width="65.85546875" style="3" bestFit="1" customWidth="1"/>
    <col min="2" max="2" width="9.140625" style="4" customWidth="1"/>
    <col min="3" max="3" width="9.140625" style="5" customWidth="1"/>
    <col min="4" max="18" width="9.140625" style="3" customWidth="1"/>
    <col min="19" max="16384" width="9.140625" style="3"/>
  </cols>
  <sheetData>
    <row r="1" spans="1:18" ht="15" customHeight="1" x14ac:dyDescent="0.25">
      <c r="A1" s="128" t="s">
        <v>175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8" ht="30" customHeight="1" x14ac:dyDescent="0.25">
      <c r="B2" s="129" t="s">
        <v>52</v>
      </c>
      <c r="C2" s="129"/>
      <c r="D2" s="129"/>
      <c r="E2" s="129"/>
      <c r="F2" s="129"/>
    </row>
    <row r="3" spans="1:18" ht="75" customHeight="1" x14ac:dyDescent="0.25">
      <c r="A3" s="97" t="s">
        <v>51</v>
      </c>
      <c r="B3" s="41" t="s">
        <v>53</v>
      </c>
      <c r="C3" s="42" t="s">
        <v>54</v>
      </c>
      <c r="D3" s="41" t="s">
        <v>55</v>
      </c>
      <c r="E3" s="41" t="s">
        <v>23</v>
      </c>
      <c r="F3" s="41" t="s">
        <v>56</v>
      </c>
    </row>
    <row r="4" spans="1:18" x14ac:dyDescent="0.25">
      <c r="A4" s="3" t="s">
        <v>63</v>
      </c>
      <c r="B4" s="95">
        <v>2122</v>
      </c>
      <c r="C4" s="95"/>
      <c r="D4" s="95"/>
      <c r="E4" s="95"/>
      <c r="F4" s="95">
        <v>399</v>
      </c>
      <c r="G4" s="98">
        <f t="shared" ref="G4:G18" si="0">SUM(B4:E4)</f>
        <v>2122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69</v>
      </c>
      <c r="B5" s="95">
        <v>2218</v>
      </c>
      <c r="C5" s="95"/>
      <c r="D5" s="95"/>
      <c r="E5" s="95"/>
      <c r="F5" s="95">
        <v>303</v>
      </c>
      <c r="G5" s="98">
        <f t="shared" si="0"/>
        <v>2218</v>
      </c>
    </row>
    <row r="6" spans="1:18" x14ac:dyDescent="0.25">
      <c r="A6" s="3" t="s">
        <v>71</v>
      </c>
      <c r="B6" s="95"/>
      <c r="C6" s="95">
        <v>975</v>
      </c>
      <c r="D6" s="95">
        <v>979</v>
      </c>
      <c r="E6" s="95">
        <v>670</v>
      </c>
      <c r="F6" s="95">
        <v>1422</v>
      </c>
      <c r="G6" s="98">
        <f t="shared" si="0"/>
        <v>2624</v>
      </c>
    </row>
    <row r="7" spans="1:18" x14ac:dyDescent="0.25">
      <c r="A7" s="3" t="s">
        <v>70</v>
      </c>
      <c r="B7" s="95"/>
      <c r="C7" s="95">
        <v>1043</v>
      </c>
      <c r="D7" s="95">
        <v>971</v>
      </c>
      <c r="E7" s="95">
        <v>790</v>
      </c>
      <c r="F7" s="95">
        <v>1363</v>
      </c>
      <c r="G7" s="98">
        <f t="shared" si="0"/>
        <v>2804</v>
      </c>
    </row>
    <row r="8" spans="1:18" x14ac:dyDescent="0.25">
      <c r="A8" s="3" t="s">
        <v>62</v>
      </c>
      <c r="B8" s="95">
        <v>940</v>
      </c>
      <c r="C8" s="95">
        <v>819</v>
      </c>
      <c r="D8" s="95">
        <v>698</v>
      </c>
      <c r="E8" s="95">
        <v>717</v>
      </c>
      <c r="F8" s="95">
        <v>1533</v>
      </c>
      <c r="G8" s="98">
        <f t="shared" si="0"/>
        <v>3174</v>
      </c>
    </row>
    <row r="9" spans="1:18" x14ac:dyDescent="0.25">
      <c r="A9" s="3" t="s">
        <v>61</v>
      </c>
      <c r="B9" s="95">
        <v>2409</v>
      </c>
      <c r="C9" s="95"/>
      <c r="D9" s="95"/>
      <c r="E9" s="95">
        <v>2255</v>
      </c>
      <c r="F9" s="95">
        <v>50</v>
      </c>
      <c r="G9" s="98">
        <f t="shared" si="0"/>
        <v>4664</v>
      </c>
    </row>
    <row r="10" spans="1:18" x14ac:dyDescent="0.25">
      <c r="A10" s="3" t="s">
        <v>68</v>
      </c>
      <c r="B10" s="95">
        <v>1991</v>
      </c>
      <c r="C10" s="95">
        <v>1145</v>
      </c>
      <c r="D10" s="95">
        <v>1012</v>
      </c>
      <c r="E10" s="95">
        <v>1392</v>
      </c>
      <c r="F10" s="95">
        <v>435</v>
      </c>
      <c r="G10" s="98">
        <f t="shared" si="0"/>
        <v>5540</v>
      </c>
    </row>
    <row r="11" spans="1:18" x14ac:dyDescent="0.25">
      <c r="A11" s="3" t="s">
        <v>60</v>
      </c>
      <c r="B11" s="95">
        <v>2242</v>
      </c>
      <c r="C11" s="95">
        <v>1416</v>
      </c>
      <c r="D11" s="95">
        <v>857</v>
      </c>
      <c r="E11" s="95">
        <v>1135</v>
      </c>
      <c r="F11" s="95">
        <v>255</v>
      </c>
      <c r="G11" s="98">
        <f t="shared" si="0"/>
        <v>5650</v>
      </c>
    </row>
    <row r="12" spans="1:18" x14ac:dyDescent="0.25">
      <c r="A12" s="3" t="s">
        <v>66</v>
      </c>
      <c r="B12" s="95">
        <v>1578</v>
      </c>
      <c r="C12" s="95">
        <v>1453</v>
      </c>
      <c r="D12" s="95">
        <v>1396</v>
      </c>
      <c r="E12" s="95">
        <v>1335</v>
      </c>
      <c r="F12" s="95">
        <v>856</v>
      </c>
      <c r="G12" s="98">
        <f t="shared" si="0"/>
        <v>5762</v>
      </c>
    </row>
    <row r="13" spans="1:18" x14ac:dyDescent="0.25">
      <c r="A13" s="3" t="s">
        <v>65</v>
      </c>
      <c r="B13" s="95">
        <v>1680</v>
      </c>
      <c r="C13" s="95">
        <v>1504</v>
      </c>
      <c r="D13" s="95">
        <v>1507</v>
      </c>
      <c r="E13" s="95">
        <v>1188</v>
      </c>
      <c r="F13" s="95">
        <v>650</v>
      </c>
      <c r="G13" s="98">
        <f t="shared" si="0"/>
        <v>5879</v>
      </c>
    </row>
    <row r="14" spans="1:18" x14ac:dyDescent="0.25">
      <c r="A14" s="3" t="s">
        <v>64</v>
      </c>
      <c r="B14" s="95">
        <v>1537</v>
      </c>
      <c r="C14" s="95">
        <v>1590</v>
      </c>
      <c r="D14" s="95">
        <v>1679</v>
      </c>
      <c r="E14" s="95">
        <v>1509</v>
      </c>
      <c r="F14" s="95">
        <v>565</v>
      </c>
      <c r="G14" s="98">
        <f t="shared" si="0"/>
        <v>6315</v>
      </c>
    </row>
    <row r="15" spans="1:18" x14ac:dyDescent="0.25">
      <c r="A15" s="3" t="s">
        <v>59</v>
      </c>
      <c r="B15" s="95">
        <v>2464</v>
      </c>
      <c r="C15" s="95">
        <v>1934</v>
      </c>
      <c r="D15" s="95">
        <v>974</v>
      </c>
      <c r="E15" s="95">
        <v>1516</v>
      </c>
      <c r="F15" s="95">
        <v>40</v>
      </c>
      <c r="G15" s="98">
        <f t="shared" si="0"/>
        <v>6888</v>
      </c>
    </row>
    <row r="16" spans="1:18" x14ac:dyDescent="0.25">
      <c r="A16" s="3" t="s">
        <v>67</v>
      </c>
      <c r="B16" s="95">
        <v>2208</v>
      </c>
      <c r="C16" s="95">
        <v>2052</v>
      </c>
      <c r="D16" s="95">
        <v>1903</v>
      </c>
      <c r="E16" s="95">
        <v>2081</v>
      </c>
      <c r="F16" s="95">
        <v>126</v>
      </c>
      <c r="G16" s="98">
        <f t="shared" si="0"/>
        <v>8244</v>
      </c>
    </row>
    <row r="17" spans="1:16" x14ac:dyDescent="0.25">
      <c r="A17" s="3" t="s">
        <v>57</v>
      </c>
      <c r="B17" s="95">
        <v>2428</v>
      </c>
      <c r="C17" s="95">
        <v>2332</v>
      </c>
      <c r="D17" s="95">
        <v>1348</v>
      </c>
      <c r="E17" s="95">
        <v>2299</v>
      </c>
      <c r="F17" s="95">
        <v>33</v>
      </c>
      <c r="G17" s="98">
        <f t="shared" si="0"/>
        <v>8407</v>
      </c>
    </row>
    <row r="18" spans="1:16" x14ac:dyDescent="0.25">
      <c r="A18" s="3" t="s">
        <v>58</v>
      </c>
      <c r="B18" s="95">
        <v>2442</v>
      </c>
      <c r="C18" s="95">
        <v>2329</v>
      </c>
      <c r="D18" s="95">
        <v>1431</v>
      </c>
      <c r="E18" s="95">
        <v>2314</v>
      </c>
      <c r="F18" s="95">
        <v>29</v>
      </c>
      <c r="G18" s="98">
        <f t="shared" si="0"/>
        <v>8516</v>
      </c>
    </row>
    <row r="20" spans="1:16" x14ac:dyDescent="0.25">
      <c r="A20" s="3" t="s">
        <v>50</v>
      </c>
      <c r="B20" s="4">
        <v>2521</v>
      </c>
    </row>
    <row r="23" spans="1:16" x14ac:dyDescent="0.25">
      <c r="A23" s="127"/>
      <c r="B23" s="127"/>
      <c r="C23" s="127"/>
      <c r="D23" s="127"/>
      <c r="E23" s="127"/>
      <c r="F23" s="127"/>
      <c r="G23" s="127"/>
      <c r="H23" s="127"/>
      <c r="I23" s="127"/>
    </row>
    <row r="24" spans="1:16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N24" s="121" t="s">
        <v>164</v>
      </c>
      <c r="O24" s="121"/>
      <c r="P24" s="121"/>
    </row>
    <row r="25" spans="1:16" x14ac:dyDescent="0.25">
      <c r="A25" s="127"/>
      <c r="B25" s="127"/>
      <c r="C25" s="127"/>
      <c r="D25" s="127"/>
      <c r="E25" s="127"/>
      <c r="F25" s="127"/>
      <c r="G25" s="127"/>
      <c r="H25" s="127"/>
      <c r="I25" s="127"/>
    </row>
    <row r="26" spans="1:16" x14ac:dyDescent="0.25">
      <c r="A26" s="127"/>
      <c r="B26" s="127"/>
      <c r="C26" s="127"/>
      <c r="D26" s="127"/>
      <c r="E26" s="127"/>
      <c r="F26" s="127"/>
      <c r="G26" s="127"/>
      <c r="H26" s="127"/>
      <c r="I26" s="127"/>
    </row>
    <row r="27" spans="1:16" x14ac:dyDescent="0.25">
      <c r="A27" s="127"/>
      <c r="B27" s="127"/>
      <c r="C27" s="127"/>
      <c r="D27" s="127"/>
      <c r="E27" s="127"/>
      <c r="F27" s="127"/>
      <c r="G27" s="127"/>
      <c r="H27" s="127"/>
      <c r="I27" s="127"/>
    </row>
    <row r="28" spans="1:16" x14ac:dyDescent="0.25">
      <c r="A28" s="127"/>
      <c r="B28" s="127"/>
      <c r="C28" s="127"/>
      <c r="D28" s="127"/>
      <c r="E28" s="127"/>
      <c r="F28" s="127"/>
      <c r="G28" s="127"/>
      <c r="H28" s="127"/>
      <c r="I28" s="127"/>
    </row>
    <row r="29" spans="1:16" x14ac:dyDescent="0.25">
      <c r="A29" s="127"/>
      <c r="B29" s="127"/>
      <c r="C29" s="127"/>
      <c r="D29" s="127"/>
      <c r="E29" s="127"/>
      <c r="F29" s="127"/>
      <c r="G29" s="127"/>
      <c r="H29" s="127"/>
      <c r="I29" s="127"/>
    </row>
    <row r="30" spans="1:16" x14ac:dyDescent="0.25">
      <c r="A30" s="127"/>
      <c r="B30" s="127"/>
      <c r="C30" s="127"/>
      <c r="D30" s="127"/>
      <c r="E30" s="127"/>
      <c r="F30" s="127"/>
      <c r="G30" s="127"/>
      <c r="H30" s="127"/>
      <c r="I30" s="127"/>
    </row>
    <row r="31" spans="1:16" x14ac:dyDescent="0.25">
      <c r="A31" s="127"/>
      <c r="B31" s="127"/>
      <c r="C31" s="127"/>
      <c r="D31" s="127"/>
      <c r="E31" s="127"/>
      <c r="F31" s="127"/>
      <c r="G31" s="127"/>
      <c r="H31" s="127"/>
      <c r="I31" s="127"/>
    </row>
    <row r="32" spans="1:16" x14ac:dyDescent="0.25">
      <c r="A32" s="127"/>
      <c r="B32" s="127"/>
      <c r="C32" s="127"/>
      <c r="D32" s="127"/>
      <c r="E32" s="127"/>
      <c r="F32" s="127"/>
      <c r="G32" s="127"/>
      <c r="H32" s="127"/>
      <c r="I32" s="127"/>
    </row>
    <row r="33" spans="1:9" x14ac:dyDescent="0.25">
      <c r="A33" s="127"/>
      <c r="B33" s="127"/>
      <c r="C33" s="127"/>
      <c r="D33" s="127"/>
      <c r="E33" s="127"/>
      <c r="F33" s="127"/>
      <c r="G33" s="127"/>
      <c r="H33" s="127"/>
      <c r="I33" s="127"/>
    </row>
  </sheetData>
  <autoFilter ref="A3:G3">
    <sortState ref="A4:G18">
      <sortCondition ref="G3"/>
    </sortState>
  </autoFilter>
  <mergeCells count="4">
    <mergeCell ref="B2:F2"/>
    <mergeCell ref="A1:M1"/>
    <mergeCell ref="A23:I33"/>
    <mergeCell ref="N24:P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40"/>
  <sheetViews>
    <sheetView workbookViewId="0">
      <selection activeCell="M22" sqref="M22"/>
    </sheetView>
  </sheetViews>
  <sheetFormatPr defaultColWidth="8.85546875" defaultRowHeight="15" x14ac:dyDescent="0.25"/>
  <cols>
    <col min="1" max="1" width="4.140625" customWidth="1"/>
    <col min="2" max="2" width="14.7109375" customWidth="1"/>
    <col min="3" max="3" width="23.42578125" customWidth="1"/>
    <col min="4" max="4" width="23.7109375" customWidth="1"/>
    <col min="5" max="5" width="31.42578125" customWidth="1"/>
    <col min="6" max="6" width="22.42578125" customWidth="1"/>
    <col min="7" max="7" width="17.28515625" customWidth="1"/>
    <col min="10" max="10" width="13.140625" bestFit="1" customWidth="1"/>
    <col min="11" max="12" width="12.140625" bestFit="1" customWidth="1"/>
    <col min="13" max="13" width="25.5703125" bestFit="1" customWidth="1"/>
    <col min="14" max="14" width="18.140625" bestFit="1" customWidth="1"/>
  </cols>
  <sheetData>
    <row r="1" spans="1:16" ht="15.75" x14ac:dyDescent="0.25">
      <c r="A1" s="130" t="s">
        <v>176</v>
      </c>
      <c r="B1" s="130"/>
      <c r="C1" s="130"/>
      <c r="D1" s="130"/>
      <c r="E1" s="130"/>
      <c r="F1" s="130"/>
      <c r="G1" s="130"/>
    </row>
    <row r="2" spans="1:16" ht="15.75" x14ac:dyDescent="0.25">
      <c r="A2" s="64"/>
      <c r="B2" s="64"/>
      <c r="C2" s="64"/>
      <c r="D2" s="64"/>
      <c r="E2" s="64"/>
      <c r="F2" s="64"/>
      <c r="G2" s="64"/>
    </row>
    <row r="3" spans="1:16" ht="78.75" customHeight="1" x14ac:dyDescent="0.25">
      <c r="A3" s="44"/>
      <c r="B3" s="46">
        <v>2016</v>
      </c>
      <c r="C3" s="47" t="s">
        <v>84</v>
      </c>
      <c r="D3" s="47" t="s">
        <v>85</v>
      </c>
      <c r="E3" s="47" t="s">
        <v>86</v>
      </c>
      <c r="F3" s="48" t="s">
        <v>87</v>
      </c>
      <c r="G3" s="45"/>
      <c r="H3" s="49" t="s">
        <v>24</v>
      </c>
      <c r="J3" s="1" t="s">
        <v>89</v>
      </c>
      <c r="K3" s="61" t="s">
        <v>84</v>
      </c>
      <c r="L3" s="15" t="s">
        <v>85</v>
      </c>
      <c r="M3" s="15" t="s">
        <v>86</v>
      </c>
      <c r="N3" s="15" t="s">
        <v>87</v>
      </c>
      <c r="P3" s="19"/>
    </row>
    <row r="4" spans="1:16" ht="15.75" x14ac:dyDescent="0.25">
      <c r="A4" s="43"/>
      <c r="B4" s="50" t="s">
        <v>29</v>
      </c>
      <c r="C4" s="51">
        <v>40</v>
      </c>
      <c r="D4" s="51">
        <v>109</v>
      </c>
      <c r="E4" s="51">
        <v>4</v>
      </c>
      <c r="F4" s="52">
        <v>74</v>
      </c>
      <c r="H4" s="53">
        <f t="shared" ref="H4:H9" si="0">SUM(C4:F4)</f>
        <v>227</v>
      </c>
      <c r="J4" s="62" t="s">
        <v>29</v>
      </c>
      <c r="K4" s="65">
        <f t="shared" ref="K4:N9" si="1">C4/$H4</f>
        <v>0.1762114537444934</v>
      </c>
      <c r="L4" s="65">
        <f t="shared" si="1"/>
        <v>0.48017621145374451</v>
      </c>
      <c r="M4" s="65">
        <f t="shared" si="1"/>
        <v>1.7621145374449341E-2</v>
      </c>
      <c r="N4" s="65">
        <f t="shared" si="1"/>
        <v>0.32599118942731276</v>
      </c>
      <c r="P4" s="19"/>
    </row>
    <row r="5" spans="1:16" ht="15.75" x14ac:dyDescent="0.25">
      <c r="A5" s="44"/>
      <c r="B5" s="54" t="s">
        <v>30</v>
      </c>
      <c r="C5" s="55">
        <v>165</v>
      </c>
      <c r="D5" s="55">
        <v>486</v>
      </c>
      <c r="E5" s="55">
        <v>25</v>
      </c>
      <c r="F5" s="56">
        <v>291</v>
      </c>
      <c r="H5" s="53">
        <f t="shared" si="0"/>
        <v>967</v>
      </c>
      <c r="J5" s="63" t="s">
        <v>30</v>
      </c>
      <c r="K5" s="65">
        <f t="shared" si="1"/>
        <v>0.17063081695966908</v>
      </c>
      <c r="L5" s="65">
        <f t="shared" si="1"/>
        <v>0.50258531540847984</v>
      </c>
      <c r="M5" s="65">
        <f t="shared" si="1"/>
        <v>2.5853154084798345E-2</v>
      </c>
      <c r="N5" s="65">
        <f t="shared" si="1"/>
        <v>0.30093071354705275</v>
      </c>
      <c r="P5" s="19"/>
    </row>
    <row r="6" spans="1:16" ht="15.75" x14ac:dyDescent="0.25">
      <c r="A6" s="44"/>
      <c r="B6" s="50" t="s">
        <v>31</v>
      </c>
      <c r="C6" s="51">
        <v>93</v>
      </c>
      <c r="D6" s="51">
        <v>295</v>
      </c>
      <c r="E6" s="51">
        <v>103</v>
      </c>
      <c r="F6" s="52">
        <v>221</v>
      </c>
      <c r="H6" s="53">
        <f t="shared" si="0"/>
        <v>712</v>
      </c>
      <c r="J6" s="63" t="s">
        <v>31</v>
      </c>
      <c r="K6" s="65">
        <f t="shared" si="1"/>
        <v>0.1306179775280899</v>
      </c>
      <c r="L6" s="65">
        <f t="shared" si="1"/>
        <v>0.4143258426966292</v>
      </c>
      <c r="M6" s="65">
        <f t="shared" si="1"/>
        <v>0.1446629213483146</v>
      </c>
      <c r="N6" s="65">
        <f t="shared" si="1"/>
        <v>0.3103932584269663</v>
      </c>
      <c r="P6" s="19"/>
    </row>
    <row r="7" spans="1:16" ht="15.75" x14ac:dyDescent="0.25">
      <c r="A7" s="44"/>
      <c r="B7" s="54" t="s">
        <v>32</v>
      </c>
      <c r="C7" s="55">
        <v>47</v>
      </c>
      <c r="D7" s="55">
        <v>144</v>
      </c>
      <c r="E7" s="55">
        <v>34</v>
      </c>
      <c r="F7" s="56">
        <v>167</v>
      </c>
      <c r="H7" s="53">
        <f t="shared" si="0"/>
        <v>392</v>
      </c>
      <c r="J7" s="63" t="s">
        <v>32</v>
      </c>
      <c r="K7" s="65">
        <f t="shared" si="1"/>
        <v>0.11989795918367346</v>
      </c>
      <c r="L7" s="65">
        <f t="shared" si="1"/>
        <v>0.36734693877551022</v>
      </c>
      <c r="M7" s="65">
        <f t="shared" si="1"/>
        <v>8.673469387755102E-2</v>
      </c>
      <c r="N7" s="65">
        <f t="shared" si="1"/>
        <v>0.42602040816326531</v>
      </c>
      <c r="P7" s="19"/>
    </row>
    <row r="8" spans="1:16" ht="15.75" x14ac:dyDescent="0.25">
      <c r="A8" s="44"/>
      <c r="B8" s="50" t="s">
        <v>33</v>
      </c>
      <c r="C8" s="51">
        <v>29</v>
      </c>
      <c r="D8" s="51">
        <v>129</v>
      </c>
      <c r="E8" s="51">
        <v>19</v>
      </c>
      <c r="F8" s="52">
        <v>46</v>
      </c>
      <c r="H8" s="53">
        <f t="shared" si="0"/>
        <v>223</v>
      </c>
      <c r="J8" s="63" t="s">
        <v>33</v>
      </c>
      <c r="K8" s="65">
        <f t="shared" si="1"/>
        <v>0.13004484304932734</v>
      </c>
      <c r="L8" s="65">
        <f t="shared" si="1"/>
        <v>0.57847533632286996</v>
      </c>
      <c r="M8" s="65">
        <f t="shared" si="1"/>
        <v>8.520179372197309E-2</v>
      </c>
      <c r="N8" s="65">
        <f t="shared" si="1"/>
        <v>0.20627802690582961</v>
      </c>
      <c r="P8" s="19"/>
    </row>
    <row r="9" spans="1:16" ht="15.75" x14ac:dyDescent="0.25">
      <c r="A9" s="44"/>
      <c r="B9" s="57" t="s">
        <v>88</v>
      </c>
      <c r="C9" s="58">
        <v>374</v>
      </c>
      <c r="D9" s="58">
        <v>1163</v>
      </c>
      <c r="E9" s="58">
        <v>185</v>
      </c>
      <c r="F9" s="59">
        <v>799</v>
      </c>
      <c r="G9" t="s">
        <v>90</v>
      </c>
      <c r="H9" s="53">
        <f t="shared" si="0"/>
        <v>2521</v>
      </c>
      <c r="J9" s="63" t="s">
        <v>88</v>
      </c>
      <c r="K9" s="65">
        <f t="shared" si="1"/>
        <v>0.14835382784609283</v>
      </c>
      <c r="L9" s="65">
        <f t="shared" si="1"/>
        <v>0.4613248710829036</v>
      </c>
      <c r="M9" s="65">
        <f t="shared" si="1"/>
        <v>7.338357794525982E-2</v>
      </c>
      <c r="N9" s="65">
        <f t="shared" si="1"/>
        <v>0.31693772312574375</v>
      </c>
      <c r="P9" s="19"/>
    </row>
    <row r="10" spans="1:16" ht="15.75" x14ac:dyDescent="0.25">
      <c r="A10" s="44"/>
      <c r="B10" s="66"/>
      <c r="C10" s="67"/>
      <c r="D10" s="67"/>
      <c r="E10" s="67"/>
      <c r="F10" s="67"/>
      <c r="H10" s="53"/>
      <c r="P10" s="19"/>
    </row>
    <row r="11" spans="1:16" ht="78.75" customHeight="1" x14ac:dyDescent="0.25">
      <c r="A11" s="44"/>
      <c r="B11" s="46">
        <v>2015</v>
      </c>
      <c r="C11" s="47" t="s">
        <v>84</v>
      </c>
      <c r="D11" s="47" t="s">
        <v>85</v>
      </c>
      <c r="E11" s="47" t="s">
        <v>86</v>
      </c>
      <c r="F11" s="48" t="s">
        <v>87</v>
      </c>
      <c r="G11" s="45"/>
      <c r="H11" s="49" t="s">
        <v>24</v>
      </c>
      <c r="J11" s="1" t="s">
        <v>89</v>
      </c>
      <c r="K11" s="61" t="s">
        <v>84</v>
      </c>
      <c r="L11" s="15" t="s">
        <v>85</v>
      </c>
      <c r="M11" s="15" t="s">
        <v>86</v>
      </c>
      <c r="N11" s="15" t="s">
        <v>87</v>
      </c>
      <c r="P11" s="19"/>
    </row>
    <row r="12" spans="1:16" ht="15.75" x14ac:dyDescent="0.25">
      <c r="A12" s="43"/>
      <c r="B12" s="50" t="s">
        <v>29</v>
      </c>
      <c r="C12" s="51">
        <v>47</v>
      </c>
      <c r="D12" s="51">
        <v>107</v>
      </c>
      <c r="E12" s="51">
        <v>10</v>
      </c>
      <c r="F12" s="52">
        <v>58</v>
      </c>
      <c r="H12" s="53">
        <f t="shared" ref="H12:H17" si="2">SUM(C12:F12)</f>
        <v>222</v>
      </c>
      <c r="J12" s="62" t="s">
        <v>29</v>
      </c>
      <c r="K12" s="65">
        <f t="shared" ref="K12:N17" si="3">C12/$H12</f>
        <v>0.21171171171171171</v>
      </c>
      <c r="L12" s="65">
        <f t="shared" si="3"/>
        <v>0.481981981981982</v>
      </c>
      <c r="M12" s="65">
        <f t="shared" si="3"/>
        <v>4.5045045045045043E-2</v>
      </c>
      <c r="N12" s="65">
        <f t="shared" si="3"/>
        <v>0.26126126126126126</v>
      </c>
      <c r="P12" s="19"/>
    </row>
    <row r="13" spans="1:16" ht="15.75" x14ac:dyDescent="0.25">
      <c r="A13" s="44"/>
      <c r="B13" s="54" t="s">
        <v>30</v>
      </c>
      <c r="C13" s="55">
        <v>180</v>
      </c>
      <c r="D13" s="55">
        <v>464</v>
      </c>
      <c r="E13" s="55">
        <v>24</v>
      </c>
      <c r="F13" s="56">
        <v>262</v>
      </c>
      <c r="H13" s="53">
        <f t="shared" si="2"/>
        <v>930</v>
      </c>
      <c r="J13" s="63" t="s">
        <v>30</v>
      </c>
      <c r="K13" s="65">
        <f t="shared" si="3"/>
        <v>0.19354838709677419</v>
      </c>
      <c r="L13" s="65">
        <f t="shared" si="3"/>
        <v>0.49892473118279568</v>
      </c>
      <c r="M13" s="65">
        <f t="shared" si="3"/>
        <v>2.5806451612903226E-2</v>
      </c>
      <c r="N13" s="65">
        <f t="shared" si="3"/>
        <v>0.2817204301075269</v>
      </c>
      <c r="P13" s="19"/>
    </row>
    <row r="14" spans="1:16" ht="15.75" x14ac:dyDescent="0.25">
      <c r="A14" s="44"/>
      <c r="B14" s="50" t="s">
        <v>31</v>
      </c>
      <c r="C14" s="51">
        <v>123</v>
      </c>
      <c r="D14" s="51">
        <v>287</v>
      </c>
      <c r="E14" s="51">
        <v>103</v>
      </c>
      <c r="F14" s="52">
        <v>179</v>
      </c>
      <c r="H14" s="53">
        <f t="shared" si="2"/>
        <v>692</v>
      </c>
      <c r="J14" s="63" t="s">
        <v>31</v>
      </c>
      <c r="K14" s="65">
        <f t="shared" si="3"/>
        <v>0.1777456647398844</v>
      </c>
      <c r="L14" s="65">
        <f t="shared" si="3"/>
        <v>0.41473988439306358</v>
      </c>
      <c r="M14" s="65">
        <f t="shared" si="3"/>
        <v>0.14884393063583815</v>
      </c>
      <c r="N14" s="65">
        <f t="shared" si="3"/>
        <v>0.2586705202312139</v>
      </c>
      <c r="P14" s="19"/>
    </row>
    <row r="15" spans="1:16" ht="15.75" x14ac:dyDescent="0.25">
      <c r="A15" s="44"/>
      <c r="B15" s="54" t="s">
        <v>32</v>
      </c>
      <c r="C15" s="55">
        <v>30</v>
      </c>
      <c r="D15" s="55">
        <v>165</v>
      </c>
      <c r="E15" s="55">
        <v>31</v>
      </c>
      <c r="F15" s="56">
        <v>137</v>
      </c>
      <c r="H15" s="53">
        <f t="shared" si="2"/>
        <v>363</v>
      </c>
      <c r="J15" s="63" t="s">
        <v>32</v>
      </c>
      <c r="K15" s="65">
        <f t="shared" si="3"/>
        <v>8.2644628099173556E-2</v>
      </c>
      <c r="L15" s="65">
        <f t="shared" si="3"/>
        <v>0.45454545454545453</v>
      </c>
      <c r="M15" s="65">
        <f t="shared" si="3"/>
        <v>8.5399449035812675E-2</v>
      </c>
      <c r="N15" s="65">
        <f t="shared" si="3"/>
        <v>0.37741046831955921</v>
      </c>
      <c r="P15" s="19"/>
    </row>
    <row r="16" spans="1:16" ht="15.75" x14ac:dyDescent="0.25">
      <c r="A16" s="44"/>
      <c r="B16" s="50" t="s">
        <v>33</v>
      </c>
      <c r="C16" s="51">
        <v>34</v>
      </c>
      <c r="D16" s="51">
        <v>126</v>
      </c>
      <c r="E16" s="51">
        <v>20</v>
      </c>
      <c r="F16" s="52">
        <v>48</v>
      </c>
      <c r="H16" s="53">
        <f t="shared" si="2"/>
        <v>228</v>
      </c>
      <c r="J16" s="63" t="s">
        <v>33</v>
      </c>
      <c r="K16" s="65">
        <f t="shared" si="3"/>
        <v>0.14912280701754385</v>
      </c>
      <c r="L16" s="65">
        <f t="shared" si="3"/>
        <v>0.55263157894736847</v>
      </c>
      <c r="M16" s="65">
        <f t="shared" si="3"/>
        <v>8.771929824561403E-2</v>
      </c>
      <c r="N16" s="65">
        <f t="shared" si="3"/>
        <v>0.21052631578947367</v>
      </c>
      <c r="P16" s="19"/>
    </row>
    <row r="17" spans="1:16" ht="15.75" x14ac:dyDescent="0.25">
      <c r="A17" s="44"/>
      <c r="B17" s="57" t="s">
        <v>88</v>
      </c>
      <c r="C17" s="58">
        <v>414</v>
      </c>
      <c r="D17" s="58">
        <v>1149</v>
      </c>
      <c r="E17" s="58">
        <v>188</v>
      </c>
      <c r="F17" s="59">
        <v>684</v>
      </c>
      <c r="G17" t="s">
        <v>90</v>
      </c>
      <c r="H17" s="53">
        <f t="shared" si="2"/>
        <v>2435</v>
      </c>
      <c r="J17" s="63" t="s">
        <v>88</v>
      </c>
      <c r="K17" s="65">
        <f t="shared" si="3"/>
        <v>0.17002053388090349</v>
      </c>
      <c r="L17" s="65">
        <f t="shared" si="3"/>
        <v>0.47186858316221764</v>
      </c>
      <c r="M17" s="65">
        <f t="shared" si="3"/>
        <v>7.720739219712526E-2</v>
      </c>
      <c r="N17" s="65">
        <f t="shared" si="3"/>
        <v>0.28090349075975357</v>
      </c>
      <c r="P17" s="19"/>
    </row>
    <row r="18" spans="1:16" ht="15.75" x14ac:dyDescent="0.25">
      <c r="A18" s="43"/>
      <c r="B18" s="60"/>
      <c r="C18" s="45"/>
      <c r="D18" s="45"/>
      <c r="E18" s="45"/>
      <c r="F18" s="45"/>
      <c r="G18" s="45"/>
      <c r="P18" s="19"/>
    </row>
    <row r="19" spans="1:16" ht="15" customHeight="1" x14ac:dyDescent="0.2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P19" s="19"/>
    </row>
    <row r="20" spans="1:16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P20" s="19"/>
    </row>
    <row r="21" spans="1:16" ht="15" customHeight="1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6" ht="15" customHeight="1" x14ac:dyDescent="0.25"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6" ht="15" customHeight="1" x14ac:dyDescent="0.2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6" ht="15" customHeight="1" x14ac:dyDescent="0.2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1:16" ht="15" customHeight="1" x14ac:dyDescent="0.25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pans="1:16" ht="15" customHeight="1" x14ac:dyDescent="0.2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6" ht="15" customHeight="1" x14ac:dyDescent="0.25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pans="1:16" ht="15" customHeight="1" x14ac:dyDescent="0.25"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  <row r="29" spans="1:16" ht="15" customHeight="1" x14ac:dyDescent="0.25"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</row>
    <row r="30" spans="1:16" ht="15" customHeight="1" x14ac:dyDescent="0.25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1" spans="1:16" ht="15" customHeight="1" x14ac:dyDescent="0.25"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</row>
    <row r="32" spans="1:16" x14ac:dyDescent="0.25">
      <c r="G32" s="19"/>
      <c r="H32" s="19"/>
      <c r="I32" s="19"/>
      <c r="J32" s="19"/>
      <c r="K32" s="19"/>
      <c r="L32" s="19"/>
    </row>
    <row r="33" spans="4:12" x14ac:dyDescent="0.25">
      <c r="G33" s="19"/>
      <c r="H33" s="19"/>
      <c r="I33" s="19"/>
      <c r="J33" s="19"/>
      <c r="K33" s="19"/>
      <c r="L33" s="19"/>
    </row>
    <row r="34" spans="4:12" x14ac:dyDescent="0.25">
      <c r="G34" s="19"/>
      <c r="H34" s="19"/>
      <c r="I34" s="19"/>
      <c r="J34" s="19"/>
      <c r="K34" s="19"/>
      <c r="L34" s="19"/>
    </row>
    <row r="35" spans="4:12" x14ac:dyDescent="0.25">
      <c r="D35" s="121" t="s">
        <v>164</v>
      </c>
      <c r="E35" s="121"/>
      <c r="F35" s="121"/>
      <c r="G35" s="19"/>
      <c r="H35" s="19"/>
      <c r="I35" s="19"/>
      <c r="J35" s="19"/>
      <c r="K35" s="19"/>
      <c r="L35" s="19"/>
    </row>
    <row r="36" spans="4:12" x14ac:dyDescent="0.25">
      <c r="G36" s="19"/>
      <c r="H36" s="19"/>
      <c r="I36" s="19"/>
      <c r="J36" s="19"/>
      <c r="K36" s="19"/>
      <c r="L36" s="19"/>
    </row>
    <row r="37" spans="4:12" x14ac:dyDescent="0.25">
      <c r="E37" s="19"/>
      <c r="F37" s="19"/>
      <c r="G37" s="19"/>
      <c r="H37" s="19"/>
      <c r="I37" s="19"/>
      <c r="J37" s="19"/>
      <c r="K37" s="19"/>
      <c r="L37" s="19"/>
    </row>
    <row r="38" spans="4:12" x14ac:dyDescent="0.25">
      <c r="E38" s="19"/>
      <c r="F38" s="19"/>
      <c r="G38" s="19"/>
      <c r="H38" s="19"/>
      <c r="I38" s="19"/>
      <c r="J38" s="19"/>
      <c r="K38" s="19"/>
      <c r="L38" s="19"/>
    </row>
    <row r="39" spans="4:12" x14ac:dyDescent="0.25">
      <c r="E39" s="19"/>
      <c r="F39" s="19"/>
      <c r="G39" s="19"/>
      <c r="H39" s="19"/>
      <c r="I39" s="19"/>
      <c r="J39" s="19"/>
      <c r="K39" s="19"/>
      <c r="L39" s="19"/>
    </row>
    <row r="40" spans="4:12" x14ac:dyDescent="0.25">
      <c r="E40" s="19"/>
      <c r="F40" s="19"/>
      <c r="G40" s="19"/>
      <c r="H40" s="19"/>
      <c r="I40" s="19"/>
      <c r="J40" s="19"/>
      <c r="K40" s="19"/>
      <c r="L40" s="19"/>
    </row>
  </sheetData>
  <mergeCells count="3">
    <mergeCell ref="A1:G1"/>
    <mergeCell ref="B19:L31"/>
    <mergeCell ref="D35:F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W27"/>
  <sheetViews>
    <sheetView workbookViewId="0">
      <selection sqref="A1:W1"/>
    </sheetView>
  </sheetViews>
  <sheetFormatPr defaultRowHeight="15" x14ac:dyDescent="0.25"/>
  <cols>
    <col min="1" max="1" width="5" bestFit="1" customWidth="1"/>
    <col min="2" max="2" width="14" customWidth="1"/>
    <col min="3" max="3" width="13.42578125" bestFit="1" customWidth="1"/>
    <col min="4" max="4" width="10.5703125" bestFit="1" customWidth="1"/>
    <col min="6" max="6" width="12" customWidth="1"/>
  </cols>
  <sheetData>
    <row r="1" spans="1:23" x14ac:dyDescent="0.25">
      <c r="A1" s="131" t="s">
        <v>177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</row>
    <row r="2" spans="1:23" ht="60" x14ac:dyDescent="0.25">
      <c r="A2" t="s">
        <v>160</v>
      </c>
      <c r="B2" t="s">
        <v>126</v>
      </c>
      <c r="C2" s="26" t="s">
        <v>50</v>
      </c>
      <c r="D2" s="101" t="s">
        <v>161</v>
      </c>
      <c r="F2" s="79" t="s">
        <v>163</v>
      </c>
    </row>
    <row r="3" spans="1:23" x14ac:dyDescent="0.25">
      <c r="A3">
        <v>2010</v>
      </c>
      <c r="B3" s="89">
        <v>1099</v>
      </c>
      <c r="C3" s="88">
        <v>1590</v>
      </c>
      <c r="D3" s="85">
        <f t="shared" ref="D3:D9" si="0">B3/C3</f>
        <v>0.69119496855345908</v>
      </c>
      <c r="F3" s="74">
        <v>23</v>
      </c>
    </row>
    <row r="4" spans="1:23" x14ac:dyDescent="0.25">
      <c r="A4">
        <v>2011</v>
      </c>
      <c r="B4" s="89">
        <v>1431</v>
      </c>
      <c r="C4" s="88">
        <v>2109</v>
      </c>
      <c r="D4" s="85">
        <f t="shared" si="0"/>
        <v>0.67852062588904694</v>
      </c>
      <c r="F4" s="74">
        <v>31</v>
      </c>
    </row>
    <row r="5" spans="1:23" x14ac:dyDescent="0.25">
      <c r="A5">
        <v>2012</v>
      </c>
      <c r="B5" s="89">
        <v>1561</v>
      </c>
      <c r="C5" s="88">
        <v>2167</v>
      </c>
      <c r="D5" s="85">
        <f t="shared" si="0"/>
        <v>0.72035071527457317</v>
      </c>
      <c r="F5" s="74">
        <v>31</v>
      </c>
    </row>
    <row r="6" spans="1:23" x14ac:dyDescent="0.25">
      <c r="A6">
        <v>2013</v>
      </c>
      <c r="B6" s="89">
        <v>1650</v>
      </c>
      <c r="C6" s="88">
        <v>2249</v>
      </c>
      <c r="D6" s="85">
        <f t="shared" si="0"/>
        <v>0.73365940417963538</v>
      </c>
      <c r="F6" s="74">
        <v>35</v>
      </c>
    </row>
    <row r="7" spans="1:23" x14ac:dyDescent="0.25">
      <c r="A7">
        <v>2014</v>
      </c>
      <c r="B7" s="89">
        <v>1846</v>
      </c>
      <c r="C7" s="88">
        <v>2372</v>
      </c>
      <c r="D7" s="85">
        <f t="shared" si="0"/>
        <v>0.77824620573355818</v>
      </c>
      <c r="F7" s="74">
        <v>22</v>
      </c>
    </row>
    <row r="8" spans="1:23" x14ac:dyDescent="0.25">
      <c r="A8">
        <v>2015</v>
      </c>
      <c r="B8" s="89">
        <v>1973</v>
      </c>
      <c r="C8" s="88">
        <v>2435</v>
      </c>
      <c r="D8" s="85">
        <f t="shared" si="0"/>
        <v>0.81026694045174541</v>
      </c>
      <c r="F8" s="74">
        <v>22</v>
      </c>
    </row>
    <row r="9" spans="1:23" x14ac:dyDescent="0.25">
      <c r="A9">
        <v>2016</v>
      </c>
      <c r="B9" s="74">
        <v>2018</v>
      </c>
      <c r="C9" s="80">
        <v>2521</v>
      </c>
      <c r="D9" s="85">
        <f t="shared" si="0"/>
        <v>0.80047600158667198</v>
      </c>
      <c r="F9" s="74">
        <v>20</v>
      </c>
    </row>
    <row r="10" spans="1:23" x14ac:dyDescent="0.25">
      <c r="C10" s="18"/>
    </row>
    <row r="11" spans="1:23" x14ac:dyDescent="0.25">
      <c r="C11" s="18"/>
    </row>
    <row r="12" spans="1:23" x14ac:dyDescent="0.25">
      <c r="C12" s="18"/>
    </row>
    <row r="13" spans="1:23" x14ac:dyDescent="0.25">
      <c r="C13" s="18"/>
    </row>
    <row r="14" spans="1:23" x14ac:dyDescent="0.25">
      <c r="C14" s="18"/>
    </row>
    <row r="15" spans="1:23" x14ac:dyDescent="0.2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3" x14ac:dyDescent="0.25"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O16" s="121" t="s">
        <v>164</v>
      </c>
      <c r="P16" s="121"/>
      <c r="Q16" s="121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2:12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2:12" x14ac:dyDescent="0.2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 spans="2:12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2:12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2:12" x14ac:dyDescent="0.25"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2:12" x14ac:dyDescent="0.2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2:12" x14ac:dyDescent="0.2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2:12" x14ac:dyDescent="0.25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pans="2:12" x14ac:dyDescent="0.2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2:12" x14ac:dyDescent="0.25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</sheetData>
  <mergeCells count="3">
    <mergeCell ref="B15:L27"/>
    <mergeCell ref="A1:W1"/>
    <mergeCell ref="O16:Q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67"/>
  <sheetViews>
    <sheetView workbookViewId="0">
      <selection sqref="A1:J1"/>
    </sheetView>
  </sheetViews>
  <sheetFormatPr defaultRowHeight="15" x14ac:dyDescent="0.25"/>
  <cols>
    <col min="1" max="1" width="104.7109375" bestFit="1" customWidth="1"/>
    <col min="2" max="2" width="5" bestFit="1" customWidth="1"/>
    <col min="3" max="3" width="6.140625" bestFit="1" customWidth="1"/>
  </cols>
  <sheetData>
    <row r="1" spans="1:15" s="84" customFormat="1" x14ac:dyDescent="0.25">
      <c r="A1" s="131" t="s">
        <v>178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5" s="84" customForma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</row>
    <row r="3" spans="1:15" x14ac:dyDescent="0.25">
      <c r="A3" t="s">
        <v>114</v>
      </c>
      <c r="B3">
        <v>306</v>
      </c>
      <c r="C3" s="18">
        <f t="shared" ref="C3:C26" si="0">B3/B$28</f>
        <v>0.22801788375558868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1:15" x14ac:dyDescent="0.25">
      <c r="A4" t="s">
        <v>113</v>
      </c>
      <c r="B4">
        <v>318</v>
      </c>
      <c r="C4" s="18">
        <f t="shared" si="0"/>
        <v>0.23695976154992549</v>
      </c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</row>
    <row r="5" spans="1:15" x14ac:dyDescent="0.25">
      <c r="A5" t="s">
        <v>110</v>
      </c>
      <c r="B5">
        <v>708</v>
      </c>
      <c r="C5" s="18">
        <f t="shared" si="0"/>
        <v>0.5275707898658718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5">
      <c r="A6" t="s">
        <v>112</v>
      </c>
      <c r="B6">
        <v>870</v>
      </c>
      <c r="C6" s="18">
        <f t="shared" si="0"/>
        <v>0.64828614008941876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</row>
    <row r="7" spans="1:15" x14ac:dyDescent="0.25">
      <c r="A7" t="s">
        <v>108</v>
      </c>
      <c r="B7">
        <v>953</v>
      </c>
      <c r="C7" s="18">
        <f t="shared" si="0"/>
        <v>0.71013412816691501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</row>
    <row r="8" spans="1:15" x14ac:dyDescent="0.25">
      <c r="A8" t="s">
        <v>96</v>
      </c>
      <c r="B8">
        <v>983</v>
      </c>
      <c r="C8" s="18">
        <f t="shared" si="0"/>
        <v>0.73248882265275705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</row>
    <row r="9" spans="1:15" x14ac:dyDescent="0.25">
      <c r="A9" t="s">
        <v>95</v>
      </c>
      <c r="B9">
        <v>1020</v>
      </c>
      <c r="C9" s="18">
        <f t="shared" si="0"/>
        <v>0.76005961251862886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x14ac:dyDescent="0.25">
      <c r="A10" t="s">
        <v>101</v>
      </c>
      <c r="B10">
        <v>1042</v>
      </c>
      <c r="C10" s="18">
        <f t="shared" si="0"/>
        <v>0.7764530551415797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</row>
    <row r="11" spans="1:15" x14ac:dyDescent="0.25">
      <c r="A11" t="s">
        <v>104</v>
      </c>
      <c r="B11">
        <v>1075</v>
      </c>
      <c r="C11" s="18">
        <f t="shared" si="0"/>
        <v>0.80104321907600595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</row>
    <row r="12" spans="1:15" x14ac:dyDescent="0.25">
      <c r="A12" t="s">
        <v>111</v>
      </c>
      <c r="B12">
        <v>1109</v>
      </c>
      <c r="C12" s="18">
        <f t="shared" si="0"/>
        <v>0.82637853949329354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</row>
    <row r="13" spans="1:15" x14ac:dyDescent="0.25">
      <c r="A13" t="s">
        <v>92</v>
      </c>
      <c r="B13">
        <v>1150</v>
      </c>
      <c r="C13" s="18">
        <f t="shared" si="0"/>
        <v>0.856929955290611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</row>
    <row r="14" spans="1:15" x14ac:dyDescent="0.25">
      <c r="A14" t="s">
        <v>102</v>
      </c>
      <c r="B14">
        <v>1151</v>
      </c>
      <c r="C14" s="18">
        <f t="shared" si="0"/>
        <v>0.85767511177347244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</row>
    <row r="15" spans="1:15" x14ac:dyDescent="0.25">
      <c r="A15" t="s">
        <v>109</v>
      </c>
      <c r="B15">
        <v>1176</v>
      </c>
      <c r="C15" s="18">
        <f t="shared" si="0"/>
        <v>0.8763040238450075</v>
      </c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</row>
    <row r="16" spans="1:15" x14ac:dyDescent="0.25">
      <c r="A16" t="s">
        <v>107</v>
      </c>
      <c r="B16">
        <v>1182</v>
      </c>
      <c r="C16" s="18">
        <f t="shared" si="0"/>
        <v>0.88077496274217582</v>
      </c>
    </row>
    <row r="17" spans="1:8" x14ac:dyDescent="0.25">
      <c r="A17" t="s">
        <v>105</v>
      </c>
      <c r="B17">
        <v>1186</v>
      </c>
      <c r="C17" s="18">
        <f t="shared" si="0"/>
        <v>0.88375558867362147</v>
      </c>
    </row>
    <row r="18" spans="1:8" x14ac:dyDescent="0.25">
      <c r="A18" t="s">
        <v>94</v>
      </c>
      <c r="B18">
        <v>1197</v>
      </c>
      <c r="C18" s="18">
        <f t="shared" si="0"/>
        <v>0.89195230998509689</v>
      </c>
    </row>
    <row r="19" spans="1:8" x14ac:dyDescent="0.25">
      <c r="A19" t="s">
        <v>106</v>
      </c>
      <c r="B19">
        <v>1201</v>
      </c>
      <c r="C19" s="18">
        <f t="shared" si="0"/>
        <v>0.89493293591654244</v>
      </c>
      <c r="F19" s="121"/>
      <c r="G19" s="121"/>
      <c r="H19" s="121"/>
    </row>
    <row r="20" spans="1:8" x14ac:dyDescent="0.25">
      <c r="A20" t="s">
        <v>103</v>
      </c>
      <c r="B20">
        <v>1202</v>
      </c>
      <c r="C20" s="18">
        <f t="shared" si="0"/>
        <v>0.89567809239940388</v>
      </c>
    </row>
    <row r="21" spans="1:8" x14ac:dyDescent="0.25">
      <c r="A21" t="s">
        <v>8</v>
      </c>
      <c r="B21">
        <v>1206</v>
      </c>
      <c r="C21" s="18">
        <f t="shared" si="0"/>
        <v>0.89865871833084943</v>
      </c>
    </row>
    <row r="22" spans="1:8" x14ac:dyDescent="0.25">
      <c r="A22" t="s">
        <v>97</v>
      </c>
      <c r="B22">
        <v>1210</v>
      </c>
      <c r="C22" s="18">
        <f t="shared" si="0"/>
        <v>0.90163934426229508</v>
      </c>
    </row>
    <row r="23" spans="1:8" x14ac:dyDescent="0.25">
      <c r="A23" t="s">
        <v>93</v>
      </c>
      <c r="B23">
        <v>1261</v>
      </c>
      <c r="C23" s="18">
        <f t="shared" si="0"/>
        <v>0.93964232488822652</v>
      </c>
    </row>
    <row r="24" spans="1:8" x14ac:dyDescent="0.25">
      <c r="A24" t="s">
        <v>98</v>
      </c>
      <c r="B24">
        <v>1271</v>
      </c>
      <c r="C24" s="18">
        <f t="shared" si="0"/>
        <v>0.9470938897168405</v>
      </c>
    </row>
    <row r="25" spans="1:8" x14ac:dyDescent="0.25">
      <c r="A25" t="s">
        <v>99</v>
      </c>
      <c r="B25">
        <v>1286</v>
      </c>
      <c r="C25" s="18">
        <f t="shared" si="0"/>
        <v>0.95827123695976157</v>
      </c>
    </row>
    <row r="26" spans="1:8" x14ac:dyDescent="0.25">
      <c r="A26" t="s">
        <v>91</v>
      </c>
      <c r="B26">
        <v>1297</v>
      </c>
      <c r="C26" s="18">
        <f t="shared" si="0"/>
        <v>0.96646795827123699</v>
      </c>
    </row>
    <row r="28" spans="1:8" x14ac:dyDescent="0.25">
      <c r="A28" s="3" t="s">
        <v>100</v>
      </c>
      <c r="B28" s="40">
        <v>1342</v>
      </c>
    </row>
    <row r="67" spans="1:3" x14ac:dyDescent="0.25">
      <c r="A67" s="121" t="s">
        <v>164</v>
      </c>
      <c r="B67" s="121"/>
      <c r="C67" s="121"/>
    </row>
  </sheetData>
  <autoFilter ref="A2:C2">
    <sortState ref="A3:C26">
      <sortCondition ref="C2"/>
    </sortState>
  </autoFilter>
  <mergeCells count="4">
    <mergeCell ref="A1:J1"/>
    <mergeCell ref="E3:O15"/>
    <mergeCell ref="F19:H19"/>
    <mergeCell ref="A67:C67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27"/>
  <sheetViews>
    <sheetView workbookViewId="0">
      <selection activeCell="D2" sqref="D2"/>
    </sheetView>
  </sheetViews>
  <sheetFormatPr defaultRowHeight="15" x14ac:dyDescent="0.25"/>
  <cols>
    <col min="1" max="1" width="61" bestFit="1" customWidth="1"/>
    <col min="2" max="2" width="13.85546875" bestFit="1" customWidth="1"/>
    <col min="3" max="4" width="13.85546875" customWidth="1"/>
  </cols>
  <sheetData>
    <row r="1" spans="1:20" x14ac:dyDescent="0.25">
      <c r="A1" s="131" t="s">
        <v>179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78"/>
      <c r="P1" s="78"/>
      <c r="Q1" s="78"/>
      <c r="R1" s="78"/>
      <c r="S1" s="78"/>
      <c r="T1" s="78"/>
    </row>
    <row r="2" spans="1:20" ht="180" x14ac:dyDescent="0.25">
      <c r="A2" s="69"/>
      <c r="B2" s="70" t="s">
        <v>122</v>
      </c>
      <c r="C2" s="70" t="s">
        <v>123</v>
      </c>
      <c r="D2" s="71" t="s">
        <v>115</v>
      </c>
      <c r="E2" s="68"/>
      <c r="F2" s="68"/>
    </row>
    <row r="3" spans="1:20" x14ac:dyDescent="0.25">
      <c r="A3" t="s">
        <v>116</v>
      </c>
      <c r="B3">
        <v>900</v>
      </c>
      <c r="C3" s="18">
        <f t="shared" ref="C3:C8" si="0">B3/B$13</f>
        <v>0.6706408345752608</v>
      </c>
      <c r="D3" s="73">
        <v>25911</v>
      </c>
    </row>
    <row r="4" spans="1:20" x14ac:dyDescent="0.25">
      <c r="A4" t="s">
        <v>117</v>
      </c>
      <c r="B4">
        <v>1040</v>
      </c>
      <c r="C4" s="18">
        <f t="shared" si="0"/>
        <v>0.77496274217585692</v>
      </c>
      <c r="D4" s="73">
        <v>45021</v>
      </c>
    </row>
    <row r="5" spans="1:20" x14ac:dyDescent="0.25">
      <c r="A5" t="s">
        <v>118</v>
      </c>
      <c r="B5">
        <v>1041</v>
      </c>
      <c r="C5" s="18">
        <f t="shared" si="0"/>
        <v>0.77570789865871836</v>
      </c>
      <c r="D5" s="73">
        <v>18754</v>
      </c>
    </row>
    <row r="6" spans="1:20" x14ac:dyDescent="0.25">
      <c r="A6" t="s">
        <v>119</v>
      </c>
      <c r="B6">
        <v>1150</v>
      </c>
      <c r="C6" s="18">
        <f t="shared" si="0"/>
        <v>0.856929955290611</v>
      </c>
      <c r="D6" s="73">
        <v>66251</v>
      </c>
    </row>
    <row r="7" spans="1:20" x14ac:dyDescent="0.25">
      <c r="A7" t="s">
        <v>120</v>
      </c>
      <c r="B7">
        <v>677</v>
      </c>
      <c r="C7" s="18">
        <f t="shared" si="0"/>
        <v>0.50447093889716843</v>
      </c>
      <c r="D7" s="73">
        <v>7883</v>
      </c>
    </row>
    <row r="8" spans="1:20" x14ac:dyDescent="0.25">
      <c r="A8" t="s">
        <v>121</v>
      </c>
      <c r="B8">
        <v>221</v>
      </c>
      <c r="C8" s="18">
        <f t="shared" si="0"/>
        <v>0.1646795827123696</v>
      </c>
      <c r="D8" s="73">
        <v>5268</v>
      </c>
    </row>
    <row r="9" spans="1:20" x14ac:dyDescent="0.25">
      <c r="C9" s="18"/>
      <c r="D9" s="73">
        <f>SUM(D3:D8)</f>
        <v>169088</v>
      </c>
      <c r="H9" s="121" t="s">
        <v>164</v>
      </c>
      <c r="I9" s="121"/>
      <c r="J9" s="121"/>
    </row>
    <row r="10" spans="1:20" x14ac:dyDescent="0.25">
      <c r="A10" t="s">
        <v>124</v>
      </c>
      <c r="B10">
        <v>1285</v>
      </c>
      <c r="C10" s="18">
        <f>B10/B$13</f>
        <v>0.95752608047690013</v>
      </c>
      <c r="D10" s="73">
        <v>171345</v>
      </c>
    </row>
    <row r="11" spans="1:20" x14ac:dyDescent="0.25">
      <c r="A11" t="s">
        <v>125</v>
      </c>
      <c r="B11">
        <v>57</v>
      </c>
      <c r="C11" s="18">
        <f>B11/B$13</f>
        <v>4.2473919523099854E-2</v>
      </c>
      <c r="D11" s="73"/>
    </row>
    <row r="13" spans="1:20" x14ac:dyDescent="0.25">
      <c r="A13" s="3" t="s">
        <v>100</v>
      </c>
      <c r="B13" s="72">
        <v>1342</v>
      </c>
    </row>
    <row r="15" spans="1:20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20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1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1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</row>
    <row r="22" spans="1:11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1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</sheetData>
  <mergeCells count="3">
    <mergeCell ref="A1:N1"/>
    <mergeCell ref="A15:K27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88"/>
  <sheetViews>
    <sheetView workbookViewId="0">
      <selection activeCell="A3" sqref="A3"/>
    </sheetView>
  </sheetViews>
  <sheetFormatPr defaultColWidth="11.42578125" defaultRowHeight="15" x14ac:dyDescent="0.25"/>
  <cols>
    <col min="1" max="1" width="121" bestFit="1" customWidth="1"/>
  </cols>
  <sheetData>
    <row r="1" spans="1:13" x14ac:dyDescent="0.25">
      <c r="A1" s="131" t="s">
        <v>180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 x14ac:dyDescent="0.25">
      <c r="A2" s="75">
        <v>2016</v>
      </c>
      <c r="B2" s="76" t="s">
        <v>126</v>
      </c>
      <c r="C2" s="76" t="s">
        <v>127</v>
      </c>
    </row>
    <row r="3" spans="1:13" x14ac:dyDescent="0.25">
      <c r="A3" s="77" t="s">
        <v>128</v>
      </c>
      <c r="B3" s="77">
        <v>59</v>
      </c>
      <c r="C3" s="17">
        <f t="shared" ref="C3:C25" si="0">B3/B$27</f>
        <v>0.2565217391304348</v>
      </c>
    </row>
    <row r="4" spans="1:13" x14ac:dyDescent="0.25">
      <c r="A4" s="77" t="s">
        <v>129</v>
      </c>
      <c r="B4" s="77">
        <v>77</v>
      </c>
      <c r="C4" s="17">
        <f t="shared" si="0"/>
        <v>0.33478260869565218</v>
      </c>
    </row>
    <row r="5" spans="1:13" x14ac:dyDescent="0.25">
      <c r="A5" s="77" t="s">
        <v>130</v>
      </c>
      <c r="B5" s="77">
        <v>102</v>
      </c>
      <c r="C5" s="17">
        <f t="shared" si="0"/>
        <v>0.44347826086956521</v>
      </c>
    </row>
    <row r="6" spans="1:13" x14ac:dyDescent="0.25">
      <c r="A6" s="77" t="s">
        <v>131</v>
      </c>
      <c r="B6" s="77">
        <v>161</v>
      </c>
      <c r="C6" s="17">
        <f t="shared" si="0"/>
        <v>0.7</v>
      </c>
    </row>
    <row r="7" spans="1:13" x14ac:dyDescent="0.25">
      <c r="A7" s="77" t="s">
        <v>0</v>
      </c>
      <c r="B7" s="77">
        <v>161</v>
      </c>
      <c r="C7" s="17">
        <f t="shared" si="0"/>
        <v>0.7</v>
      </c>
    </row>
    <row r="8" spans="1:13" x14ac:dyDescent="0.25">
      <c r="A8" s="77" t="s">
        <v>132</v>
      </c>
      <c r="B8" s="77">
        <v>177</v>
      </c>
      <c r="C8" s="17">
        <f t="shared" si="0"/>
        <v>0.76956521739130435</v>
      </c>
    </row>
    <row r="9" spans="1:13" x14ac:dyDescent="0.25">
      <c r="A9" s="77" t="s">
        <v>9</v>
      </c>
      <c r="B9" s="77">
        <v>178</v>
      </c>
      <c r="C9" s="17">
        <f t="shared" si="0"/>
        <v>0.77391304347826084</v>
      </c>
    </row>
    <row r="10" spans="1:13" x14ac:dyDescent="0.25">
      <c r="A10" s="77" t="s">
        <v>133</v>
      </c>
      <c r="B10" s="77">
        <v>193</v>
      </c>
      <c r="C10" s="17">
        <f t="shared" si="0"/>
        <v>0.83913043478260874</v>
      </c>
    </row>
    <row r="11" spans="1:13" x14ac:dyDescent="0.25">
      <c r="A11" s="77" t="s">
        <v>96</v>
      </c>
      <c r="B11" s="77">
        <v>196</v>
      </c>
      <c r="C11" s="17">
        <f t="shared" si="0"/>
        <v>0.85217391304347823</v>
      </c>
    </row>
    <row r="12" spans="1:13" x14ac:dyDescent="0.25">
      <c r="A12" s="77" t="s">
        <v>134</v>
      </c>
      <c r="B12" s="77">
        <v>202</v>
      </c>
      <c r="C12" s="17">
        <f t="shared" si="0"/>
        <v>0.87826086956521743</v>
      </c>
    </row>
    <row r="13" spans="1:13" x14ac:dyDescent="0.25">
      <c r="A13" s="77" t="s">
        <v>104</v>
      </c>
      <c r="B13" s="77">
        <v>218</v>
      </c>
      <c r="C13" s="17">
        <f t="shared" si="0"/>
        <v>0.94782608695652171</v>
      </c>
    </row>
    <row r="14" spans="1:13" x14ac:dyDescent="0.25">
      <c r="A14" s="77" t="s">
        <v>12</v>
      </c>
      <c r="B14" s="77">
        <v>218</v>
      </c>
      <c r="C14" s="17">
        <f t="shared" si="0"/>
        <v>0.94782608695652171</v>
      </c>
    </row>
    <row r="15" spans="1:13" x14ac:dyDescent="0.25">
      <c r="A15" s="77" t="s">
        <v>136</v>
      </c>
      <c r="B15" s="77">
        <v>221</v>
      </c>
      <c r="C15" s="17">
        <f t="shared" si="0"/>
        <v>0.96086956521739131</v>
      </c>
    </row>
    <row r="16" spans="1:13" x14ac:dyDescent="0.25">
      <c r="A16" s="77" t="s">
        <v>138</v>
      </c>
      <c r="B16" s="77">
        <v>221</v>
      </c>
      <c r="C16" s="17">
        <f t="shared" si="0"/>
        <v>0.96086956521739131</v>
      </c>
    </row>
    <row r="17" spans="1:16" x14ac:dyDescent="0.25">
      <c r="A17" s="77" t="s">
        <v>1</v>
      </c>
      <c r="B17" s="77">
        <v>222</v>
      </c>
      <c r="C17" s="17">
        <f t="shared" si="0"/>
        <v>0.9652173913043478</v>
      </c>
    </row>
    <row r="18" spans="1:16" x14ac:dyDescent="0.25">
      <c r="A18" s="77" t="s">
        <v>4</v>
      </c>
      <c r="B18" s="77">
        <v>223</v>
      </c>
      <c r="C18" s="17">
        <f t="shared" si="0"/>
        <v>0.9695652173913043</v>
      </c>
    </row>
    <row r="19" spans="1:16" x14ac:dyDescent="0.25">
      <c r="A19" s="77" t="s">
        <v>137</v>
      </c>
      <c r="B19" s="77">
        <v>223</v>
      </c>
      <c r="C19" s="17">
        <f t="shared" si="0"/>
        <v>0.9695652173913043</v>
      </c>
    </row>
    <row r="20" spans="1:16" x14ac:dyDescent="0.25">
      <c r="A20" s="77" t="s">
        <v>135</v>
      </c>
      <c r="B20" s="77">
        <v>224</v>
      </c>
      <c r="C20" s="17">
        <f t="shared" si="0"/>
        <v>0.97391304347826091</v>
      </c>
    </row>
    <row r="21" spans="1:16" x14ac:dyDescent="0.25">
      <c r="A21" s="77" t="s">
        <v>139</v>
      </c>
      <c r="B21" s="77">
        <v>224</v>
      </c>
      <c r="C21" s="17">
        <f t="shared" si="0"/>
        <v>0.97391304347826091</v>
      </c>
    </row>
    <row r="22" spans="1:16" x14ac:dyDescent="0.25">
      <c r="A22" s="77" t="s">
        <v>13</v>
      </c>
      <c r="B22" s="77">
        <v>225</v>
      </c>
      <c r="C22" s="17">
        <f t="shared" si="0"/>
        <v>0.97826086956521741</v>
      </c>
    </row>
    <row r="23" spans="1:16" x14ac:dyDescent="0.25">
      <c r="A23" s="77" t="s">
        <v>141</v>
      </c>
      <c r="B23" s="77">
        <v>227</v>
      </c>
      <c r="C23" s="17">
        <f t="shared" si="0"/>
        <v>0.9869565217391304</v>
      </c>
    </row>
    <row r="24" spans="1:16" x14ac:dyDescent="0.25">
      <c r="A24" s="77" t="s">
        <v>140</v>
      </c>
      <c r="B24" s="77">
        <v>229</v>
      </c>
      <c r="C24" s="17">
        <f t="shared" si="0"/>
        <v>0.9956521739130435</v>
      </c>
    </row>
    <row r="25" spans="1:16" x14ac:dyDescent="0.25">
      <c r="A25" s="77" t="s">
        <v>142</v>
      </c>
      <c r="B25" s="77">
        <v>230</v>
      </c>
      <c r="C25" s="17">
        <f t="shared" si="0"/>
        <v>1</v>
      </c>
    </row>
    <row r="26" spans="1:16" x14ac:dyDescent="0.25">
      <c r="A26" s="77"/>
      <c r="B26" s="77"/>
      <c r="C26" s="77"/>
    </row>
    <row r="27" spans="1:16" x14ac:dyDescent="0.25">
      <c r="A27" s="77" t="s">
        <v>144</v>
      </c>
      <c r="B27" s="77">
        <v>230</v>
      </c>
      <c r="C27" s="17">
        <f t="shared" ref="C27" si="1">B27/B$27</f>
        <v>1</v>
      </c>
    </row>
    <row r="29" spans="1:16" x14ac:dyDescent="0.25">
      <c r="A29" s="75">
        <v>2015</v>
      </c>
      <c r="B29" s="76" t="s">
        <v>126</v>
      </c>
      <c r="C29" s="76" t="s">
        <v>127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77" t="s">
        <v>128</v>
      </c>
      <c r="B30" s="77">
        <v>66</v>
      </c>
      <c r="C30" s="17">
        <f>B30/B$54</f>
        <v>0.28085106382978725</v>
      </c>
    </row>
    <row r="31" spans="1:16" x14ac:dyDescent="0.25">
      <c r="A31" s="77" t="s">
        <v>129</v>
      </c>
      <c r="B31" s="77">
        <v>86</v>
      </c>
      <c r="C31" s="17">
        <f t="shared" ref="C31:C54" si="2">B31/B$54</f>
        <v>0.36595744680851061</v>
      </c>
    </row>
    <row r="32" spans="1:16" x14ac:dyDescent="0.25">
      <c r="A32" s="77" t="s">
        <v>130</v>
      </c>
      <c r="B32" s="77">
        <v>101</v>
      </c>
      <c r="C32" s="17">
        <f t="shared" si="2"/>
        <v>0.4297872340425532</v>
      </c>
    </row>
    <row r="33" spans="1:3" x14ac:dyDescent="0.25">
      <c r="A33" s="77" t="s">
        <v>131</v>
      </c>
      <c r="B33" s="77">
        <v>154</v>
      </c>
      <c r="C33" s="17">
        <f t="shared" si="2"/>
        <v>0.65531914893617016</v>
      </c>
    </row>
    <row r="34" spans="1:3" x14ac:dyDescent="0.25">
      <c r="A34" s="77" t="s">
        <v>0</v>
      </c>
      <c r="B34" s="77">
        <v>170</v>
      </c>
      <c r="C34" s="17">
        <f t="shared" si="2"/>
        <v>0.72340425531914898</v>
      </c>
    </row>
    <row r="35" spans="1:3" x14ac:dyDescent="0.25">
      <c r="A35" s="77" t="s">
        <v>9</v>
      </c>
      <c r="B35" s="77">
        <v>180</v>
      </c>
      <c r="C35" s="17">
        <f t="shared" si="2"/>
        <v>0.76595744680851063</v>
      </c>
    </row>
    <row r="36" spans="1:3" x14ac:dyDescent="0.25">
      <c r="A36" s="77" t="s">
        <v>132</v>
      </c>
      <c r="B36" s="77">
        <v>181</v>
      </c>
      <c r="C36" s="17">
        <f t="shared" si="2"/>
        <v>0.77021276595744681</v>
      </c>
    </row>
    <row r="37" spans="1:3" x14ac:dyDescent="0.25">
      <c r="A37" s="77" t="s">
        <v>133</v>
      </c>
      <c r="B37" s="77">
        <v>184</v>
      </c>
      <c r="C37" s="17">
        <f t="shared" si="2"/>
        <v>0.78297872340425534</v>
      </c>
    </row>
    <row r="38" spans="1:3" x14ac:dyDescent="0.25">
      <c r="A38" s="77" t="s">
        <v>96</v>
      </c>
      <c r="B38" s="77">
        <v>198</v>
      </c>
      <c r="C38" s="17">
        <f t="shared" si="2"/>
        <v>0.8425531914893617</v>
      </c>
    </row>
    <row r="39" spans="1:3" x14ac:dyDescent="0.25">
      <c r="A39" s="77" t="s">
        <v>134</v>
      </c>
      <c r="B39" s="77">
        <v>201</v>
      </c>
      <c r="C39" s="17">
        <f t="shared" si="2"/>
        <v>0.85531914893617023</v>
      </c>
    </row>
    <row r="40" spans="1:3" x14ac:dyDescent="0.25">
      <c r="A40" s="77" t="s">
        <v>4</v>
      </c>
      <c r="B40" s="77">
        <v>218</v>
      </c>
      <c r="C40" s="17">
        <f t="shared" si="2"/>
        <v>0.92765957446808511</v>
      </c>
    </row>
    <row r="41" spans="1:3" x14ac:dyDescent="0.25">
      <c r="A41" s="77" t="s">
        <v>104</v>
      </c>
      <c r="B41" s="77">
        <v>218</v>
      </c>
      <c r="C41" s="17">
        <f t="shared" si="2"/>
        <v>0.92765957446808511</v>
      </c>
    </row>
    <row r="42" spans="1:3" x14ac:dyDescent="0.25">
      <c r="A42" s="77" t="s">
        <v>12</v>
      </c>
      <c r="B42" s="77">
        <v>222</v>
      </c>
      <c r="C42" s="17">
        <f t="shared" si="2"/>
        <v>0.94468085106382982</v>
      </c>
    </row>
    <row r="43" spans="1:3" x14ac:dyDescent="0.25">
      <c r="A43" s="77" t="s">
        <v>135</v>
      </c>
      <c r="B43" s="77">
        <v>222</v>
      </c>
      <c r="C43" s="17">
        <f t="shared" si="2"/>
        <v>0.94468085106382982</v>
      </c>
    </row>
    <row r="44" spans="1:3" x14ac:dyDescent="0.25">
      <c r="A44" s="77" t="s">
        <v>136</v>
      </c>
      <c r="B44" s="77">
        <v>224</v>
      </c>
      <c r="C44" s="17">
        <f t="shared" si="2"/>
        <v>0.95319148936170217</v>
      </c>
    </row>
    <row r="45" spans="1:3" x14ac:dyDescent="0.25">
      <c r="A45" s="77" t="s">
        <v>137</v>
      </c>
      <c r="B45" s="77">
        <v>224</v>
      </c>
      <c r="C45" s="17">
        <f t="shared" si="2"/>
        <v>0.95319148936170217</v>
      </c>
    </row>
    <row r="46" spans="1:3" x14ac:dyDescent="0.25">
      <c r="A46" s="77" t="s">
        <v>1</v>
      </c>
      <c r="B46" s="77">
        <v>226</v>
      </c>
      <c r="C46" s="17">
        <f t="shared" si="2"/>
        <v>0.96170212765957441</v>
      </c>
    </row>
    <row r="47" spans="1:3" x14ac:dyDescent="0.25">
      <c r="A47" s="77" t="s">
        <v>138</v>
      </c>
      <c r="B47" s="77">
        <v>226</v>
      </c>
      <c r="C47" s="17">
        <f t="shared" si="2"/>
        <v>0.96170212765957441</v>
      </c>
    </row>
    <row r="48" spans="1:3" x14ac:dyDescent="0.25">
      <c r="A48" s="77" t="s">
        <v>139</v>
      </c>
      <c r="B48" s="77">
        <v>226</v>
      </c>
      <c r="C48" s="17">
        <f t="shared" si="2"/>
        <v>0.96170212765957441</v>
      </c>
    </row>
    <row r="49" spans="1:11" x14ac:dyDescent="0.25">
      <c r="A49" s="77" t="s">
        <v>140</v>
      </c>
      <c r="B49" s="77">
        <v>230</v>
      </c>
      <c r="C49" s="17">
        <f t="shared" si="2"/>
        <v>0.97872340425531912</v>
      </c>
    </row>
    <row r="50" spans="1:11" x14ac:dyDescent="0.25">
      <c r="A50" s="77" t="s">
        <v>13</v>
      </c>
      <c r="B50" s="77">
        <v>231</v>
      </c>
      <c r="C50" s="17">
        <f t="shared" si="2"/>
        <v>0.98297872340425529</v>
      </c>
    </row>
    <row r="51" spans="1:11" x14ac:dyDescent="0.25">
      <c r="A51" s="77" t="s">
        <v>141</v>
      </c>
      <c r="B51" s="77">
        <v>231</v>
      </c>
      <c r="C51" s="17">
        <f t="shared" si="2"/>
        <v>0.98297872340425529</v>
      </c>
    </row>
    <row r="52" spans="1:11" x14ac:dyDescent="0.25">
      <c r="A52" s="77" t="s">
        <v>142</v>
      </c>
      <c r="B52" s="77">
        <v>232</v>
      </c>
      <c r="C52" s="17">
        <f t="shared" si="2"/>
        <v>0.98723404255319147</v>
      </c>
    </row>
    <row r="53" spans="1:11" x14ac:dyDescent="0.25">
      <c r="A53" s="77"/>
      <c r="B53" s="77"/>
      <c r="C53" s="77"/>
    </row>
    <row r="54" spans="1:11" x14ac:dyDescent="0.25">
      <c r="A54" s="77" t="s">
        <v>144</v>
      </c>
      <c r="B54" s="77">
        <v>235</v>
      </c>
      <c r="C54" s="17">
        <f t="shared" si="2"/>
        <v>1</v>
      </c>
    </row>
    <row r="60" spans="1:11" ht="15" customHeight="1" x14ac:dyDescent="0.25">
      <c r="A60" s="132"/>
      <c r="B60" s="132"/>
    </row>
    <row r="61" spans="1:11" x14ac:dyDescent="0.25">
      <c r="A61" s="132"/>
      <c r="B61" s="132"/>
    </row>
    <row r="62" spans="1:11" x14ac:dyDescent="0.25">
      <c r="A62" s="132"/>
      <c r="B62" s="132"/>
    </row>
    <row r="63" spans="1:11" x14ac:dyDescent="0.25">
      <c r="A63" s="132"/>
      <c r="B63" s="132"/>
      <c r="I63" s="121" t="s">
        <v>164</v>
      </c>
      <c r="J63" s="121"/>
      <c r="K63" s="121"/>
    </row>
    <row r="64" spans="1:11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88" spans="4:4" x14ac:dyDescent="0.25">
      <c r="D88" t="s">
        <v>143</v>
      </c>
    </row>
  </sheetData>
  <sortState ref="A3:C25">
    <sortCondition ref="B3:B25"/>
  </sortState>
  <mergeCells count="3">
    <mergeCell ref="A60:B63"/>
    <mergeCell ref="A1:M1"/>
    <mergeCell ref="I63:K63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L35"/>
  <sheetViews>
    <sheetView workbookViewId="0">
      <selection activeCell="A30" sqref="A30:E35"/>
    </sheetView>
  </sheetViews>
  <sheetFormatPr defaultRowHeight="15" x14ac:dyDescent="0.25"/>
  <cols>
    <col min="1" max="1" width="99.42578125" bestFit="1" customWidth="1"/>
    <col min="2" max="2" width="5" bestFit="1" customWidth="1"/>
    <col min="3" max="3" width="6.140625" bestFit="1" customWidth="1"/>
  </cols>
  <sheetData>
    <row r="1" spans="1:3" x14ac:dyDescent="0.25">
      <c r="A1" s="133" t="s">
        <v>181</v>
      </c>
      <c r="B1" s="133"/>
      <c r="C1" s="133"/>
    </row>
    <row r="2" spans="1:3" x14ac:dyDescent="0.25">
      <c r="A2" s="100"/>
      <c r="B2" s="100"/>
      <c r="C2" s="100"/>
    </row>
    <row r="3" spans="1:3" x14ac:dyDescent="0.25">
      <c r="A3" t="s">
        <v>157</v>
      </c>
      <c r="B3">
        <v>53</v>
      </c>
      <c r="C3" s="18">
        <f t="shared" ref="C3:C19" si="0">B3/B$21</f>
        <v>9.1679640200657327E-3</v>
      </c>
    </row>
    <row r="4" spans="1:3" x14ac:dyDescent="0.25">
      <c r="A4" t="s">
        <v>35</v>
      </c>
      <c r="B4">
        <v>2610</v>
      </c>
      <c r="C4" s="18">
        <f t="shared" si="0"/>
        <v>0.45147898287493515</v>
      </c>
    </row>
    <row r="5" spans="1:3" x14ac:dyDescent="0.25">
      <c r="A5" t="s">
        <v>158</v>
      </c>
      <c r="B5">
        <v>2831</v>
      </c>
      <c r="C5" s="18">
        <f t="shared" si="0"/>
        <v>0.48970766303407715</v>
      </c>
    </row>
    <row r="6" spans="1:3" x14ac:dyDescent="0.25">
      <c r="A6" t="s">
        <v>155</v>
      </c>
      <c r="B6">
        <v>3325</v>
      </c>
      <c r="C6" s="18">
        <f t="shared" si="0"/>
        <v>0.57516000691921809</v>
      </c>
    </row>
    <row r="7" spans="1:3" x14ac:dyDescent="0.25">
      <c r="A7" t="s">
        <v>149</v>
      </c>
      <c r="B7">
        <v>3364</v>
      </c>
      <c r="C7" s="18">
        <f t="shared" si="0"/>
        <v>0.5819062445943608</v>
      </c>
    </row>
    <row r="8" spans="1:3" x14ac:dyDescent="0.25">
      <c r="A8" t="s">
        <v>147</v>
      </c>
      <c r="B8">
        <v>3509</v>
      </c>
      <c r="C8" s="18">
        <f t="shared" si="0"/>
        <v>0.60698841030963502</v>
      </c>
    </row>
    <row r="9" spans="1:3" x14ac:dyDescent="0.25">
      <c r="A9" t="s">
        <v>148</v>
      </c>
      <c r="B9">
        <v>3573</v>
      </c>
      <c r="C9" s="18">
        <f t="shared" si="0"/>
        <v>0.61805915931499744</v>
      </c>
    </row>
    <row r="10" spans="1:3" x14ac:dyDescent="0.25">
      <c r="A10" t="s">
        <v>152</v>
      </c>
      <c r="B10">
        <v>3768</v>
      </c>
      <c r="C10" s="18">
        <f t="shared" si="0"/>
        <v>0.65179034769071098</v>
      </c>
    </row>
    <row r="11" spans="1:3" x14ac:dyDescent="0.25">
      <c r="A11" t="s">
        <v>34</v>
      </c>
      <c r="B11">
        <v>4100</v>
      </c>
      <c r="C11" s="18">
        <f t="shared" si="0"/>
        <v>0.70921985815602839</v>
      </c>
    </row>
    <row r="12" spans="1:3" x14ac:dyDescent="0.25">
      <c r="A12" t="s">
        <v>156</v>
      </c>
      <c r="B12">
        <v>4154</v>
      </c>
      <c r="C12" s="18">
        <f t="shared" si="0"/>
        <v>0.71856080262930289</v>
      </c>
    </row>
    <row r="13" spans="1:3" x14ac:dyDescent="0.25">
      <c r="A13" t="s">
        <v>153</v>
      </c>
      <c r="B13">
        <v>4436</v>
      </c>
      <c r="C13" s="18">
        <f t="shared" si="0"/>
        <v>0.76734129043418098</v>
      </c>
    </row>
    <row r="14" spans="1:3" x14ac:dyDescent="0.25">
      <c r="A14" t="s">
        <v>154</v>
      </c>
      <c r="B14">
        <v>4551</v>
      </c>
      <c r="C14" s="18">
        <f t="shared" si="0"/>
        <v>0.78723404255319152</v>
      </c>
    </row>
    <row r="15" spans="1:3" x14ac:dyDescent="0.25">
      <c r="A15" t="s">
        <v>146</v>
      </c>
      <c r="B15">
        <v>4554</v>
      </c>
      <c r="C15" s="18">
        <f t="shared" si="0"/>
        <v>0.78775298391281789</v>
      </c>
    </row>
    <row r="16" spans="1:3" x14ac:dyDescent="0.25">
      <c r="A16" t="s">
        <v>151</v>
      </c>
      <c r="B16">
        <v>4767</v>
      </c>
      <c r="C16" s="18">
        <f t="shared" si="0"/>
        <v>0.8245978204462896</v>
      </c>
    </row>
    <row r="17" spans="1:12" x14ac:dyDescent="0.25">
      <c r="A17" t="s">
        <v>150</v>
      </c>
      <c r="B17">
        <v>4794</v>
      </c>
      <c r="C17" s="18">
        <f t="shared" si="0"/>
        <v>0.82926829268292679</v>
      </c>
    </row>
    <row r="18" spans="1:12" x14ac:dyDescent="0.25">
      <c r="A18" t="s">
        <v>39</v>
      </c>
      <c r="B18">
        <v>4923</v>
      </c>
      <c r="C18" s="18">
        <f t="shared" si="0"/>
        <v>0.85158277114686043</v>
      </c>
    </row>
    <row r="19" spans="1:12" x14ac:dyDescent="0.25">
      <c r="A19" t="s">
        <v>74</v>
      </c>
      <c r="B19">
        <v>4968</v>
      </c>
      <c r="C19" s="18">
        <f t="shared" si="0"/>
        <v>0.85936689154125578</v>
      </c>
    </row>
    <row r="21" spans="1:12" x14ac:dyDescent="0.25">
      <c r="A21" s="3" t="s">
        <v>145</v>
      </c>
      <c r="B21" s="40">
        <v>5781</v>
      </c>
    </row>
    <row r="30" spans="1:12" x14ac:dyDescent="0.25">
      <c r="A30" s="120"/>
      <c r="B30" s="120"/>
      <c r="C30" s="120"/>
      <c r="D30" s="120"/>
      <c r="E30" s="120"/>
      <c r="J30" s="121" t="s">
        <v>164</v>
      </c>
      <c r="K30" s="121"/>
      <c r="L30" s="121"/>
    </row>
    <row r="31" spans="1:12" x14ac:dyDescent="0.25">
      <c r="A31" s="120"/>
      <c r="B31" s="120"/>
      <c r="C31" s="120"/>
      <c r="D31" s="120"/>
      <c r="E31" s="120"/>
    </row>
    <row r="32" spans="1:12" x14ac:dyDescent="0.25">
      <c r="A32" s="120"/>
      <c r="B32" s="120"/>
      <c r="C32" s="120"/>
      <c r="D32" s="120"/>
      <c r="E32" s="120"/>
    </row>
    <row r="33" spans="1:5" x14ac:dyDescent="0.25">
      <c r="A33" s="120"/>
      <c r="B33" s="120"/>
      <c r="C33" s="120"/>
      <c r="D33" s="120"/>
      <c r="E33" s="120"/>
    </row>
    <row r="34" spans="1:5" x14ac:dyDescent="0.25">
      <c r="A34" s="120"/>
      <c r="B34" s="120"/>
      <c r="C34" s="120"/>
      <c r="D34" s="120"/>
      <c r="E34" s="120"/>
    </row>
    <row r="35" spans="1:5" x14ac:dyDescent="0.25">
      <c r="A35" s="120"/>
      <c r="B35" s="120"/>
      <c r="C35" s="120"/>
      <c r="D35" s="120"/>
      <c r="E35" s="120"/>
    </row>
  </sheetData>
  <autoFilter ref="A2:C2">
    <sortState ref="A3:C19">
      <sortCondition ref="C2"/>
    </sortState>
  </autoFilter>
  <mergeCells count="3">
    <mergeCell ref="A1:C1"/>
    <mergeCell ref="A30:E35"/>
    <mergeCell ref="J30:L3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29"/>
  <sheetViews>
    <sheetView workbookViewId="0">
      <selection activeCell="J5" sqref="J5"/>
    </sheetView>
  </sheetViews>
  <sheetFormatPr defaultRowHeight="15" x14ac:dyDescent="0.25"/>
  <cols>
    <col min="1" max="1" width="13" style="110" customWidth="1"/>
    <col min="2" max="2" width="11.42578125" style="110" bestFit="1" customWidth="1"/>
    <col min="3" max="3" width="14" style="110" customWidth="1"/>
    <col min="4" max="5" width="9.140625" style="110"/>
    <col min="6" max="6" width="13.28515625" style="110" customWidth="1"/>
    <col min="7" max="16384" width="9.140625" style="110"/>
  </cols>
  <sheetData>
    <row r="1" spans="1:13" x14ac:dyDescent="0.25">
      <c r="A1" s="134" t="s">
        <v>238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3" spans="1:13" x14ac:dyDescent="0.25">
      <c r="A3" s="111"/>
      <c r="B3" s="112" t="s">
        <v>183</v>
      </c>
      <c r="C3" s="112" t="s">
        <v>184</v>
      </c>
      <c r="D3" s="112" t="s">
        <v>185</v>
      </c>
      <c r="E3" s="112" t="s">
        <v>186</v>
      </c>
      <c r="F3" s="112" t="s">
        <v>187</v>
      </c>
      <c r="G3" s="112" t="s">
        <v>88</v>
      </c>
    </row>
    <row r="4" spans="1:13" ht="45" x14ac:dyDescent="0.25">
      <c r="A4" s="137" t="s">
        <v>236</v>
      </c>
      <c r="B4" s="139">
        <f>B6-B5</f>
        <v>3787</v>
      </c>
      <c r="C4" s="139">
        <f t="shared" ref="C4:G4" si="0">C6-C5</f>
        <v>1007</v>
      </c>
      <c r="D4" s="139">
        <f t="shared" si="0"/>
        <v>301</v>
      </c>
      <c r="E4" s="139">
        <f t="shared" si="0"/>
        <v>210</v>
      </c>
      <c r="F4" s="139">
        <f t="shared" si="0"/>
        <v>12</v>
      </c>
      <c r="G4" s="139">
        <f t="shared" si="0"/>
        <v>5317</v>
      </c>
    </row>
    <row r="5" spans="1:13" ht="45" x14ac:dyDescent="0.25">
      <c r="A5" s="137" t="s">
        <v>237</v>
      </c>
      <c r="B5" s="138">
        <v>132</v>
      </c>
      <c r="C5" s="138">
        <v>36</v>
      </c>
      <c r="D5" s="138">
        <v>24</v>
      </c>
      <c r="E5" s="138">
        <v>56</v>
      </c>
      <c r="F5" s="138">
        <v>5</v>
      </c>
      <c r="G5" s="138">
        <v>253</v>
      </c>
      <c r="H5" s="63"/>
    </row>
    <row r="6" spans="1:13" x14ac:dyDescent="0.25">
      <c r="A6" s="137" t="s">
        <v>24</v>
      </c>
      <c r="B6" s="139">
        <v>3919</v>
      </c>
      <c r="C6" s="138">
        <v>1043</v>
      </c>
      <c r="D6" s="138">
        <v>325</v>
      </c>
      <c r="E6" s="138">
        <v>266</v>
      </c>
      <c r="F6" s="138">
        <v>17</v>
      </c>
      <c r="G6" s="139">
        <v>5570</v>
      </c>
    </row>
    <row r="7" spans="1:13" x14ac:dyDescent="0.25">
      <c r="A7" s="116"/>
      <c r="B7" s="117"/>
      <c r="C7" s="117"/>
      <c r="D7" s="117"/>
      <c r="E7" s="117"/>
      <c r="F7" s="117"/>
      <c r="G7" s="117"/>
    </row>
    <row r="8" spans="1:13" x14ac:dyDescent="0.25">
      <c r="A8" s="116"/>
      <c r="B8" s="117"/>
      <c r="C8" s="117"/>
      <c r="D8" s="117"/>
      <c r="E8" s="117"/>
      <c r="F8" s="117"/>
      <c r="G8" s="117"/>
    </row>
    <row r="9" spans="1:13" x14ac:dyDescent="0.25">
      <c r="A9" s="116"/>
      <c r="B9" s="117"/>
      <c r="C9" s="117"/>
      <c r="D9" s="117"/>
      <c r="E9" s="117"/>
      <c r="F9" s="117"/>
      <c r="G9" s="117"/>
    </row>
    <row r="10" spans="1:13" x14ac:dyDescent="0.25">
      <c r="A10" s="116"/>
      <c r="B10" s="117"/>
      <c r="C10" s="117"/>
      <c r="D10" s="117"/>
      <c r="E10" s="117"/>
      <c r="F10" s="117"/>
      <c r="G10" s="117"/>
    </row>
    <row r="11" spans="1:13" x14ac:dyDescent="0.25">
      <c r="A11" s="116"/>
      <c r="B11" s="118"/>
      <c r="C11" s="118"/>
      <c r="D11" s="117"/>
      <c r="E11" s="117"/>
      <c r="F11" s="117"/>
      <c r="G11" s="118"/>
    </row>
    <row r="13" spans="1:13" x14ac:dyDescent="0.25">
      <c r="A13" s="135"/>
      <c r="B13" s="135"/>
      <c r="C13" s="135"/>
      <c r="D13" s="135"/>
      <c r="E13" s="135"/>
      <c r="F13" s="135"/>
      <c r="G13" s="135"/>
      <c r="H13" s="135"/>
      <c r="I13" s="135"/>
    </row>
    <row r="14" spans="1:13" x14ac:dyDescent="0.25">
      <c r="A14" s="135"/>
      <c r="B14" s="135"/>
      <c r="C14" s="135"/>
      <c r="D14" s="135"/>
      <c r="E14" s="135"/>
      <c r="F14" s="135"/>
      <c r="G14" s="135"/>
      <c r="H14" s="135"/>
      <c r="I14" s="135"/>
    </row>
    <row r="15" spans="1:13" x14ac:dyDescent="0.25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13" x14ac:dyDescent="0.25">
      <c r="A16" s="135"/>
      <c r="B16" s="135"/>
      <c r="C16" s="135"/>
      <c r="D16" s="135"/>
      <c r="E16" s="135"/>
      <c r="F16" s="135"/>
      <c r="G16" s="135"/>
      <c r="H16" s="135"/>
      <c r="I16" s="135"/>
    </row>
    <row r="17" spans="1:15" x14ac:dyDescent="0.25">
      <c r="A17" s="135"/>
      <c r="B17" s="135"/>
      <c r="C17" s="135"/>
      <c r="D17" s="135"/>
      <c r="E17" s="135"/>
      <c r="F17" s="135"/>
      <c r="G17" s="135"/>
      <c r="H17" s="135"/>
      <c r="I17" s="135"/>
    </row>
    <row r="18" spans="1:15" x14ac:dyDescent="0.25">
      <c r="A18" s="135"/>
      <c r="B18" s="135"/>
      <c r="C18" s="135"/>
      <c r="D18" s="135"/>
      <c r="E18" s="135"/>
      <c r="F18" s="135"/>
      <c r="G18" s="135"/>
      <c r="H18" s="135"/>
      <c r="I18" s="135"/>
    </row>
    <row r="19" spans="1:15" x14ac:dyDescent="0.25">
      <c r="A19" s="135"/>
      <c r="B19" s="135"/>
      <c r="C19" s="135"/>
      <c r="D19" s="135"/>
      <c r="E19" s="135"/>
      <c r="F19" s="135"/>
      <c r="G19" s="135"/>
      <c r="H19" s="135"/>
      <c r="I19" s="135"/>
    </row>
    <row r="20" spans="1:15" x14ac:dyDescent="0.25">
      <c r="A20" s="135"/>
      <c r="B20" s="135"/>
      <c r="C20" s="135"/>
      <c r="D20" s="135"/>
      <c r="E20" s="135"/>
      <c r="F20" s="135"/>
      <c r="G20" s="135"/>
      <c r="H20" s="135"/>
      <c r="I20" s="135"/>
    </row>
    <row r="21" spans="1:15" x14ac:dyDescent="0.25">
      <c r="A21" s="135"/>
      <c r="B21" s="135"/>
      <c r="C21" s="135"/>
      <c r="D21" s="135"/>
      <c r="E21" s="135"/>
      <c r="F21" s="135"/>
      <c r="G21" s="135"/>
      <c r="H21" s="135"/>
      <c r="I21" s="135"/>
    </row>
    <row r="22" spans="1:15" x14ac:dyDescent="0.25">
      <c r="A22" s="135"/>
      <c r="B22" s="135"/>
      <c r="C22" s="135"/>
      <c r="D22" s="135"/>
      <c r="E22" s="135"/>
      <c r="F22" s="135"/>
      <c r="G22" s="135"/>
      <c r="H22" s="135"/>
      <c r="I22" s="135"/>
    </row>
    <row r="23" spans="1:15" x14ac:dyDescent="0.25">
      <c r="A23" s="135"/>
      <c r="B23" s="135"/>
      <c r="C23" s="135"/>
      <c r="D23" s="135"/>
      <c r="E23" s="135"/>
      <c r="F23" s="135"/>
      <c r="G23" s="135"/>
      <c r="H23" s="135"/>
      <c r="I23" s="135"/>
      <c r="L23" s="113"/>
      <c r="M23" s="113"/>
      <c r="N23" s="114"/>
      <c r="O23" s="114"/>
    </row>
    <row r="24" spans="1:15" x14ac:dyDescent="0.25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15" x14ac:dyDescent="0.25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15" x14ac:dyDescent="0.25">
      <c r="A26" s="135"/>
      <c r="B26" s="135"/>
      <c r="C26" s="135"/>
      <c r="D26" s="135"/>
      <c r="E26" s="135"/>
      <c r="F26" s="135"/>
      <c r="G26" s="135"/>
      <c r="H26" s="135"/>
      <c r="I26" s="135"/>
    </row>
    <row r="28" spans="1:15" x14ac:dyDescent="0.25">
      <c r="A28" s="115"/>
      <c r="B28" s="115"/>
      <c r="C28" s="115"/>
      <c r="D28" s="115"/>
      <c r="E28" s="115"/>
      <c r="F28" s="115"/>
      <c r="L28" s="113" t="s">
        <v>164</v>
      </c>
    </row>
    <row r="29" spans="1:15" x14ac:dyDescent="0.25">
      <c r="A29" s="115"/>
      <c r="B29" s="115"/>
      <c r="C29" s="115"/>
      <c r="D29" s="115"/>
      <c r="E29" s="115"/>
      <c r="F29" s="115"/>
    </row>
  </sheetData>
  <mergeCells count="2">
    <mergeCell ref="A1:M1"/>
    <mergeCell ref="A13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71"/>
  <sheetViews>
    <sheetView tabSelected="1" workbookViewId="0">
      <selection activeCell="R29" sqref="R29"/>
    </sheetView>
  </sheetViews>
  <sheetFormatPr defaultRowHeight="15" x14ac:dyDescent="0.25"/>
  <cols>
    <col min="1" max="1" width="99.42578125" bestFit="1" customWidth="1"/>
    <col min="2" max="2" width="5" bestFit="1" customWidth="1"/>
    <col min="3" max="3" width="7.28515625" customWidth="1"/>
  </cols>
  <sheetData>
    <row r="1" spans="1:3" x14ac:dyDescent="0.25">
      <c r="A1" s="133" t="s">
        <v>182</v>
      </c>
      <c r="B1" s="133"/>
      <c r="C1" s="133"/>
    </row>
    <row r="2" spans="1:3" x14ac:dyDescent="0.25">
      <c r="A2" s="102"/>
      <c r="B2" s="102"/>
      <c r="C2" s="102"/>
    </row>
    <row r="3" spans="1:3" x14ac:dyDescent="0.25">
      <c r="A3" t="s">
        <v>235</v>
      </c>
      <c r="B3">
        <v>8</v>
      </c>
      <c r="C3" s="18">
        <f>B3/B$30</f>
        <v>2.9411764705882353E-2</v>
      </c>
    </row>
    <row r="4" spans="1:3" x14ac:dyDescent="0.25">
      <c r="A4" t="s">
        <v>223</v>
      </c>
      <c r="B4">
        <v>117</v>
      </c>
      <c r="C4" s="18">
        <f>B4/B$30</f>
        <v>0.43014705882352944</v>
      </c>
    </row>
    <row r="5" spans="1:3" x14ac:dyDescent="0.25">
      <c r="A5" t="s">
        <v>199</v>
      </c>
      <c r="B5">
        <v>181</v>
      </c>
      <c r="C5" s="18">
        <f>B5/B$30</f>
        <v>0.6654411764705882</v>
      </c>
    </row>
    <row r="6" spans="1:3" x14ac:dyDescent="0.25">
      <c r="A6" t="s">
        <v>217</v>
      </c>
      <c r="B6">
        <v>181</v>
      </c>
      <c r="C6" s="18">
        <f>B6/B$30</f>
        <v>0.6654411764705882</v>
      </c>
    </row>
    <row r="7" spans="1:3" x14ac:dyDescent="0.25">
      <c r="A7" t="s">
        <v>219</v>
      </c>
      <c r="B7">
        <v>182</v>
      </c>
      <c r="C7" s="18">
        <f>B7/B$30</f>
        <v>0.66911764705882348</v>
      </c>
    </row>
    <row r="8" spans="1:3" x14ac:dyDescent="0.25">
      <c r="A8" t="s">
        <v>202</v>
      </c>
      <c r="B8" s="136">
        <v>183</v>
      </c>
      <c r="C8" s="18">
        <f>B8/B$30</f>
        <v>0.67279411764705888</v>
      </c>
    </row>
    <row r="9" spans="1:3" x14ac:dyDescent="0.25">
      <c r="A9" t="s">
        <v>213</v>
      </c>
      <c r="B9" s="136">
        <v>185</v>
      </c>
      <c r="C9" s="18">
        <f>B9/B$30</f>
        <v>0.68014705882352944</v>
      </c>
    </row>
    <row r="10" spans="1:3" x14ac:dyDescent="0.25">
      <c r="A10" t="s">
        <v>191</v>
      </c>
      <c r="B10">
        <v>189</v>
      </c>
      <c r="C10" s="18">
        <f>B10/B$30</f>
        <v>0.69485294117647056</v>
      </c>
    </row>
    <row r="11" spans="1:3" x14ac:dyDescent="0.25">
      <c r="A11" t="s">
        <v>189</v>
      </c>
      <c r="B11">
        <v>207</v>
      </c>
      <c r="C11" s="18">
        <f>B11/B$30</f>
        <v>0.76102941176470584</v>
      </c>
    </row>
    <row r="12" spans="1:3" x14ac:dyDescent="0.25">
      <c r="A12" t="s">
        <v>204</v>
      </c>
      <c r="B12">
        <v>209</v>
      </c>
      <c r="C12" s="18">
        <f>B12/B$30</f>
        <v>0.76838235294117652</v>
      </c>
    </row>
    <row r="13" spans="1:3" x14ac:dyDescent="0.25">
      <c r="A13" t="s">
        <v>221</v>
      </c>
      <c r="B13">
        <v>209</v>
      </c>
      <c r="C13" s="18">
        <f>B13/B$30</f>
        <v>0.76838235294117652</v>
      </c>
    </row>
    <row r="14" spans="1:3" x14ac:dyDescent="0.25">
      <c r="A14" t="s">
        <v>195</v>
      </c>
      <c r="B14">
        <v>222</v>
      </c>
      <c r="C14" s="18">
        <f>B14/B$30</f>
        <v>0.81617647058823528</v>
      </c>
    </row>
    <row r="15" spans="1:3" x14ac:dyDescent="0.25">
      <c r="A15" t="s">
        <v>215</v>
      </c>
      <c r="B15">
        <v>222</v>
      </c>
      <c r="C15" s="18">
        <f>B15/B$30</f>
        <v>0.81617647058823528</v>
      </c>
    </row>
    <row r="16" spans="1:3" x14ac:dyDescent="0.25">
      <c r="A16" t="s">
        <v>211</v>
      </c>
      <c r="B16">
        <v>224</v>
      </c>
      <c r="C16" s="18">
        <f>B16/B$30</f>
        <v>0.82352941176470584</v>
      </c>
    </row>
    <row r="17" spans="1:3" x14ac:dyDescent="0.25">
      <c r="A17" t="s">
        <v>230</v>
      </c>
      <c r="B17">
        <v>226</v>
      </c>
      <c r="C17" s="18">
        <f>B17/B$30</f>
        <v>0.83088235294117652</v>
      </c>
    </row>
    <row r="18" spans="1:3" x14ac:dyDescent="0.25">
      <c r="A18" t="s">
        <v>150</v>
      </c>
      <c r="B18">
        <v>227</v>
      </c>
      <c r="C18" s="18">
        <f>B18/B$30</f>
        <v>0.8345588235294118</v>
      </c>
    </row>
    <row r="19" spans="1:3" x14ac:dyDescent="0.25">
      <c r="A19" t="s">
        <v>155</v>
      </c>
      <c r="B19">
        <v>228</v>
      </c>
      <c r="C19" s="18">
        <f>B19/B$30</f>
        <v>0.83823529411764708</v>
      </c>
    </row>
    <row r="20" spans="1:3" x14ac:dyDescent="0.25">
      <c r="A20" t="s">
        <v>228</v>
      </c>
      <c r="B20">
        <v>230</v>
      </c>
      <c r="C20" s="18">
        <f>B20/B$30</f>
        <v>0.84558823529411764</v>
      </c>
    </row>
    <row r="21" spans="1:3" x14ac:dyDescent="0.25">
      <c r="A21" t="s">
        <v>209</v>
      </c>
      <c r="B21">
        <v>231</v>
      </c>
      <c r="C21" s="18">
        <f>B21/B$30</f>
        <v>0.84926470588235292</v>
      </c>
    </row>
    <row r="22" spans="1:3" x14ac:dyDescent="0.25">
      <c r="A22" t="s">
        <v>197</v>
      </c>
      <c r="B22">
        <v>233</v>
      </c>
      <c r="C22" s="18">
        <f>B22/B$30</f>
        <v>0.85661764705882348</v>
      </c>
    </row>
    <row r="23" spans="1:3" x14ac:dyDescent="0.25">
      <c r="A23" t="s">
        <v>39</v>
      </c>
      <c r="B23">
        <v>236</v>
      </c>
      <c r="C23" s="18">
        <f>B23/B$30</f>
        <v>0.86764705882352944</v>
      </c>
    </row>
    <row r="24" spans="1:3" x14ac:dyDescent="0.25">
      <c r="A24" t="s">
        <v>206</v>
      </c>
      <c r="B24">
        <v>240</v>
      </c>
      <c r="C24" s="18">
        <f>B24/B$30</f>
        <v>0.88235294117647056</v>
      </c>
    </row>
    <row r="25" spans="1:3" x14ac:dyDescent="0.25">
      <c r="A25" t="s">
        <v>193</v>
      </c>
      <c r="B25">
        <v>242</v>
      </c>
      <c r="C25" s="18">
        <f>B25/B$30</f>
        <v>0.88970588235294112</v>
      </c>
    </row>
    <row r="26" spans="1:3" x14ac:dyDescent="0.25">
      <c r="A26" t="s">
        <v>232</v>
      </c>
      <c r="B26">
        <v>245</v>
      </c>
      <c r="C26" s="18">
        <f>B26/B$30</f>
        <v>0.90073529411764708</v>
      </c>
    </row>
    <row r="27" spans="1:3" x14ac:dyDescent="0.25">
      <c r="A27" t="s">
        <v>226</v>
      </c>
      <c r="B27">
        <v>251</v>
      </c>
      <c r="C27" s="18">
        <f>B27/B$30</f>
        <v>0.92279411764705888</v>
      </c>
    </row>
    <row r="28" spans="1:3" x14ac:dyDescent="0.25">
      <c r="A28" t="s">
        <v>77</v>
      </c>
      <c r="B28">
        <v>259</v>
      </c>
      <c r="C28" s="18">
        <f>B28/B$30</f>
        <v>0.95220588235294112</v>
      </c>
    </row>
    <row r="30" spans="1:3" x14ac:dyDescent="0.25">
      <c r="A30" s="3" t="s">
        <v>145</v>
      </c>
      <c r="B30" s="80">
        <v>272</v>
      </c>
    </row>
    <row r="38" spans="1:12" x14ac:dyDescent="0.25">
      <c r="D38" s="121" t="s">
        <v>164</v>
      </c>
      <c r="E38" s="121"/>
      <c r="F38" s="121"/>
    </row>
    <row r="39" spans="1:12" x14ac:dyDescent="0.25">
      <c r="A39" s="120"/>
      <c r="B39" s="120"/>
      <c r="C39" s="120"/>
      <c r="D39" s="120"/>
      <c r="E39" s="120"/>
      <c r="J39" s="121"/>
      <c r="K39" s="121"/>
      <c r="L39" s="121"/>
    </row>
    <row r="40" spans="1:12" x14ac:dyDescent="0.25">
      <c r="A40" s="120"/>
      <c r="B40" s="120"/>
      <c r="C40" s="120"/>
      <c r="D40" s="120"/>
      <c r="E40" s="120"/>
    </row>
    <row r="41" spans="1:12" x14ac:dyDescent="0.25">
      <c r="A41" s="120"/>
      <c r="B41" s="120"/>
      <c r="C41" s="120"/>
      <c r="D41" s="120"/>
      <c r="E41" s="120"/>
    </row>
    <row r="42" spans="1:12" x14ac:dyDescent="0.25">
      <c r="A42" s="120"/>
      <c r="B42" s="120"/>
      <c r="C42" s="120"/>
      <c r="D42" s="120"/>
      <c r="E42" s="120"/>
    </row>
    <row r="43" spans="1:12" x14ac:dyDescent="0.25">
      <c r="A43" s="120"/>
      <c r="B43" s="120"/>
      <c r="C43" s="120"/>
      <c r="D43" s="120"/>
      <c r="E43" s="120"/>
    </row>
    <row r="44" spans="1:12" x14ac:dyDescent="0.25">
      <c r="A44" s="120"/>
      <c r="B44" s="120"/>
      <c r="C44" s="120"/>
      <c r="D44" s="120"/>
      <c r="E44" s="120"/>
    </row>
    <row r="46" spans="1:12" x14ac:dyDescent="0.25">
      <c r="B46">
        <v>207</v>
      </c>
      <c r="C46" t="s">
        <v>188</v>
      </c>
      <c r="D46" t="s">
        <v>189</v>
      </c>
    </row>
    <row r="47" spans="1:12" x14ac:dyDescent="0.25">
      <c r="B47">
        <v>189</v>
      </c>
      <c r="C47" t="s">
        <v>190</v>
      </c>
      <c r="D47" t="s">
        <v>191</v>
      </c>
    </row>
    <row r="48" spans="1:12" x14ac:dyDescent="0.25">
      <c r="B48">
        <v>242</v>
      </c>
      <c r="C48" t="s">
        <v>192</v>
      </c>
      <c r="D48" t="s">
        <v>193</v>
      </c>
    </row>
    <row r="49" spans="2:4" x14ac:dyDescent="0.25">
      <c r="B49">
        <v>222</v>
      </c>
      <c r="C49" t="s">
        <v>194</v>
      </c>
      <c r="D49" t="s">
        <v>195</v>
      </c>
    </row>
    <row r="50" spans="2:4" x14ac:dyDescent="0.25">
      <c r="B50">
        <v>233</v>
      </c>
      <c r="C50" t="s">
        <v>196</v>
      </c>
      <c r="D50" t="s">
        <v>197</v>
      </c>
    </row>
    <row r="51" spans="2:4" x14ac:dyDescent="0.25">
      <c r="B51">
        <v>181</v>
      </c>
      <c r="C51" t="s">
        <v>198</v>
      </c>
      <c r="D51" t="s">
        <v>199</v>
      </c>
    </row>
    <row r="52" spans="2:4" x14ac:dyDescent="0.25">
      <c r="B52">
        <v>227</v>
      </c>
      <c r="C52" t="s">
        <v>200</v>
      </c>
      <c r="D52" t="s">
        <v>150</v>
      </c>
    </row>
    <row r="53" spans="2:4" x14ac:dyDescent="0.25">
      <c r="B53" s="136">
        <v>183</v>
      </c>
      <c r="C53" t="s">
        <v>201</v>
      </c>
      <c r="D53" t="s">
        <v>202</v>
      </c>
    </row>
    <row r="54" spans="2:4" x14ac:dyDescent="0.25">
      <c r="B54">
        <v>209</v>
      </c>
      <c r="C54" t="s">
        <v>203</v>
      </c>
      <c r="D54" t="s">
        <v>204</v>
      </c>
    </row>
    <row r="55" spans="2:4" x14ac:dyDescent="0.25">
      <c r="B55">
        <v>240</v>
      </c>
      <c r="C55" t="s">
        <v>205</v>
      </c>
      <c r="D55" t="s">
        <v>206</v>
      </c>
    </row>
    <row r="56" spans="2:4" x14ac:dyDescent="0.25">
      <c r="B56">
        <v>228</v>
      </c>
      <c r="C56" t="s">
        <v>207</v>
      </c>
      <c r="D56" t="s">
        <v>155</v>
      </c>
    </row>
    <row r="57" spans="2:4" x14ac:dyDescent="0.25">
      <c r="B57">
        <v>231</v>
      </c>
      <c r="C57" t="s">
        <v>208</v>
      </c>
      <c r="D57" t="s">
        <v>209</v>
      </c>
    </row>
    <row r="58" spans="2:4" x14ac:dyDescent="0.25">
      <c r="B58">
        <v>224</v>
      </c>
      <c r="C58" t="s">
        <v>210</v>
      </c>
      <c r="D58" t="s">
        <v>211</v>
      </c>
    </row>
    <row r="59" spans="2:4" x14ac:dyDescent="0.25">
      <c r="B59" s="136">
        <v>185</v>
      </c>
      <c r="C59" t="s">
        <v>212</v>
      </c>
      <c r="D59" t="s">
        <v>213</v>
      </c>
    </row>
    <row r="60" spans="2:4" x14ac:dyDescent="0.25">
      <c r="B60">
        <v>222</v>
      </c>
      <c r="C60" t="s">
        <v>214</v>
      </c>
      <c r="D60" t="s">
        <v>215</v>
      </c>
    </row>
    <row r="61" spans="2:4" x14ac:dyDescent="0.25">
      <c r="B61">
        <v>181</v>
      </c>
      <c r="C61" t="s">
        <v>216</v>
      </c>
      <c r="D61" t="s">
        <v>217</v>
      </c>
    </row>
    <row r="62" spans="2:4" x14ac:dyDescent="0.25">
      <c r="B62">
        <v>182</v>
      </c>
      <c r="C62" t="s">
        <v>218</v>
      </c>
      <c r="D62" t="s">
        <v>219</v>
      </c>
    </row>
    <row r="63" spans="2:4" x14ac:dyDescent="0.25">
      <c r="B63">
        <v>209</v>
      </c>
      <c r="C63" t="s">
        <v>220</v>
      </c>
      <c r="D63" t="s">
        <v>221</v>
      </c>
    </row>
    <row r="64" spans="2:4" x14ac:dyDescent="0.25">
      <c r="B64">
        <v>117</v>
      </c>
      <c r="C64" t="s">
        <v>222</v>
      </c>
      <c r="D64" t="s">
        <v>223</v>
      </c>
    </row>
    <row r="65" spans="2:4" x14ac:dyDescent="0.25">
      <c r="B65">
        <v>259</v>
      </c>
      <c r="C65" t="s">
        <v>224</v>
      </c>
      <c r="D65" t="s">
        <v>77</v>
      </c>
    </row>
    <row r="66" spans="2:4" x14ac:dyDescent="0.25">
      <c r="B66">
        <v>251</v>
      </c>
      <c r="C66" t="s">
        <v>225</v>
      </c>
      <c r="D66" t="s">
        <v>226</v>
      </c>
    </row>
    <row r="67" spans="2:4" x14ac:dyDescent="0.25">
      <c r="B67">
        <v>230</v>
      </c>
      <c r="C67" t="s">
        <v>227</v>
      </c>
      <c r="D67" t="s">
        <v>228</v>
      </c>
    </row>
    <row r="68" spans="2:4" x14ac:dyDescent="0.25">
      <c r="B68">
        <v>226</v>
      </c>
      <c r="C68" t="s">
        <v>229</v>
      </c>
      <c r="D68" t="s">
        <v>230</v>
      </c>
    </row>
    <row r="69" spans="2:4" x14ac:dyDescent="0.25">
      <c r="B69">
        <v>245</v>
      </c>
      <c r="C69" t="s">
        <v>231</v>
      </c>
      <c r="D69" t="s">
        <v>232</v>
      </c>
    </row>
    <row r="70" spans="2:4" x14ac:dyDescent="0.25">
      <c r="B70">
        <v>236</v>
      </c>
      <c r="C70" t="s">
        <v>233</v>
      </c>
      <c r="D70" t="s">
        <v>39</v>
      </c>
    </row>
    <row r="71" spans="2:4" x14ac:dyDescent="0.25">
      <c r="B71">
        <v>8</v>
      </c>
      <c r="C71" t="s">
        <v>234</v>
      </c>
      <c r="D71" t="s">
        <v>235</v>
      </c>
    </row>
  </sheetData>
  <autoFilter ref="A2:C2">
    <sortState ref="A3:C28">
      <sortCondition ref="C2"/>
    </sortState>
  </autoFilter>
  <mergeCells count="4">
    <mergeCell ref="A1:C1"/>
    <mergeCell ref="A39:E44"/>
    <mergeCell ref="J39:L39"/>
    <mergeCell ref="D38:F3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P39"/>
  <sheetViews>
    <sheetView workbookViewId="0">
      <selection sqref="A1:O1"/>
    </sheetView>
  </sheetViews>
  <sheetFormatPr defaultColWidth="8.85546875" defaultRowHeight="15" x14ac:dyDescent="0.25"/>
  <cols>
    <col min="1" max="1" width="11.85546875" customWidth="1"/>
    <col min="3" max="3" width="11.42578125" customWidth="1"/>
    <col min="4" max="4" width="17.85546875" customWidth="1"/>
    <col min="5" max="8" width="13" customWidth="1"/>
    <col min="10" max="10" width="6" bestFit="1" customWidth="1"/>
  </cols>
  <sheetData>
    <row r="1" spans="1:16" ht="17.25" x14ac:dyDescent="0.25">
      <c r="A1" s="122" t="s">
        <v>165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17.25" customHeigh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x14ac:dyDescent="0.25">
      <c r="A3" t="s">
        <v>28</v>
      </c>
    </row>
    <row r="4" spans="1:16" ht="15.75" x14ac:dyDescent="0.25">
      <c r="A4" s="6" t="s">
        <v>18</v>
      </c>
      <c r="B4" s="7" t="s">
        <v>19</v>
      </c>
      <c r="C4" s="7" t="s">
        <v>20</v>
      </c>
      <c r="D4" s="8" t="s">
        <v>21</v>
      </c>
      <c r="E4" s="7" t="s">
        <v>22</v>
      </c>
      <c r="F4" s="7" t="s">
        <v>25</v>
      </c>
      <c r="G4" s="7" t="s">
        <v>159</v>
      </c>
      <c r="H4" s="7" t="s">
        <v>26</v>
      </c>
      <c r="I4" s="7" t="s">
        <v>23</v>
      </c>
      <c r="J4" s="13" t="s">
        <v>24</v>
      </c>
    </row>
    <row r="5" spans="1:16" ht="15.75" x14ac:dyDescent="0.25">
      <c r="A5" s="7">
        <v>2008</v>
      </c>
      <c r="B5" s="11">
        <f>4482/$J5</f>
        <v>0.8716452742123687</v>
      </c>
      <c r="C5" s="11">
        <f>1600/$J5</f>
        <v>0.31116297160637885</v>
      </c>
      <c r="D5" s="12">
        <f>2953/$J5</f>
        <v>0.57429015947102291</v>
      </c>
      <c r="E5" s="11">
        <f>2378/$J5</f>
        <v>0.46246596654998057</v>
      </c>
      <c r="F5" s="11">
        <f>1433/$J5</f>
        <v>0.27868533644496307</v>
      </c>
      <c r="G5" s="11"/>
      <c r="H5" s="12"/>
      <c r="I5" s="12">
        <f>3444/$J5</f>
        <v>0.66977829638273045</v>
      </c>
      <c r="J5">
        <v>5142</v>
      </c>
    </row>
    <row r="6" spans="1:16" ht="15.75" x14ac:dyDescent="0.25">
      <c r="A6" s="7">
        <v>2009</v>
      </c>
      <c r="B6" s="11">
        <f>4927/$J6</f>
        <v>0.84977578475336324</v>
      </c>
      <c r="C6" s="11">
        <f>2007/$J6</f>
        <v>0.34615384615384615</v>
      </c>
      <c r="D6" s="12">
        <f>3101/$J6</f>
        <v>0.53483959986202134</v>
      </c>
      <c r="E6" s="12">
        <f>2153/$J6</f>
        <v>0.37133494308382203</v>
      </c>
      <c r="F6" s="12"/>
      <c r="G6" s="12"/>
      <c r="H6" s="12"/>
      <c r="I6" s="12">
        <f>4002/$J6</f>
        <v>0.69023801310796828</v>
      </c>
      <c r="J6">
        <v>5798</v>
      </c>
    </row>
    <row r="7" spans="1:16" ht="15.75" x14ac:dyDescent="0.25">
      <c r="A7" s="7">
        <v>2010</v>
      </c>
      <c r="B7" s="11">
        <f>5721/$J7</f>
        <v>0.84119982355535949</v>
      </c>
      <c r="C7" s="11">
        <f>2548/$J7</f>
        <v>0.37465078664902218</v>
      </c>
      <c r="D7" s="11">
        <f>3620/$J7</f>
        <v>0.53227466549036906</v>
      </c>
      <c r="E7" s="11">
        <f>4256/$J7</f>
        <v>0.62579032495221287</v>
      </c>
      <c r="F7" s="11"/>
      <c r="G7" s="11"/>
      <c r="H7" s="11"/>
      <c r="I7" s="11">
        <f>4788/$J7</f>
        <v>0.7040141155712395</v>
      </c>
      <c r="J7">
        <v>6801</v>
      </c>
    </row>
    <row r="8" spans="1:16" ht="15.75" x14ac:dyDescent="0.25">
      <c r="A8" s="7">
        <v>2011</v>
      </c>
      <c r="B8" s="12">
        <f>6795/$J8</f>
        <v>0.9090301003344482</v>
      </c>
      <c r="C8" s="12">
        <f>3151/$J8</f>
        <v>0.42153846153846153</v>
      </c>
      <c r="D8" s="12">
        <f>4461/$J8</f>
        <v>0.59678929765886291</v>
      </c>
      <c r="E8" s="12">
        <f>4792/$J8</f>
        <v>0.64107023411371233</v>
      </c>
      <c r="F8" s="12"/>
      <c r="G8" s="12"/>
      <c r="H8" s="12"/>
      <c r="I8" s="12">
        <f>5434/$J8</f>
        <v>0.72695652173913039</v>
      </c>
      <c r="J8">
        <v>7475</v>
      </c>
    </row>
    <row r="9" spans="1:16" ht="15.75" x14ac:dyDescent="0.25">
      <c r="A9" s="7">
        <v>2012</v>
      </c>
      <c r="B9" s="9">
        <f>7048/$J9</f>
        <v>0.91236245954692552</v>
      </c>
      <c r="C9" s="9">
        <f>3556/$J9</f>
        <v>0.46032362459546927</v>
      </c>
      <c r="D9" s="9">
        <f>5307/$J9</f>
        <v>0.68699029126213595</v>
      </c>
      <c r="E9" s="9">
        <f>5367/$J9</f>
        <v>0.69475728155339811</v>
      </c>
      <c r="F9" s="9"/>
      <c r="G9" s="9"/>
      <c r="H9" s="9"/>
      <c r="I9" s="9">
        <f>6045/$J9</f>
        <v>0.78252427184466022</v>
      </c>
      <c r="J9">
        <v>7725</v>
      </c>
    </row>
    <row r="10" spans="1:16" ht="15.75" x14ac:dyDescent="0.25">
      <c r="A10" s="7">
        <v>2013</v>
      </c>
      <c r="B10" s="9">
        <f>7300/$J10</f>
        <v>0.92604338449828749</v>
      </c>
      <c r="C10" s="9">
        <f>3502/$J10</f>
        <v>0.44424711404287709</v>
      </c>
      <c r="D10" s="9">
        <f>5953/$J10</f>
        <v>0.75516935176963085</v>
      </c>
      <c r="E10" s="9">
        <f>5689/$J10</f>
        <v>0.72167956361791197</v>
      </c>
      <c r="F10" s="9"/>
      <c r="G10" s="9"/>
      <c r="H10" s="9"/>
      <c r="I10" s="9">
        <f>6472/$J10</f>
        <v>0.8210072307497146</v>
      </c>
      <c r="J10">
        <v>7883</v>
      </c>
    </row>
    <row r="11" spans="1:16" ht="15.75" x14ac:dyDescent="0.25">
      <c r="A11" s="7">
        <v>2014</v>
      </c>
      <c r="B11" s="9">
        <f>7189/$J11</f>
        <v>0.88884767556874378</v>
      </c>
      <c r="C11" s="9">
        <f>4066/$J11</f>
        <v>0.50272007912957473</v>
      </c>
      <c r="D11" s="9">
        <f>6236/$J11</f>
        <v>0.77101879327398615</v>
      </c>
      <c r="E11" s="9">
        <f>5962/$J11</f>
        <v>0.73714144411473792</v>
      </c>
      <c r="G11" s="83">
        <f>3487/$J11</f>
        <v>0.43113254203758655</v>
      </c>
      <c r="H11" s="82"/>
      <c r="I11" s="9">
        <f>6468/$J11</f>
        <v>0.79970326409495551</v>
      </c>
      <c r="J11">
        <v>8088</v>
      </c>
    </row>
    <row r="12" spans="1:16" ht="15.75" x14ac:dyDescent="0.25">
      <c r="A12" s="7">
        <v>2015</v>
      </c>
      <c r="B12" s="9">
        <f>7266/$J12</f>
        <v>0.89098712446351935</v>
      </c>
      <c r="C12" s="9">
        <f>4074/$J12</f>
        <v>0.4995708154506438</v>
      </c>
      <c r="D12" s="9">
        <f>6423/$J12</f>
        <v>0.78761496014714893</v>
      </c>
      <c r="E12" s="9">
        <f>6155/$J12</f>
        <v>0.75475168608215815</v>
      </c>
      <c r="F12" s="9">
        <f>3274/$J12</f>
        <v>0.40147148988350706</v>
      </c>
      <c r="G12" s="9"/>
      <c r="H12" s="9">
        <f>4102/$J12</f>
        <v>0.50300429184549356</v>
      </c>
      <c r="I12" s="9">
        <f>6660/$J12</f>
        <v>0.81667688534641325</v>
      </c>
      <c r="J12">
        <v>8155</v>
      </c>
    </row>
    <row r="13" spans="1:16" ht="15.75" x14ac:dyDescent="0.25">
      <c r="A13" s="7">
        <v>2016</v>
      </c>
      <c r="B13" s="9">
        <f>7080/$J13</f>
        <v>0.85922330097087374</v>
      </c>
      <c r="C13" s="9">
        <f>3938/$J13</f>
        <v>0.4779126213592233</v>
      </c>
      <c r="D13" s="9">
        <f>6315/$J13</f>
        <v>0.76638349514563109</v>
      </c>
      <c r="E13" s="9">
        <f>5990/$J13</f>
        <v>0.72694174757281549</v>
      </c>
      <c r="F13" s="9">
        <f>3056/$J13</f>
        <v>0.37087378640776697</v>
      </c>
      <c r="G13" s="9"/>
      <c r="H13" s="9">
        <f>3935/$J13</f>
        <v>0.47754854368932037</v>
      </c>
      <c r="I13" s="9">
        <f>6502/$J13</f>
        <v>0.78907766990291262</v>
      </c>
      <c r="J13">
        <v>8240</v>
      </c>
    </row>
    <row r="15" spans="1:16" ht="15" customHeight="1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16" x14ac:dyDescent="0.25">
      <c r="A16" s="120"/>
      <c r="B16" s="120"/>
      <c r="C16" s="120"/>
      <c r="D16" s="120"/>
      <c r="E16" s="120"/>
      <c r="F16" s="120"/>
      <c r="G16" s="120"/>
      <c r="H16" s="120"/>
      <c r="I16" s="120"/>
    </row>
    <row r="17" spans="1:14" x14ac:dyDescent="0.25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14" x14ac:dyDescent="0.25">
      <c r="A18" s="120"/>
      <c r="B18" s="120"/>
      <c r="C18" s="120"/>
      <c r="D18" s="120"/>
      <c r="E18" s="120"/>
      <c r="F18" s="120"/>
      <c r="G18" s="120"/>
      <c r="H18" s="120"/>
      <c r="I18" s="120"/>
    </row>
    <row r="19" spans="1:14" x14ac:dyDescent="0.25">
      <c r="A19" s="120"/>
      <c r="B19" s="120"/>
      <c r="C19" s="120"/>
      <c r="D19" s="120"/>
      <c r="E19" s="120"/>
      <c r="F19" s="120"/>
      <c r="G19" s="120"/>
      <c r="H19" s="120"/>
      <c r="I19" s="120"/>
    </row>
    <row r="20" spans="1:14" x14ac:dyDescent="0.25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14" x14ac:dyDescent="0.25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 ht="15.75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K22" s="14"/>
      <c r="L22" s="121" t="s">
        <v>164</v>
      </c>
      <c r="M22" s="121"/>
      <c r="N22" s="121"/>
    </row>
    <row r="23" spans="1:14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4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4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14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4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4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30" spans="1:14" x14ac:dyDescent="0.25">
      <c r="A30" t="s">
        <v>27</v>
      </c>
    </row>
    <row r="31" spans="1:14" ht="15.75" x14ac:dyDescent="0.25">
      <c r="A31" s="6" t="s">
        <v>18</v>
      </c>
      <c r="B31" s="7" t="s">
        <v>19</v>
      </c>
      <c r="C31" s="7" t="s">
        <v>20</v>
      </c>
      <c r="D31" s="8" t="s">
        <v>21</v>
      </c>
      <c r="E31" s="7" t="s">
        <v>22</v>
      </c>
      <c r="F31" s="7"/>
      <c r="G31" s="7"/>
      <c r="H31" s="7"/>
      <c r="I31" s="7" t="s">
        <v>23</v>
      </c>
    </row>
    <row r="32" spans="1:14" ht="15.75" x14ac:dyDescent="0.25">
      <c r="A32" s="7">
        <v>2008</v>
      </c>
      <c r="B32" s="9">
        <v>0.72699999999999998</v>
      </c>
      <c r="C32" s="9">
        <v>0.31</v>
      </c>
      <c r="D32" s="9">
        <v>0.57399999999999995</v>
      </c>
      <c r="E32" s="9">
        <v>0.46300000000000002</v>
      </c>
      <c r="F32" s="9"/>
      <c r="G32" s="9"/>
      <c r="H32" s="9"/>
      <c r="I32" s="9">
        <v>0.67</v>
      </c>
    </row>
    <row r="33" spans="1:9" ht="15.75" x14ac:dyDescent="0.25">
      <c r="A33" s="7">
        <v>2009</v>
      </c>
      <c r="B33" s="9">
        <v>0.86299999999999999</v>
      </c>
      <c r="C33" s="9">
        <v>0.34799999999999998</v>
      </c>
      <c r="D33" s="9">
        <v>0.53500000000000003</v>
      </c>
      <c r="E33" s="9">
        <v>0.371</v>
      </c>
      <c r="F33" s="9"/>
      <c r="G33" s="9"/>
      <c r="H33" s="9"/>
      <c r="I33" s="9">
        <v>0.69</v>
      </c>
    </row>
    <row r="34" spans="1:9" ht="15.75" x14ac:dyDescent="0.25">
      <c r="A34" s="7">
        <v>2010</v>
      </c>
      <c r="B34" s="9">
        <v>0.86099999999999999</v>
      </c>
      <c r="C34" s="9">
        <v>0.37</v>
      </c>
      <c r="D34" s="9">
        <v>0.52</v>
      </c>
      <c r="E34" s="9">
        <v>0.62</v>
      </c>
      <c r="F34" s="9"/>
      <c r="G34" s="9"/>
      <c r="H34" s="9"/>
      <c r="I34" s="9">
        <v>0.7</v>
      </c>
    </row>
    <row r="35" spans="1:9" ht="15.75" x14ac:dyDescent="0.25">
      <c r="A35" s="7">
        <v>2011</v>
      </c>
      <c r="B35" s="9">
        <v>0.90900000000000003</v>
      </c>
      <c r="C35" s="9">
        <v>0.42199999999999999</v>
      </c>
      <c r="D35" s="9">
        <v>0.59699999999999998</v>
      </c>
      <c r="E35" s="9">
        <v>0.64100000000000001</v>
      </c>
      <c r="F35" s="9"/>
      <c r="G35" s="9"/>
      <c r="H35" s="9"/>
      <c r="I35" s="9">
        <v>0.72699999999999998</v>
      </c>
    </row>
    <row r="36" spans="1:9" ht="15.75" x14ac:dyDescent="0.25">
      <c r="A36" s="7">
        <v>2012</v>
      </c>
      <c r="B36" s="9">
        <v>0.91200000000000003</v>
      </c>
      <c r="C36" s="9">
        <v>0.46</v>
      </c>
      <c r="D36" s="9">
        <v>0.68700000000000006</v>
      </c>
      <c r="E36" s="9">
        <v>0.69499999999999995</v>
      </c>
      <c r="F36" s="9"/>
      <c r="G36" s="9"/>
      <c r="H36" s="9"/>
      <c r="I36" s="9">
        <v>0.78300000000000003</v>
      </c>
    </row>
    <row r="37" spans="1:9" ht="15.75" x14ac:dyDescent="0.25">
      <c r="A37" s="7">
        <v>2013</v>
      </c>
      <c r="B37" s="9">
        <v>0.92599999999999993</v>
      </c>
      <c r="C37" s="9">
        <v>0.44420000000000004</v>
      </c>
      <c r="D37" s="9">
        <v>0.755</v>
      </c>
      <c r="E37" s="9">
        <v>0.72199999999999998</v>
      </c>
      <c r="F37" s="9"/>
      <c r="G37" s="9"/>
      <c r="H37" s="9"/>
      <c r="I37" s="9">
        <v>0.82099999999999995</v>
      </c>
    </row>
    <row r="38" spans="1:9" ht="15.75" x14ac:dyDescent="0.25">
      <c r="A38" s="7">
        <v>2014</v>
      </c>
      <c r="B38" s="9">
        <v>0.88900000000000001</v>
      </c>
      <c r="C38" s="9">
        <v>0.503</v>
      </c>
      <c r="D38" s="9">
        <v>0.77099999999999991</v>
      </c>
      <c r="E38" s="9">
        <v>0.73699999999999999</v>
      </c>
      <c r="F38" s="9"/>
      <c r="G38" s="9"/>
      <c r="H38" s="9"/>
      <c r="I38" s="9">
        <v>0.8</v>
      </c>
    </row>
    <row r="39" spans="1:9" ht="15.75" x14ac:dyDescent="0.25">
      <c r="A39" s="7">
        <v>2015</v>
      </c>
      <c r="B39" s="10">
        <v>0.89098712446351935</v>
      </c>
      <c r="C39" s="10">
        <v>0.4995708154506438</v>
      </c>
      <c r="D39" s="10">
        <v>0.78761496014714893</v>
      </c>
      <c r="E39" s="10">
        <v>0.75475168608215815</v>
      </c>
      <c r="F39" s="10"/>
      <c r="G39" s="10"/>
      <c r="H39" s="10"/>
      <c r="I39" s="10">
        <v>0.81667688534641325</v>
      </c>
    </row>
  </sheetData>
  <mergeCells count="4">
    <mergeCell ref="A1:O1"/>
    <mergeCell ref="A2:P2"/>
    <mergeCell ref="A15:I28"/>
    <mergeCell ref="L22:N2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54"/>
  <sheetViews>
    <sheetView workbookViewId="0">
      <selection activeCell="L28" sqref="L28:N28"/>
    </sheetView>
  </sheetViews>
  <sheetFormatPr defaultColWidth="8.85546875" defaultRowHeight="15" x14ac:dyDescent="0.25"/>
  <cols>
    <col min="1" max="1" width="13.140625" customWidth="1"/>
    <col min="6" max="6" width="13.140625" customWidth="1"/>
    <col min="9" max="9" width="9.140625" bestFit="1" customWidth="1"/>
  </cols>
  <sheetData>
    <row r="1" spans="1:17" ht="15.75" x14ac:dyDescent="0.25">
      <c r="A1" s="123" t="s">
        <v>166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ht="15.75" x14ac:dyDescent="0.25">
      <c r="A3" s="16">
        <v>2016</v>
      </c>
      <c r="B3" s="16" t="s">
        <v>29</v>
      </c>
      <c r="C3" s="16" t="s">
        <v>30</v>
      </c>
      <c r="D3" s="16" t="s">
        <v>31</v>
      </c>
      <c r="E3" s="16" t="s">
        <v>32</v>
      </c>
      <c r="F3" s="16" t="s">
        <v>33</v>
      </c>
      <c r="H3" s="23"/>
      <c r="I3" s="23"/>
      <c r="J3" s="23"/>
      <c r="K3" s="23"/>
      <c r="L3" s="23"/>
      <c r="M3" s="23"/>
    </row>
    <row r="4" spans="1:17" ht="15.75" x14ac:dyDescent="0.25">
      <c r="A4" s="16" t="s">
        <v>19</v>
      </c>
      <c r="B4" s="17">
        <f>602/B11</f>
        <v>0.96784565916398713</v>
      </c>
      <c r="C4" s="17">
        <f>2345/C11</f>
        <v>0.88724933787362847</v>
      </c>
      <c r="D4" s="17">
        <f>2411/D11</f>
        <v>0.84864484336501234</v>
      </c>
      <c r="E4" s="17">
        <f>1288/E11</f>
        <v>0.8490441661173368</v>
      </c>
      <c r="F4" s="17">
        <f>541/F11</f>
        <v>0.87682333873581852</v>
      </c>
      <c r="H4" s="23"/>
      <c r="I4" s="24"/>
      <c r="J4" s="24"/>
      <c r="K4" s="24"/>
      <c r="L4" s="24"/>
      <c r="M4" s="24"/>
    </row>
    <row r="5" spans="1:17" ht="15.75" x14ac:dyDescent="0.25">
      <c r="A5" s="16" t="s">
        <v>20</v>
      </c>
      <c r="B5" s="17">
        <f>355/B11</f>
        <v>0.57073954983922826</v>
      </c>
      <c r="C5" s="17">
        <f>1438/C11</f>
        <v>0.54407869844873247</v>
      </c>
      <c r="D5" s="17">
        <f>1250/D11</f>
        <v>0.43998592045054558</v>
      </c>
      <c r="E5" s="17">
        <f>629/E11</f>
        <v>0.41463414634146339</v>
      </c>
      <c r="F5" s="17">
        <f>316/F11</f>
        <v>0.5121555915721232</v>
      </c>
      <c r="H5" s="23"/>
      <c r="I5" s="24"/>
      <c r="J5" s="24"/>
      <c r="K5" s="24"/>
      <c r="L5" s="24"/>
      <c r="M5" s="24"/>
    </row>
    <row r="6" spans="1:17" ht="15.75" x14ac:dyDescent="0.25">
      <c r="A6" s="16" t="s">
        <v>21</v>
      </c>
      <c r="B6" s="17">
        <f>579/B11</f>
        <v>0.93086816720257237</v>
      </c>
      <c r="C6" s="17">
        <f>2140/C11</f>
        <v>0.80968596292092321</v>
      </c>
      <c r="D6" s="17">
        <f>2071/D11</f>
        <v>0.72896867300246393</v>
      </c>
      <c r="E6" s="17">
        <f>1132/E11</f>
        <v>0.74620962425840476</v>
      </c>
      <c r="F6" s="17">
        <f>483/F11</f>
        <v>0.78282009724473256</v>
      </c>
      <c r="H6" s="23"/>
      <c r="I6" s="24"/>
      <c r="J6" s="24"/>
      <c r="K6" s="24"/>
      <c r="L6" s="24"/>
      <c r="M6" s="24"/>
    </row>
    <row r="7" spans="1:17" ht="15.75" x14ac:dyDescent="0.25">
      <c r="A7" s="16" t="s">
        <v>22</v>
      </c>
      <c r="B7" s="17">
        <f>558/B11</f>
        <v>0.89710610932475887</v>
      </c>
      <c r="C7" s="17">
        <f>2018/C11</f>
        <v>0.7635262958758986</v>
      </c>
      <c r="D7" s="17">
        <f>2059/D11</f>
        <v>0.72474480816613873</v>
      </c>
      <c r="E7" s="17">
        <f>995/E11</f>
        <v>0.65589980224126565</v>
      </c>
      <c r="F7" s="17">
        <f>453/F11</f>
        <v>0.73419773095623986</v>
      </c>
      <c r="H7" s="23"/>
      <c r="I7" s="24"/>
      <c r="J7" s="24"/>
      <c r="K7" s="24"/>
      <c r="L7" s="24"/>
      <c r="M7" s="24"/>
    </row>
    <row r="8" spans="1:17" ht="15.75" x14ac:dyDescent="0.25">
      <c r="A8" s="20" t="s">
        <v>25</v>
      </c>
      <c r="B8" s="17">
        <f>217/B11</f>
        <v>0.34887459807073956</v>
      </c>
      <c r="C8" s="17">
        <f>760/C11</f>
        <v>0.28755202421490728</v>
      </c>
      <c r="D8" s="17">
        <f>1299/D11</f>
        <v>0.45723336853220697</v>
      </c>
      <c r="E8" s="17">
        <f>587/E11</f>
        <v>0.38694792353328938</v>
      </c>
      <c r="F8" s="17">
        <f>237/F11</f>
        <v>0.3841166936790924</v>
      </c>
      <c r="H8" s="21"/>
      <c r="I8" s="24"/>
      <c r="J8" s="24"/>
      <c r="K8" s="24"/>
      <c r="L8" s="24"/>
      <c r="M8" s="24"/>
    </row>
    <row r="9" spans="1:17" ht="15.75" x14ac:dyDescent="0.25">
      <c r="A9" s="20" t="s">
        <v>26</v>
      </c>
      <c r="B9" s="17">
        <f>295/B11</f>
        <v>0.47427652733118969</v>
      </c>
      <c r="C9" s="17">
        <f>1042/C11</f>
        <v>0.39424895951570188</v>
      </c>
      <c r="D9" s="17">
        <f>1575/D11</f>
        <v>0.5543822597676874</v>
      </c>
      <c r="E9" s="17">
        <f>786/E11</f>
        <v>0.51812788398154253</v>
      </c>
      <c r="F9" s="17">
        <f>294/F11</f>
        <v>0.47649918962722854</v>
      </c>
      <c r="H9" s="21"/>
      <c r="I9" s="24"/>
      <c r="J9" s="24"/>
      <c r="K9" s="24"/>
      <c r="L9" s="24"/>
      <c r="M9" s="24"/>
    </row>
    <row r="10" spans="1:17" ht="15.75" x14ac:dyDescent="0.25">
      <c r="A10" s="16" t="s">
        <v>23</v>
      </c>
      <c r="B10" s="17">
        <f>579/B11</f>
        <v>0.93086816720257237</v>
      </c>
      <c r="C10" s="17">
        <f>2222/C11</f>
        <v>0.84071131290200529</v>
      </c>
      <c r="D10" s="17">
        <f>2130/D11</f>
        <v>0.7497360084477297</v>
      </c>
      <c r="E10" s="17">
        <f>1146/E11</f>
        <v>0.75543836519446272</v>
      </c>
      <c r="F10" s="17">
        <f>515/F11</f>
        <v>0.83468395461912481</v>
      </c>
      <c r="H10" s="23"/>
      <c r="I10" s="24"/>
      <c r="J10" s="24"/>
      <c r="K10" s="24"/>
      <c r="L10" s="24"/>
      <c r="M10" s="24"/>
    </row>
    <row r="11" spans="1:17" ht="15.75" x14ac:dyDescent="0.25">
      <c r="A11" s="21" t="s">
        <v>24</v>
      </c>
      <c r="B11" s="22">
        <v>622</v>
      </c>
      <c r="C11">
        <v>2643</v>
      </c>
      <c r="D11">
        <v>2841</v>
      </c>
      <c r="E11">
        <v>1517</v>
      </c>
      <c r="F11">
        <v>617</v>
      </c>
      <c r="H11" s="21"/>
      <c r="I11" s="22"/>
      <c r="J11" s="25"/>
      <c r="K11" s="25"/>
      <c r="L11" s="25"/>
      <c r="M11" s="25"/>
    </row>
    <row r="12" spans="1:17" x14ac:dyDescent="0.25">
      <c r="A12" s="18"/>
      <c r="G12" s="18"/>
      <c r="I12" s="18"/>
    </row>
    <row r="13" spans="1:17" ht="15.75" x14ac:dyDescent="0.25">
      <c r="A13" s="16">
        <v>2015</v>
      </c>
      <c r="B13" s="16" t="s">
        <v>29</v>
      </c>
      <c r="C13" s="16" t="s">
        <v>30</v>
      </c>
      <c r="D13" s="16" t="s">
        <v>31</v>
      </c>
      <c r="E13" s="16" t="s">
        <v>32</v>
      </c>
      <c r="F13" s="16" t="s">
        <v>33</v>
      </c>
      <c r="G13" s="18"/>
      <c r="I13" s="18"/>
    </row>
    <row r="14" spans="1:17" ht="15.75" x14ac:dyDescent="0.25">
      <c r="A14" s="16" t="s">
        <v>19</v>
      </c>
      <c r="B14" s="17">
        <f>600/B21</f>
        <v>0.97244732576985415</v>
      </c>
      <c r="C14" s="17">
        <f>2417/C21</f>
        <v>0.92428298279158705</v>
      </c>
      <c r="D14" s="17">
        <f>2405/D21</f>
        <v>0.85739750445632801</v>
      </c>
      <c r="E14" s="17">
        <f>1306/E21</f>
        <v>0.8706666666666667</v>
      </c>
      <c r="F14" s="17">
        <f>538/F21</f>
        <v>0.87055016181229772</v>
      </c>
      <c r="G14" s="18"/>
      <c r="I14" s="18"/>
    </row>
    <row r="15" spans="1:17" ht="15.75" x14ac:dyDescent="0.25">
      <c r="A15" s="16" t="s">
        <v>20</v>
      </c>
      <c r="B15" s="17">
        <f>368/B21</f>
        <v>0.59643435980551052</v>
      </c>
      <c r="C15" s="17">
        <f>1503/C21</f>
        <v>0.57476099426386229</v>
      </c>
      <c r="D15" s="17">
        <f>1272/D21</f>
        <v>0.45347593582887702</v>
      </c>
      <c r="E15" s="17">
        <f>628/E21</f>
        <v>0.41866666666666669</v>
      </c>
      <c r="F15" s="17">
        <f>303/F21</f>
        <v>0.49029126213592233</v>
      </c>
      <c r="G15" s="18"/>
      <c r="I15" s="18"/>
    </row>
    <row r="16" spans="1:17" ht="15.75" x14ac:dyDescent="0.25">
      <c r="A16" s="16" t="s">
        <v>21</v>
      </c>
      <c r="B16" s="17">
        <f>574/B21</f>
        <v>0.93030794165316044</v>
      </c>
      <c r="C16" s="17">
        <f>2196/C21</f>
        <v>0.83977055449330784</v>
      </c>
      <c r="D16" s="17">
        <f>2051/D21</f>
        <v>0.73119429590017826</v>
      </c>
      <c r="E16" s="17">
        <f>1130/E21</f>
        <v>0.7533333333333333</v>
      </c>
      <c r="F16" s="17">
        <f>472/F21</f>
        <v>0.7637540453074434</v>
      </c>
      <c r="G16" s="18"/>
      <c r="I16" s="18"/>
    </row>
    <row r="17" spans="1:14" ht="15.75" x14ac:dyDescent="0.25">
      <c r="A17" s="16" t="s">
        <v>22</v>
      </c>
      <c r="B17" s="17">
        <f>546/B21</f>
        <v>0.88492706645056729</v>
      </c>
      <c r="C17" s="17">
        <f>2103/C21</f>
        <v>0.80420650095602297</v>
      </c>
      <c r="D17" s="17">
        <f>2076/D21</f>
        <v>0.74010695187165776</v>
      </c>
      <c r="E17" s="17">
        <f>982/E21</f>
        <v>0.65466666666666662</v>
      </c>
      <c r="F17" s="17">
        <f>448/F21</f>
        <v>0.72491909385113273</v>
      </c>
      <c r="G17" s="18"/>
    </row>
    <row r="18" spans="1:14" ht="15.75" x14ac:dyDescent="0.25">
      <c r="A18" s="20" t="s">
        <v>25</v>
      </c>
      <c r="B18" s="17">
        <f>229/B21</f>
        <v>0.37115072933549431</v>
      </c>
      <c r="C18" s="17">
        <f>888/C21</f>
        <v>0.3395793499043977</v>
      </c>
      <c r="D18" s="17">
        <f>1336/D21</f>
        <v>0.47629233511586455</v>
      </c>
      <c r="E18" s="17">
        <f>573/E21</f>
        <v>0.38200000000000001</v>
      </c>
      <c r="F18" s="17">
        <f>248/F21</f>
        <v>0.40129449838187703</v>
      </c>
    </row>
    <row r="19" spans="1:14" ht="15.75" x14ac:dyDescent="0.25">
      <c r="A19" s="20" t="s">
        <v>26</v>
      </c>
      <c r="B19" s="17">
        <f>302/B21</f>
        <v>0.48946515397082657</v>
      </c>
      <c r="C19" s="17">
        <f>1120/C21</f>
        <v>0.42829827915869984</v>
      </c>
      <c r="D19" s="17">
        <f>1590/D21</f>
        <v>0.5668449197860963</v>
      </c>
      <c r="E19" s="17">
        <f>780/E21</f>
        <v>0.52</v>
      </c>
      <c r="F19" s="17">
        <f>310/F21</f>
        <v>0.50161812297734631</v>
      </c>
    </row>
    <row r="20" spans="1:14" ht="15.75" x14ac:dyDescent="0.25">
      <c r="A20" s="16" t="s">
        <v>23</v>
      </c>
      <c r="B20" s="17">
        <f>586/B21</f>
        <v>0.94975688816855752</v>
      </c>
      <c r="C20" s="17">
        <f>2259/C21</f>
        <v>0.86386233269598467</v>
      </c>
      <c r="D20" s="17">
        <f>2155/D21</f>
        <v>0.76827094474153301</v>
      </c>
      <c r="E20" s="17">
        <f>1148/E21</f>
        <v>0.76533333333333331</v>
      </c>
      <c r="F20" s="17">
        <f>512/F21</f>
        <v>0.82847896440129454</v>
      </c>
    </row>
    <row r="21" spans="1:14" ht="15.75" x14ac:dyDescent="0.25">
      <c r="A21" s="21" t="s">
        <v>24</v>
      </c>
      <c r="B21" s="22">
        <v>617</v>
      </c>
      <c r="C21">
        <v>2615</v>
      </c>
      <c r="D21">
        <v>2805</v>
      </c>
      <c r="E21">
        <v>1500</v>
      </c>
      <c r="F21">
        <v>618</v>
      </c>
    </row>
    <row r="23" spans="1:14" ht="15" customHeight="1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4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4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14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4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4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L28" s="121" t="s">
        <v>164</v>
      </c>
      <c r="M28" s="121"/>
      <c r="N28" s="121"/>
    </row>
    <row r="31" spans="1:14" ht="15" customHeight="1" x14ac:dyDescent="0.25"/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39" spans="2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2:10" x14ac:dyDescent="0.25">
      <c r="B40" s="19"/>
      <c r="C40" s="19"/>
      <c r="D40" s="19"/>
      <c r="E40" s="19"/>
      <c r="F40" s="19"/>
      <c r="G40" s="19"/>
      <c r="H40" s="19"/>
      <c r="I40" s="19"/>
      <c r="J40" s="19"/>
    </row>
    <row r="41" spans="2:10" x14ac:dyDescent="0.25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3">
    <mergeCell ref="A1:Q1"/>
    <mergeCell ref="A23:I28"/>
    <mergeCell ref="L28:N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Q21"/>
  <sheetViews>
    <sheetView workbookViewId="0">
      <selection sqref="A1:Q1"/>
    </sheetView>
  </sheetViews>
  <sheetFormatPr defaultColWidth="8.85546875" defaultRowHeight="15" x14ac:dyDescent="0.25"/>
  <cols>
    <col min="1" max="1" width="11.85546875" customWidth="1"/>
    <col min="2" max="2" width="11.42578125" customWidth="1"/>
    <col min="3" max="3" width="17.85546875" customWidth="1"/>
    <col min="4" max="6" width="13" customWidth="1"/>
    <col min="8" max="8" width="6" bestFit="1" customWidth="1"/>
  </cols>
  <sheetData>
    <row r="1" spans="1:17" ht="17.25" customHeight="1" x14ac:dyDescent="0.25">
      <c r="A1" s="122" t="s">
        <v>167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3" spans="1:17" ht="15.75" x14ac:dyDescent="0.25">
      <c r="A3" s="6" t="s">
        <v>18</v>
      </c>
      <c r="B3" s="86" t="s">
        <v>20</v>
      </c>
      <c r="C3" s="87" t="s">
        <v>21</v>
      </c>
      <c r="D3" s="86" t="s">
        <v>22</v>
      </c>
      <c r="E3" s="86" t="s">
        <v>25</v>
      </c>
      <c r="F3" s="86" t="s">
        <v>26</v>
      </c>
      <c r="G3" s="86" t="s">
        <v>23</v>
      </c>
      <c r="H3" s="13" t="s">
        <v>24</v>
      </c>
    </row>
    <row r="4" spans="1:17" ht="15.75" x14ac:dyDescent="0.25">
      <c r="A4" s="7">
        <v>2014</v>
      </c>
      <c r="B4" s="9">
        <f>2399/$H4</f>
        <v>0.30436437452423243</v>
      </c>
      <c r="C4" s="9">
        <f>5571/$H4</f>
        <v>0.70680030449124587</v>
      </c>
      <c r="D4" s="9">
        <f>3801/$H4</f>
        <v>0.48223801065719363</v>
      </c>
      <c r="E4" s="81">
        <f>1540/$H4</f>
        <v>0.19538188277087035</v>
      </c>
      <c r="F4" s="81">
        <f>1690/$H4</f>
        <v>0.2144125856381629</v>
      </c>
      <c r="G4" s="9">
        <f>2919/$H4</f>
        <v>0.3703374777975133</v>
      </c>
      <c r="H4">
        <v>7882</v>
      </c>
    </row>
    <row r="5" spans="1:17" ht="15.75" x14ac:dyDescent="0.25">
      <c r="A5" s="7">
        <v>2015</v>
      </c>
      <c r="B5" s="9">
        <f>2051/$H5</f>
        <v>0.25364828097947067</v>
      </c>
      <c r="C5" s="9">
        <f>5775/$H5</f>
        <v>0.71419737818451645</v>
      </c>
      <c r="D5" s="9">
        <f>3943/($H5-1)</f>
        <v>0.48769325912183054</v>
      </c>
      <c r="E5" s="9">
        <f>1680/$H5</f>
        <v>0.20776651001731389</v>
      </c>
      <c r="F5" s="9">
        <f>1877/$H5</f>
        <v>0.23212960672767746</v>
      </c>
      <c r="G5" s="9">
        <f>3090/$H5</f>
        <v>0.38214197378184517</v>
      </c>
      <c r="H5">
        <v>8086</v>
      </c>
    </row>
    <row r="6" spans="1:17" ht="15.75" x14ac:dyDescent="0.25">
      <c r="A6" s="7">
        <v>2016</v>
      </c>
      <c r="B6" s="9">
        <f>2375/$H6</f>
        <v>0.28096533774991128</v>
      </c>
      <c r="C6" s="9">
        <f>6087/$H6</f>
        <v>0.72009937300366733</v>
      </c>
      <c r="D6" s="9">
        <f>4107/$H6</f>
        <v>0.48586300721637288</v>
      </c>
      <c r="E6" s="9">
        <f>1932/$H6</f>
        <v>0.2285579084348752</v>
      </c>
      <c r="F6" s="9">
        <f>2016/$H6</f>
        <v>0.2384952088016089</v>
      </c>
      <c r="G6" s="9">
        <f>3231/$H6</f>
        <v>0.38223116053472139</v>
      </c>
      <c r="H6">
        <v>8453</v>
      </c>
    </row>
    <row r="8" spans="1:17" ht="15" customHeight="1" x14ac:dyDescent="0.25">
      <c r="A8" s="120"/>
      <c r="B8" s="120"/>
      <c r="C8" s="120"/>
      <c r="D8" s="120"/>
      <c r="E8" s="120"/>
      <c r="F8" s="120"/>
      <c r="G8" s="120"/>
    </row>
    <row r="9" spans="1:17" x14ac:dyDescent="0.25">
      <c r="A9" s="120"/>
      <c r="B9" s="120"/>
      <c r="C9" s="120"/>
      <c r="D9" s="120"/>
      <c r="E9" s="120"/>
      <c r="F9" s="120"/>
      <c r="G9" s="120"/>
    </row>
    <row r="10" spans="1:17" x14ac:dyDescent="0.25">
      <c r="A10" s="120"/>
      <c r="B10" s="120"/>
      <c r="C10" s="120"/>
      <c r="D10" s="120"/>
      <c r="E10" s="120"/>
      <c r="F10" s="120"/>
      <c r="G10" s="120"/>
    </row>
    <row r="11" spans="1:17" x14ac:dyDescent="0.25">
      <c r="A11" s="120"/>
      <c r="B11" s="120"/>
      <c r="C11" s="120"/>
      <c r="D11" s="120"/>
      <c r="E11" s="120"/>
      <c r="F11" s="120"/>
      <c r="G11" s="120"/>
    </row>
    <row r="12" spans="1:17" x14ac:dyDescent="0.25">
      <c r="A12" s="120"/>
      <c r="B12" s="120"/>
      <c r="C12" s="120"/>
      <c r="D12" s="120"/>
      <c r="E12" s="120"/>
      <c r="F12" s="120"/>
      <c r="G12" s="120"/>
    </row>
    <row r="13" spans="1:17" x14ac:dyDescent="0.25">
      <c r="A13" s="120"/>
      <c r="B13" s="120"/>
      <c r="C13" s="120"/>
      <c r="D13" s="120"/>
      <c r="E13" s="120"/>
      <c r="F13" s="120"/>
      <c r="G13" s="120"/>
    </row>
    <row r="14" spans="1:17" x14ac:dyDescent="0.25">
      <c r="A14" s="120"/>
      <c r="B14" s="120"/>
      <c r="C14" s="120"/>
      <c r="D14" s="120"/>
      <c r="E14" s="120"/>
      <c r="F14" s="120"/>
      <c r="G14" s="120"/>
    </row>
    <row r="15" spans="1:17" ht="15.75" x14ac:dyDescent="0.25">
      <c r="A15" s="120"/>
      <c r="B15" s="120"/>
      <c r="C15" s="120"/>
      <c r="D15" s="120"/>
      <c r="E15" s="120"/>
      <c r="F15" s="120"/>
      <c r="G15" s="120"/>
      <c r="I15" s="14"/>
    </row>
    <row r="16" spans="1:17" x14ac:dyDescent="0.25">
      <c r="A16" s="120"/>
      <c r="B16" s="120"/>
      <c r="C16" s="120"/>
      <c r="D16" s="120"/>
      <c r="E16" s="120"/>
      <c r="F16" s="120"/>
      <c r="G16" s="120"/>
    </row>
    <row r="17" spans="1:12" x14ac:dyDescent="0.25">
      <c r="A17" s="120"/>
      <c r="B17" s="120"/>
      <c r="C17" s="120"/>
      <c r="D17" s="120"/>
      <c r="E17" s="120"/>
      <c r="F17" s="120"/>
      <c r="G17" s="120"/>
    </row>
    <row r="18" spans="1:12" x14ac:dyDescent="0.25">
      <c r="A18" s="120"/>
      <c r="B18" s="120"/>
      <c r="C18" s="120"/>
      <c r="D18" s="120"/>
      <c r="E18" s="120"/>
      <c r="F18" s="120"/>
      <c r="G18" s="120"/>
    </row>
    <row r="19" spans="1:12" x14ac:dyDescent="0.25">
      <c r="A19" s="120"/>
      <c r="B19" s="120"/>
      <c r="C19" s="120"/>
      <c r="D19" s="120"/>
      <c r="E19" s="120"/>
      <c r="F19" s="120"/>
      <c r="G19" s="120"/>
    </row>
    <row r="20" spans="1:12" x14ac:dyDescent="0.25">
      <c r="A20" s="120"/>
      <c r="B20" s="120"/>
      <c r="C20" s="120"/>
      <c r="D20" s="120"/>
      <c r="E20" s="120"/>
      <c r="F20" s="120"/>
      <c r="G20" s="120"/>
      <c r="J20" s="121" t="s">
        <v>164</v>
      </c>
      <c r="K20" s="121"/>
      <c r="L20" s="121"/>
    </row>
    <row r="21" spans="1:12" x14ac:dyDescent="0.25">
      <c r="A21" s="120"/>
      <c r="B21" s="120"/>
      <c r="C21" s="120"/>
      <c r="D21" s="120"/>
      <c r="E21" s="120"/>
      <c r="F21" s="120"/>
      <c r="G21" s="120"/>
    </row>
  </sheetData>
  <mergeCells count="3">
    <mergeCell ref="A8:G21"/>
    <mergeCell ref="A1:Q1"/>
    <mergeCell ref="J20:L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54"/>
  <sheetViews>
    <sheetView workbookViewId="0">
      <selection sqref="A1:Q1"/>
    </sheetView>
  </sheetViews>
  <sheetFormatPr defaultColWidth="8.85546875" defaultRowHeight="15" x14ac:dyDescent="0.25"/>
  <cols>
    <col min="1" max="1" width="13.140625" customWidth="1"/>
    <col min="6" max="6" width="13.140625" customWidth="1"/>
    <col min="9" max="9" width="9.140625" bestFit="1" customWidth="1"/>
  </cols>
  <sheetData>
    <row r="1" spans="1:17" ht="15.75" x14ac:dyDescent="0.25">
      <c r="A1" s="123" t="s">
        <v>168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ht="15.75" x14ac:dyDescent="0.25">
      <c r="A3" s="103">
        <v>2016</v>
      </c>
      <c r="B3" s="103" t="s">
        <v>29</v>
      </c>
      <c r="C3" s="103" t="s">
        <v>30</v>
      </c>
      <c r="D3" s="103" t="s">
        <v>31</v>
      </c>
      <c r="E3" s="103" t="s">
        <v>32</v>
      </c>
      <c r="F3" s="103" t="s">
        <v>33</v>
      </c>
      <c r="H3" s="23"/>
      <c r="I3" s="23"/>
      <c r="J3" s="23"/>
      <c r="K3" s="23"/>
      <c r="L3" s="23"/>
      <c r="M3" s="23"/>
    </row>
    <row r="4" spans="1:17" ht="15.75" x14ac:dyDescent="0.25">
      <c r="A4" s="103" t="s">
        <v>19</v>
      </c>
      <c r="B4" s="104">
        <f>602/B11</f>
        <v>0.96784565916398713</v>
      </c>
      <c r="C4" s="104">
        <f>2345/C11</f>
        <v>0.88724933787362847</v>
      </c>
      <c r="D4" s="104">
        <f>2411/D11</f>
        <v>0.84864484336501234</v>
      </c>
      <c r="E4" s="104">
        <f>1288/E11</f>
        <v>0.8490441661173368</v>
      </c>
      <c r="F4" s="104">
        <f>541/F11</f>
        <v>0.87682333873581852</v>
      </c>
      <c r="H4" s="23"/>
      <c r="I4" s="24"/>
      <c r="J4" s="24"/>
      <c r="K4" s="24"/>
      <c r="L4" s="24"/>
      <c r="M4" s="24"/>
    </row>
    <row r="5" spans="1:17" ht="15.75" x14ac:dyDescent="0.25">
      <c r="A5" s="103" t="s">
        <v>20</v>
      </c>
      <c r="B5" s="104">
        <f>355/B11</f>
        <v>0.57073954983922826</v>
      </c>
      <c r="C5" s="104">
        <f>1438/C11</f>
        <v>0.54407869844873247</v>
      </c>
      <c r="D5" s="104">
        <f>1250/D11</f>
        <v>0.43998592045054558</v>
      </c>
      <c r="E5" s="104">
        <f>629/E11</f>
        <v>0.41463414634146339</v>
      </c>
      <c r="F5" s="104">
        <f>316/F11</f>
        <v>0.5121555915721232</v>
      </c>
      <c r="H5" s="23"/>
      <c r="I5" s="24"/>
      <c r="J5" s="24"/>
      <c r="K5" s="24"/>
      <c r="L5" s="24"/>
      <c r="M5" s="24"/>
    </row>
    <row r="6" spans="1:17" ht="15.75" x14ac:dyDescent="0.25">
      <c r="A6" s="103" t="s">
        <v>21</v>
      </c>
      <c r="B6" s="104">
        <f>579/B11</f>
        <v>0.93086816720257237</v>
      </c>
      <c r="C6" s="104">
        <f>2140/C11</f>
        <v>0.80968596292092321</v>
      </c>
      <c r="D6" s="104">
        <f>2071/D11</f>
        <v>0.72896867300246393</v>
      </c>
      <c r="E6" s="104">
        <f>1132/E11</f>
        <v>0.74620962425840476</v>
      </c>
      <c r="F6" s="104">
        <f>483/F11</f>
        <v>0.78282009724473256</v>
      </c>
      <c r="H6" s="23"/>
      <c r="I6" s="24"/>
      <c r="J6" s="24"/>
      <c r="K6" s="24"/>
      <c r="L6" s="24"/>
      <c r="M6" s="24"/>
    </row>
    <row r="7" spans="1:17" ht="15.75" x14ac:dyDescent="0.25">
      <c r="A7" s="103" t="s">
        <v>22</v>
      </c>
      <c r="B7" s="104">
        <f>558/B11</f>
        <v>0.89710610932475887</v>
      </c>
      <c r="C7" s="104">
        <f>2018/C11</f>
        <v>0.7635262958758986</v>
      </c>
      <c r="D7" s="104">
        <f>2059/D11</f>
        <v>0.72474480816613873</v>
      </c>
      <c r="E7" s="104">
        <f>995/E11</f>
        <v>0.65589980224126565</v>
      </c>
      <c r="F7" s="104">
        <f>453/F11</f>
        <v>0.73419773095623986</v>
      </c>
      <c r="H7" s="23"/>
      <c r="I7" s="24"/>
      <c r="J7" s="24"/>
      <c r="K7" s="24"/>
      <c r="L7" s="24"/>
      <c r="M7" s="24"/>
    </row>
    <row r="8" spans="1:17" ht="15.75" x14ac:dyDescent="0.25">
      <c r="A8" s="105" t="s">
        <v>25</v>
      </c>
      <c r="B8" s="104">
        <f>217/B11</f>
        <v>0.34887459807073956</v>
      </c>
      <c r="C8" s="104">
        <f>760/C11</f>
        <v>0.28755202421490728</v>
      </c>
      <c r="D8" s="104">
        <f>1299/D11</f>
        <v>0.45723336853220697</v>
      </c>
      <c r="E8" s="104">
        <f>587/E11</f>
        <v>0.38694792353328938</v>
      </c>
      <c r="F8" s="104">
        <f>237/F11</f>
        <v>0.3841166936790924</v>
      </c>
      <c r="H8" s="21"/>
      <c r="I8" s="24"/>
      <c r="J8" s="24"/>
      <c r="K8" s="24"/>
      <c r="L8" s="24"/>
      <c r="M8" s="24"/>
    </row>
    <row r="9" spans="1:17" ht="15.75" x14ac:dyDescent="0.25">
      <c r="A9" s="105" t="s">
        <v>26</v>
      </c>
      <c r="B9" s="104">
        <f>295/B11</f>
        <v>0.47427652733118969</v>
      </c>
      <c r="C9" s="104">
        <f>1042/C11</f>
        <v>0.39424895951570188</v>
      </c>
      <c r="D9" s="104">
        <f>1575/D11</f>
        <v>0.5543822597676874</v>
      </c>
      <c r="E9" s="104">
        <f>786/E11</f>
        <v>0.51812788398154253</v>
      </c>
      <c r="F9" s="104">
        <f>294/F11</f>
        <v>0.47649918962722854</v>
      </c>
      <c r="H9" s="21"/>
      <c r="I9" s="24"/>
      <c r="J9" s="24"/>
      <c r="K9" s="24"/>
      <c r="L9" s="24"/>
      <c r="M9" s="24"/>
    </row>
    <row r="10" spans="1:17" ht="15.75" x14ac:dyDescent="0.25">
      <c r="A10" s="103" t="s">
        <v>23</v>
      </c>
      <c r="B10" s="104">
        <f>579/B11</f>
        <v>0.93086816720257237</v>
      </c>
      <c r="C10" s="104">
        <f>2222/C11</f>
        <v>0.84071131290200529</v>
      </c>
      <c r="D10" s="104">
        <f>2130/D11</f>
        <v>0.7497360084477297</v>
      </c>
      <c r="E10" s="104">
        <f>1146/E11</f>
        <v>0.75543836519446272</v>
      </c>
      <c r="F10" s="104">
        <f>515/F11</f>
        <v>0.83468395461912481</v>
      </c>
      <c r="H10" s="23"/>
      <c r="I10" s="24"/>
      <c r="J10" s="24"/>
      <c r="K10" s="24"/>
      <c r="L10" s="24"/>
      <c r="M10" s="24"/>
    </row>
    <row r="11" spans="1:17" ht="15.75" x14ac:dyDescent="0.25">
      <c r="A11" s="106" t="s">
        <v>24</v>
      </c>
      <c r="B11" s="107">
        <v>622</v>
      </c>
      <c r="C11" s="108">
        <v>2643</v>
      </c>
      <c r="D11" s="108">
        <v>2841</v>
      </c>
      <c r="E11" s="108">
        <v>1517</v>
      </c>
      <c r="F11" s="108">
        <v>617</v>
      </c>
      <c r="H11" s="21"/>
      <c r="I11" s="22"/>
      <c r="J11" s="25"/>
      <c r="K11" s="25"/>
      <c r="L11" s="25"/>
      <c r="M11" s="25"/>
    </row>
    <row r="12" spans="1:17" x14ac:dyDescent="0.25">
      <c r="A12" s="109"/>
      <c r="B12" s="108"/>
      <c r="C12" s="108"/>
      <c r="D12" s="108"/>
      <c r="E12" s="108"/>
      <c r="F12" s="108"/>
      <c r="G12" s="18"/>
      <c r="I12" s="18"/>
    </row>
    <row r="13" spans="1:17" ht="15.75" x14ac:dyDescent="0.25">
      <c r="A13" s="103">
        <v>2015</v>
      </c>
      <c r="B13" s="103" t="s">
        <v>29</v>
      </c>
      <c r="C13" s="103" t="s">
        <v>30</v>
      </c>
      <c r="D13" s="103" t="s">
        <v>31</v>
      </c>
      <c r="E13" s="103" t="s">
        <v>32</v>
      </c>
      <c r="F13" s="103" t="s">
        <v>33</v>
      </c>
      <c r="G13" s="18"/>
      <c r="I13" s="18"/>
    </row>
    <row r="14" spans="1:17" ht="15.75" x14ac:dyDescent="0.25">
      <c r="A14" s="103" t="s">
        <v>19</v>
      </c>
      <c r="B14" s="104">
        <f>600/B21</f>
        <v>0.97244732576985415</v>
      </c>
      <c r="C14" s="104">
        <f>2417/C21</f>
        <v>0.92428298279158705</v>
      </c>
      <c r="D14" s="104">
        <f>2405/D21</f>
        <v>0.85739750445632801</v>
      </c>
      <c r="E14" s="104">
        <f>1306/E21</f>
        <v>0.8706666666666667</v>
      </c>
      <c r="F14" s="104">
        <f>538/F21</f>
        <v>0.87055016181229772</v>
      </c>
      <c r="G14" s="18"/>
      <c r="I14" s="18"/>
    </row>
    <row r="15" spans="1:17" ht="15.75" x14ac:dyDescent="0.25">
      <c r="A15" s="103" t="s">
        <v>20</v>
      </c>
      <c r="B15" s="104">
        <f>368/B21</f>
        <v>0.59643435980551052</v>
      </c>
      <c r="C15" s="104">
        <f>1503/C21</f>
        <v>0.57476099426386229</v>
      </c>
      <c r="D15" s="104">
        <f>1272/D21</f>
        <v>0.45347593582887702</v>
      </c>
      <c r="E15" s="104">
        <f>628/E21</f>
        <v>0.41866666666666669</v>
      </c>
      <c r="F15" s="104">
        <f>303/F21</f>
        <v>0.49029126213592233</v>
      </c>
      <c r="G15" s="18"/>
      <c r="I15" s="18"/>
    </row>
    <row r="16" spans="1:17" ht="15.75" x14ac:dyDescent="0.25">
      <c r="A16" s="103" t="s">
        <v>21</v>
      </c>
      <c r="B16" s="104">
        <f>574/B21</f>
        <v>0.93030794165316044</v>
      </c>
      <c r="C16" s="104">
        <f>2196/C21</f>
        <v>0.83977055449330784</v>
      </c>
      <c r="D16" s="104">
        <f>2051/D21</f>
        <v>0.73119429590017826</v>
      </c>
      <c r="E16" s="104">
        <f>1130/E21</f>
        <v>0.7533333333333333</v>
      </c>
      <c r="F16" s="104">
        <f>472/F21</f>
        <v>0.7637540453074434</v>
      </c>
      <c r="G16" s="18"/>
      <c r="I16" s="18"/>
    </row>
    <row r="17" spans="1:16" ht="15.75" x14ac:dyDescent="0.25">
      <c r="A17" s="103" t="s">
        <v>22</v>
      </c>
      <c r="B17" s="104">
        <f>546/B21</f>
        <v>0.88492706645056729</v>
      </c>
      <c r="C17" s="104">
        <f>2103/C21</f>
        <v>0.80420650095602297</v>
      </c>
      <c r="D17" s="104">
        <f>2076/D21</f>
        <v>0.74010695187165776</v>
      </c>
      <c r="E17" s="104">
        <f>982/E21</f>
        <v>0.65466666666666662</v>
      </c>
      <c r="F17" s="104">
        <f>448/F21</f>
        <v>0.72491909385113273</v>
      </c>
      <c r="G17" s="18"/>
    </row>
    <row r="18" spans="1:16" ht="15.75" x14ac:dyDescent="0.25">
      <c r="A18" s="105" t="s">
        <v>25</v>
      </c>
      <c r="B18" s="104">
        <f>229/B21</f>
        <v>0.37115072933549431</v>
      </c>
      <c r="C18" s="104">
        <f>888/C21</f>
        <v>0.3395793499043977</v>
      </c>
      <c r="D18" s="104">
        <f>1336/D21</f>
        <v>0.47629233511586455</v>
      </c>
      <c r="E18" s="104">
        <f>573/E21</f>
        <v>0.38200000000000001</v>
      </c>
      <c r="F18" s="104">
        <f>248/F21</f>
        <v>0.40129449838187703</v>
      </c>
    </row>
    <row r="19" spans="1:16" ht="15.75" x14ac:dyDescent="0.25">
      <c r="A19" s="105" t="s">
        <v>26</v>
      </c>
      <c r="B19" s="104">
        <f>302/B21</f>
        <v>0.48946515397082657</v>
      </c>
      <c r="C19" s="104">
        <f>1120/C21</f>
        <v>0.42829827915869984</v>
      </c>
      <c r="D19" s="104">
        <f>1590/D21</f>
        <v>0.5668449197860963</v>
      </c>
      <c r="E19" s="104">
        <f>780/E21</f>
        <v>0.52</v>
      </c>
      <c r="F19" s="104">
        <f>310/F21</f>
        <v>0.50161812297734631</v>
      </c>
    </row>
    <row r="20" spans="1:16" ht="15.75" x14ac:dyDescent="0.25">
      <c r="A20" s="103" t="s">
        <v>23</v>
      </c>
      <c r="B20" s="104">
        <f>586/B21</f>
        <v>0.94975688816855752</v>
      </c>
      <c r="C20" s="104">
        <f>2259/C21</f>
        <v>0.86386233269598467</v>
      </c>
      <c r="D20" s="104">
        <f>2155/D21</f>
        <v>0.76827094474153301</v>
      </c>
      <c r="E20" s="104">
        <f>1148/E21</f>
        <v>0.76533333333333331</v>
      </c>
      <c r="F20" s="104">
        <f>512/F21</f>
        <v>0.82847896440129454</v>
      </c>
    </row>
    <row r="21" spans="1:16" ht="15.75" x14ac:dyDescent="0.25">
      <c r="A21" s="21" t="s">
        <v>24</v>
      </c>
      <c r="B21" s="22">
        <v>617</v>
      </c>
      <c r="C21">
        <v>2615</v>
      </c>
      <c r="D21">
        <v>2805</v>
      </c>
      <c r="E21">
        <v>1500</v>
      </c>
      <c r="F21">
        <v>618</v>
      </c>
    </row>
    <row r="23" spans="1:16" ht="15" customHeight="1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6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6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N25" s="121" t="s">
        <v>164</v>
      </c>
      <c r="O25" s="121"/>
      <c r="P25" s="121"/>
    </row>
    <row r="26" spans="1:16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6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6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31" spans="1:16" ht="15" customHeight="1" x14ac:dyDescent="0.25"/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39" spans="2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2:10" x14ac:dyDescent="0.25">
      <c r="B40" s="19"/>
      <c r="C40" s="19"/>
      <c r="D40" s="19"/>
      <c r="E40" s="19"/>
      <c r="F40" s="19"/>
      <c r="G40" s="19"/>
      <c r="H40" s="19"/>
      <c r="I40" s="19"/>
      <c r="J40" s="19"/>
    </row>
    <row r="41" spans="2:10" x14ac:dyDescent="0.25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3">
    <mergeCell ref="A1:Q1"/>
    <mergeCell ref="A23:I28"/>
    <mergeCell ref="N25:P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27"/>
  <sheetViews>
    <sheetView workbookViewId="0">
      <selection activeCell="I14" sqref="I14:K14"/>
    </sheetView>
  </sheetViews>
  <sheetFormatPr defaultRowHeight="15" x14ac:dyDescent="0.25"/>
  <cols>
    <col min="1" max="1" width="27.28515625" style="3" customWidth="1"/>
    <col min="2" max="2" width="9.140625" style="4" customWidth="1"/>
    <col min="3" max="3" width="9.140625" style="5" customWidth="1"/>
    <col min="4" max="18" width="9.140625" style="3" customWidth="1"/>
    <col min="19" max="16384" width="9.140625" style="3"/>
  </cols>
  <sheetData>
    <row r="1" spans="1:22" x14ac:dyDescent="0.25">
      <c r="A1" s="119" t="s">
        <v>169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30" x14ac:dyDescent="0.25">
      <c r="A3" s="2" t="s">
        <v>41</v>
      </c>
      <c r="B3" s="4">
        <v>61</v>
      </c>
      <c r="C3" s="5">
        <f t="shared" ref="C3:C11" si="0">B3/B$12</f>
        <v>7.2240644244433916E-3</v>
      </c>
    </row>
    <row r="4" spans="1:22" x14ac:dyDescent="0.25">
      <c r="A4" s="2" t="s">
        <v>37</v>
      </c>
      <c r="B4" s="4">
        <v>1671</v>
      </c>
      <c r="C4" s="5">
        <f t="shared" si="0"/>
        <v>0.19789199431549029</v>
      </c>
    </row>
    <row r="5" spans="1:22" ht="30" x14ac:dyDescent="0.25">
      <c r="A5" s="2" t="s">
        <v>39</v>
      </c>
      <c r="B5" s="4">
        <v>5856</v>
      </c>
      <c r="C5" s="5">
        <f t="shared" si="0"/>
        <v>0.69351018474656556</v>
      </c>
    </row>
    <row r="6" spans="1:22" ht="30" x14ac:dyDescent="0.25">
      <c r="A6" s="2" t="s">
        <v>40</v>
      </c>
      <c r="B6" s="4">
        <v>6132</v>
      </c>
      <c r="C6" s="5">
        <f t="shared" si="0"/>
        <v>0.72619611558503083</v>
      </c>
    </row>
    <row r="7" spans="1:22" ht="45" x14ac:dyDescent="0.25">
      <c r="A7" s="2" t="s">
        <v>34</v>
      </c>
      <c r="B7" s="4">
        <v>6382</v>
      </c>
      <c r="C7" s="5">
        <f t="shared" si="0"/>
        <v>0.75580293699668399</v>
      </c>
    </row>
    <row r="8" spans="1:22" ht="30" x14ac:dyDescent="0.25">
      <c r="A8" s="2" t="s">
        <v>35</v>
      </c>
      <c r="B8" s="4">
        <v>7006</v>
      </c>
      <c r="C8" s="5">
        <f t="shared" si="0"/>
        <v>0.82970156324017053</v>
      </c>
    </row>
    <row r="9" spans="1:22" x14ac:dyDescent="0.25">
      <c r="A9" s="2" t="s">
        <v>9</v>
      </c>
      <c r="B9" s="4">
        <v>7378</v>
      </c>
      <c r="C9" s="5">
        <f t="shared" si="0"/>
        <v>0.8737565135007106</v>
      </c>
    </row>
    <row r="10" spans="1:22" x14ac:dyDescent="0.25">
      <c r="A10" s="2" t="s">
        <v>38</v>
      </c>
      <c r="B10" s="4">
        <v>7577</v>
      </c>
      <c r="C10" s="5">
        <f t="shared" si="0"/>
        <v>0.89732354334438658</v>
      </c>
    </row>
    <row r="11" spans="1:22" x14ac:dyDescent="0.25">
      <c r="A11" s="2" t="s">
        <v>36</v>
      </c>
      <c r="B11" s="4">
        <v>7707</v>
      </c>
      <c r="C11" s="5">
        <f t="shared" si="0"/>
        <v>0.91271909047844624</v>
      </c>
    </row>
    <row r="12" spans="1:22" ht="30" x14ac:dyDescent="0.25">
      <c r="A12" s="26" t="s">
        <v>42</v>
      </c>
      <c r="B12" s="4">
        <v>8444</v>
      </c>
    </row>
    <row r="13" spans="1:22" x14ac:dyDescent="0.25">
      <c r="A13" s="2"/>
    </row>
    <row r="14" spans="1:22" x14ac:dyDescent="0.25">
      <c r="A14" s="120"/>
      <c r="B14" s="120"/>
      <c r="C14" s="120"/>
      <c r="D14" s="120"/>
      <c r="E14" s="120"/>
      <c r="F14" s="120"/>
      <c r="G14" s="120"/>
      <c r="I14" s="121" t="s">
        <v>164</v>
      </c>
      <c r="J14" s="121"/>
      <c r="K14" s="121"/>
    </row>
    <row r="15" spans="1:22" x14ac:dyDescent="0.25">
      <c r="A15" s="120"/>
      <c r="B15" s="120"/>
      <c r="C15" s="120"/>
      <c r="D15" s="120"/>
      <c r="E15" s="120"/>
      <c r="F15" s="120"/>
      <c r="G15" s="120"/>
    </row>
    <row r="16" spans="1:22" x14ac:dyDescent="0.25">
      <c r="A16" s="120"/>
      <c r="B16" s="120"/>
      <c r="C16" s="120"/>
      <c r="D16" s="120"/>
      <c r="E16" s="120"/>
      <c r="F16" s="120"/>
      <c r="G16" s="120"/>
    </row>
    <row r="17" spans="1:7" x14ac:dyDescent="0.25">
      <c r="A17" s="120"/>
      <c r="B17" s="120"/>
      <c r="C17" s="120"/>
      <c r="D17" s="120"/>
      <c r="E17" s="120"/>
      <c r="F17" s="120"/>
      <c r="G17" s="120"/>
    </row>
    <row r="18" spans="1:7" x14ac:dyDescent="0.25">
      <c r="A18" s="120"/>
      <c r="B18" s="120"/>
      <c r="C18" s="120"/>
      <c r="D18" s="120"/>
      <c r="E18" s="120"/>
      <c r="F18" s="120"/>
      <c r="G18" s="120"/>
    </row>
    <row r="19" spans="1:7" x14ac:dyDescent="0.25">
      <c r="A19" s="120"/>
      <c r="B19" s="120"/>
      <c r="C19" s="120"/>
      <c r="D19" s="120"/>
      <c r="E19" s="120"/>
      <c r="F19" s="120"/>
      <c r="G19" s="120"/>
    </row>
    <row r="20" spans="1:7" x14ac:dyDescent="0.25">
      <c r="A20" s="120"/>
      <c r="B20" s="120"/>
      <c r="C20" s="120"/>
      <c r="D20" s="120"/>
      <c r="E20" s="120"/>
      <c r="F20" s="120"/>
      <c r="G20" s="120"/>
    </row>
    <row r="21" spans="1:7" x14ac:dyDescent="0.25">
      <c r="A21" s="120"/>
      <c r="B21" s="120"/>
      <c r="C21" s="120"/>
      <c r="D21" s="120"/>
      <c r="E21" s="120"/>
      <c r="F21" s="120"/>
      <c r="G21" s="120"/>
    </row>
    <row r="22" spans="1:7" x14ac:dyDescent="0.25">
      <c r="A22" s="120"/>
      <c r="B22" s="120"/>
      <c r="C22" s="120"/>
      <c r="D22" s="120"/>
      <c r="E22" s="120"/>
      <c r="F22" s="120"/>
      <c r="G22" s="120"/>
    </row>
    <row r="23" spans="1:7" x14ac:dyDescent="0.25">
      <c r="A23" s="120"/>
      <c r="B23" s="120"/>
      <c r="C23" s="120"/>
      <c r="D23" s="120"/>
      <c r="E23" s="120"/>
      <c r="F23" s="120"/>
      <c r="G23" s="120"/>
    </row>
    <row r="24" spans="1:7" x14ac:dyDescent="0.25">
      <c r="A24" s="120"/>
      <c r="B24" s="120"/>
      <c r="C24" s="120"/>
      <c r="D24" s="120"/>
      <c r="E24" s="120"/>
      <c r="F24" s="120"/>
      <c r="G24" s="120"/>
    </row>
    <row r="25" spans="1:7" x14ac:dyDescent="0.25">
      <c r="A25" s="120"/>
      <c r="B25" s="120"/>
      <c r="C25" s="120"/>
      <c r="D25" s="120"/>
      <c r="E25" s="120"/>
      <c r="F25" s="120"/>
      <c r="G25" s="120"/>
    </row>
    <row r="26" spans="1:7" x14ac:dyDescent="0.25">
      <c r="A26" s="120"/>
      <c r="B26" s="120"/>
      <c r="C26" s="120"/>
      <c r="D26" s="120"/>
      <c r="E26" s="120"/>
      <c r="F26" s="120"/>
      <c r="G26" s="120"/>
    </row>
    <row r="27" spans="1:7" x14ac:dyDescent="0.25">
      <c r="A27" s="120"/>
      <c r="B27" s="120"/>
      <c r="C27" s="120"/>
      <c r="D27" s="120"/>
      <c r="E27" s="120"/>
      <c r="F27" s="120"/>
      <c r="G27" s="120"/>
    </row>
  </sheetData>
  <autoFilter ref="A2:C2">
    <sortState ref="A3:C12">
      <sortCondition ref="C2"/>
    </sortState>
  </autoFilter>
  <mergeCells count="3">
    <mergeCell ref="A1:V1"/>
    <mergeCell ref="A14:G27"/>
    <mergeCell ref="I14:K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1"/>
  <sheetViews>
    <sheetView workbookViewId="0">
      <selection activeCell="A8" sqref="A8"/>
    </sheetView>
  </sheetViews>
  <sheetFormatPr defaultColWidth="8.85546875" defaultRowHeight="15" x14ac:dyDescent="0.25"/>
  <cols>
    <col min="1" max="1" width="41" style="27" customWidth="1"/>
    <col min="2" max="16384" width="8.85546875" style="27"/>
  </cols>
  <sheetData>
    <row r="1" spans="1:19" ht="17.25" x14ac:dyDescent="0.25">
      <c r="A1" s="124" t="s">
        <v>170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3" spans="1:19" x14ac:dyDescent="0.25">
      <c r="A3" s="28" t="s">
        <v>45</v>
      </c>
      <c r="B3" s="28">
        <v>2010</v>
      </c>
      <c r="C3" s="28">
        <v>2011</v>
      </c>
      <c r="D3" s="28">
        <v>2012</v>
      </c>
      <c r="E3" s="28">
        <v>2013</v>
      </c>
      <c r="F3" s="28">
        <v>2014</v>
      </c>
      <c r="G3" s="28">
        <v>2015</v>
      </c>
      <c r="H3" s="28">
        <v>2016</v>
      </c>
    </row>
    <row r="4" spans="1:19" x14ac:dyDescent="0.25">
      <c r="A4" s="28" t="s">
        <v>43</v>
      </c>
      <c r="B4" s="29">
        <v>0.31</v>
      </c>
      <c r="C4" s="29">
        <v>0.34200000000000003</v>
      </c>
      <c r="D4" s="29">
        <v>0.36299999999999999</v>
      </c>
      <c r="E4" s="29">
        <v>0.40400000000000003</v>
      </c>
      <c r="F4" s="29">
        <v>0.44400000000000001</v>
      </c>
      <c r="G4" s="17">
        <f>3733/G$9</f>
        <v>0.45775597792765177</v>
      </c>
      <c r="H4" s="17">
        <f>4669/H$9</f>
        <v>0.56662621359223297</v>
      </c>
    </row>
    <row r="5" spans="1:19" x14ac:dyDescent="0.25">
      <c r="A5" s="28" t="s">
        <v>44</v>
      </c>
      <c r="B5" s="29">
        <v>0.22500000000000001</v>
      </c>
      <c r="C5" s="29">
        <v>0.25900000000000001</v>
      </c>
      <c r="D5" s="29">
        <v>0.28299999999999997</v>
      </c>
      <c r="E5" s="29">
        <v>0.32800000000000001</v>
      </c>
      <c r="F5" s="29">
        <v>0.36799999999999999</v>
      </c>
      <c r="G5" s="17">
        <f>3134/G$9</f>
        <v>0.38430410790925812</v>
      </c>
      <c r="H5" s="17">
        <f>3685/H$9</f>
        <v>0.44720873786407767</v>
      </c>
    </row>
    <row r="6" spans="1:19" x14ac:dyDescent="0.25">
      <c r="A6" s="28" t="s">
        <v>46</v>
      </c>
      <c r="B6" s="29">
        <v>0.45100000000000001</v>
      </c>
      <c r="C6" s="29">
        <v>0.51300000000000001</v>
      </c>
      <c r="D6" s="29">
        <v>0.53700000000000003</v>
      </c>
      <c r="E6" s="29">
        <v>0.55200000000000005</v>
      </c>
      <c r="F6" s="29">
        <v>0.62</v>
      </c>
      <c r="G6" s="17">
        <f>5121/G$9</f>
        <v>0.62795830778663397</v>
      </c>
      <c r="H6" s="17">
        <f>6067/H$9</f>
        <v>0.73628640776699028</v>
      </c>
    </row>
    <row r="7" spans="1:19" x14ac:dyDescent="0.25">
      <c r="A7" s="28" t="s">
        <v>47</v>
      </c>
      <c r="B7" s="29">
        <v>0.27900000000000003</v>
      </c>
      <c r="C7" s="29">
        <v>0.29199999999999998</v>
      </c>
      <c r="D7" s="29">
        <v>0.28499999999999998</v>
      </c>
      <c r="E7" s="29">
        <v>0.28899999999999998</v>
      </c>
      <c r="F7" s="29">
        <v>0.318</v>
      </c>
      <c r="G7" s="17">
        <f>2606/G$9</f>
        <v>0.3195585530349479</v>
      </c>
      <c r="H7" s="17">
        <f>3278/H$9</f>
        <v>0.3978155339805825</v>
      </c>
    </row>
    <row r="8" spans="1:19" ht="15" customHeight="1" x14ac:dyDescent="0.25">
      <c r="A8" s="28" t="s">
        <v>48</v>
      </c>
      <c r="B8" s="29">
        <v>0.191</v>
      </c>
      <c r="C8" s="29">
        <v>0.20599999999999999</v>
      </c>
      <c r="D8" s="29">
        <v>0.22</v>
      </c>
      <c r="E8" s="29">
        <v>0.20799999999999999</v>
      </c>
      <c r="F8" s="29">
        <v>0.23799999999999999</v>
      </c>
      <c r="G8" s="17">
        <f>2095/G$9</f>
        <v>0.25689760882893931</v>
      </c>
      <c r="H8" s="17">
        <f>2509/H$9</f>
        <v>0.30449029126213595</v>
      </c>
      <c r="N8" s="30"/>
      <c r="O8" s="30"/>
      <c r="P8" s="30"/>
      <c r="Q8" s="30"/>
      <c r="R8" s="30"/>
      <c r="S8" s="30"/>
    </row>
    <row r="9" spans="1:19" x14ac:dyDescent="0.25">
      <c r="A9" s="27" t="s">
        <v>24</v>
      </c>
      <c r="G9" s="27">
        <v>8155</v>
      </c>
      <c r="H9" s="27">
        <v>8240</v>
      </c>
      <c r="M9" s="31"/>
      <c r="N9" s="31"/>
      <c r="O9" s="31"/>
      <c r="P9" s="31"/>
      <c r="Q9" s="31"/>
      <c r="R9" s="31"/>
      <c r="S9" s="31"/>
    </row>
    <row r="10" spans="1:19" x14ac:dyDescent="0.25">
      <c r="M10" s="31"/>
      <c r="N10" s="31"/>
      <c r="O10" s="31"/>
      <c r="P10" s="31"/>
      <c r="Q10" s="31"/>
      <c r="R10" s="31"/>
      <c r="S10" s="31"/>
    </row>
    <row r="11" spans="1:19" ht="75" customHeight="1" x14ac:dyDescent="0.25">
      <c r="A11" s="125"/>
      <c r="B11" s="125"/>
      <c r="C11" s="125"/>
      <c r="D11" s="125"/>
      <c r="E11" s="125"/>
      <c r="F11" s="125"/>
      <c r="G11" s="125"/>
      <c r="H11" s="125"/>
      <c r="I11" s="125"/>
    </row>
    <row r="12" spans="1:19" x14ac:dyDescent="0.25">
      <c r="A12" s="125"/>
      <c r="B12" s="125"/>
      <c r="C12" s="125"/>
      <c r="D12" s="125"/>
      <c r="E12" s="125"/>
      <c r="F12" s="125"/>
      <c r="G12" s="125"/>
      <c r="H12" s="125"/>
      <c r="I12" s="125"/>
    </row>
    <row r="13" spans="1:19" x14ac:dyDescent="0.25">
      <c r="A13" s="125"/>
      <c r="B13" s="125"/>
      <c r="C13" s="125"/>
      <c r="D13" s="125"/>
      <c r="E13" s="125"/>
      <c r="F13" s="125"/>
      <c r="G13" s="125"/>
      <c r="H13" s="125"/>
      <c r="I13" s="125"/>
    </row>
    <row r="21" spans="10:12" x14ac:dyDescent="0.25">
      <c r="J21" s="121" t="s">
        <v>164</v>
      </c>
      <c r="K21" s="121"/>
      <c r="L21" s="121"/>
    </row>
  </sheetData>
  <mergeCells count="3">
    <mergeCell ref="A1:K1"/>
    <mergeCell ref="A11:I13"/>
    <mergeCell ref="J21:L2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AMK51"/>
  <sheetViews>
    <sheetView workbookViewId="0">
      <selection activeCell="C51" sqref="C51:E51"/>
    </sheetView>
  </sheetViews>
  <sheetFormatPr defaultColWidth="8.85546875" defaultRowHeight="15.75" x14ac:dyDescent="0.25"/>
  <cols>
    <col min="1" max="1" width="45" style="32" customWidth="1"/>
    <col min="2" max="2" width="10" style="32" bestFit="1" customWidth="1"/>
    <col min="3" max="5" width="8.85546875" style="32"/>
    <col min="6" max="6" width="14" style="32" customWidth="1"/>
    <col min="7" max="1025" width="8.85546875" style="32"/>
    <col min="1026" max="16384" width="8.85546875" style="27"/>
  </cols>
  <sheetData>
    <row r="1" spans="1:17" x14ac:dyDescent="0.25">
      <c r="A1" s="126" t="s">
        <v>171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27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27"/>
    </row>
    <row r="3" spans="1:17" x14ac:dyDescent="0.25">
      <c r="A3" s="34">
        <v>2016</v>
      </c>
      <c r="B3" s="35" t="s">
        <v>29</v>
      </c>
      <c r="C3" s="35" t="s">
        <v>30</v>
      </c>
      <c r="D3" s="35" t="s">
        <v>31</v>
      </c>
      <c r="E3" s="35" t="s">
        <v>32</v>
      </c>
      <c r="F3" s="35" t="s">
        <v>33</v>
      </c>
      <c r="G3" s="33"/>
      <c r="H3" s="33"/>
      <c r="I3" s="33"/>
      <c r="J3" s="33"/>
      <c r="K3" s="33"/>
      <c r="L3" s="33"/>
      <c r="M3" s="33"/>
      <c r="N3" s="33"/>
      <c r="O3" s="27"/>
    </row>
    <row r="4" spans="1:17" x14ac:dyDescent="0.25">
      <c r="A4" s="35" t="s">
        <v>43</v>
      </c>
      <c r="B4" s="36">
        <f>410/B$9</f>
        <v>0.65916398713826363</v>
      </c>
      <c r="C4" s="36">
        <f>1419/C$9</f>
        <v>0.53688989784335983</v>
      </c>
      <c r="D4" s="36">
        <f>1420/D$9</f>
        <v>0.49982400563181978</v>
      </c>
      <c r="E4" s="36">
        <f>978/E$9</f>
        <v>0.64469347396176668</v>
      </c>
      <c r="F4" s="36">
        <f>442/F$9</f>
        <v>0.71636952998379255</v>
      </c>
      <c r="G4" s="33"/>
      <c r="H4" s="33"/>
      <c r="I4" s="33"/>
      <c r="J4" s="33"/>
      <c r="K4" s="33"/>
      <c r="L4" s="33"/>
      <c r="M4" s="33"/>
      <c r="N4" s="33"/>
      <c r="O4" s="27"/>
    </row>
    <row r="5" spans="1:17" x14ac:dyDescent="0.25">
      <c r="A5" s="35" t="s">
        <v>44</v>
      </c>
      <c r="B5" s="36">
        <f>285/B$9</f>
        <v>0.45819935691318325</v>
      </c>
      <c r="C5" s="36">
        <f>1538/C$9</f>
        <v>0.58191449110858873</v>
      </c>
      <c r="D5" s="36">
        <f>858/D$9</f>
        <v>0.3020063357972545</v>
      </c>
      <c r="E5" s="36">
        <f>619/E$9</f>
        <v>0.40804218852999341</v>
      </c>
      <c r="F5" s="36">
        <f>385/F$9</f>
        <v>0.62398703403565636</v>
      </c>
      <c r="G5" s="33"/>
      <c r="H5" s="33"/>
      <c r="I5" s="33"/>
      <c r="J5" s="33"/>
      <c r="K5" s="33"/>
      <c r="L5" s="33"/>
      <c r="M5" s="33"/>
      <c r="N5" s="33"/>
      <c r="O5" s="27"/>
    </row>
    <row r="6" spans="1:17" x14ac:dyDescent="0.25">
      <c r="A6" s="35" t="s">
        <v>46</v>
      </c>
      <c r="B6" s="36">
        <f>499/B$9</f>
        <v>0.80225080385852088</v>
      </c>
      <c r="C6" s="36">
        <f>1828/C$9</f>
        <v>0.69163828982217179</v>
      </c>
      <c r="D6" s="36">
        <f>2025/D$9</f>
        <v>0.7127771911298838</v>
      </c>
      <c r="E6" s="36">
        <f>1190/E$9</f>
        <v>0.78444297956493081</v>
      </c>
      <c r="F6" s="36">
        <f>525/F$9</f>
        <v>0.85089141004862234</v>
      </c>
      <c r="G6" s="33"/>
      <c r="H6" s="33"/>
      <c r="I6" s="33"/>
      <c r="J6" s="33"/>
      <c r="K6" s="33"/>
      <c r="L6" s="33"/>
      <c r="M6" s="33"/>
      <c r="N6" s="33"/>
      <c r="O6" s="27"/>
    </row>
    <row r="7" spans="1:17" x14ac:dyDescent="0.25">
      <c r="A7" s="35" t="s">
        <v>47</v>
      </c>
      <c r="B7" s="36">
        <f>247/B$9</f>
        <v>0.39710610932475882</v>
      </c>
      <c r="C7" s="36">
        <f>880/C$9</f>
        <v>0.3329549754067348</v>
      </c>
      <c r="D7" s="36">
        <f>1039/D$9</f>
        <v>0.36571629707849351</v>
      </c>
      <c r="E7" s="36">
        <f>773/E$9</f>
        <v>0.50955833882663149</v>
      </c>
      <c r="F7" s="36">
        <f>339/F$9</f>
        <v>0.54943273905996759</v>
      </c>
      <c r="G7" s="33"/>
      <c r="H7" s="33"/>
      <c r="I7" s="33"/>
      <c r="J7" s="33"/>
      <c r="K7" s="33"/>
      <c r="L7" s="33"/>
      <c r="M7" s="33"/>
      <c r="N7" s="33"/>
      <c r="O7" s="27"/>
    </row>
    <row r="8" spans="1:17" x14ac:dyDescent="0.25">
      <c r="A8" s="35" t="s">
        <v>48</v>
      </c>
      <c r="B8" s="36">
        <f>124/B$9</f>
        <v>0.19935691318327975</v>
      </c>
      <c r="C8" s="36">
        <f>544/C$9</f>
        <v>0.20582671206961786</v>
      </c>
      <c r="D8" s="36">
        <f>1041/D$9</f>
        <v>0.36642027455121434</v>
      </c>
      <c r="E8" s="36">
        <f>593/E$9</f>
        <v>0.39090309822017139</v>
      </c>
      <c r="F8" s="36">
        <f>207/F$9</f>
        <v>0.3354943273905997</v>
      </c>
      <c r="G8" s="33"/>
      <c r="H8" s="33"/>
      <c r="I8" s="33"/>
      <c r="J8" s="33"/>
      <c r="K8" s="33"/>
      <c r="L8" s="33"/>
      <c r="M8" s="33"/>
      <c r="N8" s="33"/>
      <c r="O8" s="27"/>
    </row>
    <row r="9" spans="1:17" x14ac:dyDescent="0.25">
      <c r="A9" s="38" t="s">
        <v>24</v>
      </c>
      <c r="B9" s="39">
        <v>622</v>
      </c>
      <c r="C9" s="39">
        <v>2643</v>
      </c>
      <c r="D9" s="39">
        <v>2841</v>
      </c>
      <c r="E9" s="39">
        <v>1517</v>
      </c>
      <c r="F9" s="39">
        <v>617</v>
      </c>
      <c r="G9" s="33"/>
      <c r="H9" s="33"/>
      <c r="I9" s="33"/>
      <c r="J9" s="33"/>
      <c r="K9" s="33"/>
      <c r="L9" s="33"/>
      <c r="M9" s="33"/>
      <c r="N9" s="33"/>
      <c r="O9" s="27"/>
    </row>
    <row r="10" spans="1:17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</row>
    <row r="11" spans="1:17" x14ac:dyDescent="0.25">
      <c r="A11" s="34">
        <v>2015</v>
      </c>
      <c r="B11" s="35" t="s">
        <v>29</v>
      </c>
      <c r="C11" s="35" t="s">
        <v>30</v>
      </c>
      <c r="D11" s="35" t="s">
        <v>31</v>
      </c>
      <c r="E11" s="35" t="s">
        <v>32</v>
      </c>
      <c r="F11" s="35" t="s">
        <v>33</v>
      </c>
      <c r="G11" s="27"/>
      <c r="H11" s="27"/>
      <c r="I11" s="127"/>
      <c r="J11" s="127"/>
      <c r="K11" s="127"/>
      <c r="L11" s="127"/>
      <c r="M11" s="127"/>
      <c r="N11" s="127"/>
      <c r="O11" s="127"/>
      <c r="P11" s="127"/>
      <c r="Q11" s="127"/>
    </row>
    <row r="12" spans="1:17" x14ac:dyDescent="0.25">
      <c r="A12" s="35" t="s">
        <v>43</v>
      </c>
      <c r="B12" s="36">
        <f>326/B$17</f>
        <v>0.72283813747228376</v>
      </c>
      <c r="C12" s="36">
        <f>1038/C$17</f>
        <v>0.64672897196261681</v>
      </c>
      <c r="D12" s="36">
        <f>1174/D$17</f>
        <v>0.60955347871235721</v>
      </c>
      <c r="E12" s="36">
        <f>827/E$17</f>
        <v>0.73971377459749554</v>
      </c>
      <c r="F12" s="36">
        <f>368/F$17</f>
        <v>0.73895582329317266</v>
      </c>
      <c r="G12" s="27"/>
      <c r="H12" s="27"/>
      <c r="I12" s="127"/>
      <c r="J12" s="127"/>
      <c r="K12" s="127"/>
      <c r="L12" s="127"/>
      <c r="M12" s="127"/>
      <c r="N12" s="127"/>
      <c r="O12" s="127"/>
      <c r="P12" s="127"/>
      <c r="Q12" s="127"/>
    </row>
    <row r="13" spans="1:17" x14ac:dyDescent="0.25">
      <c r="A13" s="35" t="s">
        <v>44</v>
      </c>
      <c r="B13" s="36">
        <f>248/B$17</f>
        <v>0.54988913525498895</v>
      </c>
      <c r="C13" s="36">
        <f>1225/C$17</f>
        <v>0.76323987538940807</v>
      </c>
      <c r="D13" s="36">
        <f>757/D$17</f>
        <v>0.39304257528556596</v>
      </c>
      <c r="E13" s="36">
        <f>558/E$17</f>
        <v>0.49910554561717352</v>
      </c>
      <c r="F13" s="36">
        <f>346/F$17</f>
        <v>0.69477911646586343</v>
      </c>
      <c r="G13" s="27"/>
      <c r="H13" s="27"/>
      <c r="I13" s="127"/>
      <c r="J13" s="127"/>
      <c r="K13" s="127"/>
      <c r="L13" s="127"/>
      <c r="M13" s="127"/>
      <c r="N13" s="127"/>
      <c r="O13" s="127"/>
      <c r="P13" s="127"/>
      <c r="Q13" s="127"/>
    </row>
    <row r="14" spans="1:17" x14ac:dyDescent="0.25">
      <c r="A14" s="35" t="s">
        <v>46</v>
      </c>
      <c r="B14" s="36">
        <f>426/B$17</f>
        <v>0.94456762749445677</v>
      </c>
      <c r="C14" s="36">
        <f>1356/C$17</f>
        <v>0.84485981308411218</v>
      </c>
      <c r="D14" s="36">
        <f>1788/D$17</f>
        <v>0.92834890965732086</v>
      </c>
      <c r="E14" s="36">
        <f>1070/E$17</f>
        <v>0.95706618962432921</v>
      </c>
      <c r="F14" s="36">
        <f>481/F$17</f>
        <v>0.96586345381526106</v>
      </c>
      <c r="G14" s="27"/>
      <c r="H14" s="27"/>
      <c r="I14" s="127"/>
      <c r="J14" s="127"/>
      <c r="K14" s="127"/>
      <c r="L14" s="127"/>
      <c r="M14" s="127"/>
      <c r="N14" s="127"/>
      <c r="O14" s="127"/>
      <c r="P14" s="127"/>
      <c r="Q14" s="127"/>
    </row>
    <row r="15" spans="1:17" x14ac:dyDescent="0.25">
      <c r="A15" s="35" t="s">
        <v>47</v>
      </c>
      <c r="B15" s="36">
        <f>220/B$17</f>
        <v>0.48780487804878048</v>
      </c>
      <c r="C15" s="36">
        <f>577/C$17</f>
        <v>0.35950155763239877</v>
      </c>
      <c r="D15" s="36">
        <f>853/D$17</f>
        <v>0.44288681204569053</v>
      </c>
      <c r="E15" s="36">
        <f>666/E$17</f>
        <v>0.59570661896243293</v>
      </c>
      <c r="F15" s="36">
        <f>290/F$17</f>
        <v>0.58232931726907633</v>
      </c>
      <c r="G15" s="27"/>
      <c r="H15" s="27"/>
      <c r="I15" s="127"/>
      <c r="J15" s="127"/>
      <c r="K15" s="127"/>
      <c r="L15" s="127"/>
      <c r="M15" s="127"/>
      <c r="N15" s="127"/>
      <c r="O15" s="127"/>
      <c r="P15" s="127"/>
      <c r="Q15" s="127"/>
    </row>
    <row r="16" spans="1:17" x14ac:dyDescent="0.25">
      <c r="A16" s="35" t="s">
        <v>48</v>
      </c>
      <c r="B16" s="36">
        <f>100/B$17</f>
        <v>0.22172949002217296</v>
      </c>
      <c r="C16" s="36">
        <f>404/C$17</f>
        <v>0.25171339563862927</v>
      </c>
      <c r="D16" s="36">
        <f>879/D$17</f>
        <v>0.45638629283489096</v>
      </c>
      <c r="E16" s="36">
        <f>531/E$17</f>
        <v>0.47495527728085868</v>
      </c>
      <c r="F16" s="36">
        <f>181/F$17</f>
        <v>0.3634538152610442</v>
      </c>
      <c r="G16" s="27"/>
      <c r="H16" s="27"/>
      <c r="I16" s="127"/>
      <c r="J16" s="127"/>
      <c r="K16" s="127"/>
      <c r="L16" s="127"/>
      <c r="M16" s="127"/>
      <c r="N16" s="127"/>
      <c r="O16" s="127"/>
      <c r="P16" s="127"/>
      <c r="Q16" s="127"/>
    </row>
    <row r="17" spans="1:17" x14ac:dyDescent="0.25">
      <c r="A17" s="38" t="s">
        <v>24</v>
      </c>
      <c r="B17" s="39">
        <v>451</v>
      </c>
      <c r="C17" s="39">
        <v>1605</v>
      </c>
      <c r="D17" s="39">
        <v>1926</v>
      </c>
      <c r="E17" s="39">
        <v>1118</v>
      </c>
      <c r="F17" s="39">
        <v>498</v>
      </c>
      <c r="G17" s="27"/>
      <c r="H17" s="27"/>
      <c r="I17" s="127"/>
      <c r="J17" s="127"/>
      <c r="K17" s="127"/>
      <c r="L17" s="127"/>
      <c r="M17" s="127"/>
      <c r="N17" s="127"/>
      <c r="O17" s="127"/>
      <c r="P17" s="127"/>
      <c r="Q17" s="127"/>
    </row>
    <row r="18" spans="1:17" x14ac:dyDescent="0.25">
      <c r="B18" s="32">
        <v>617</v>
      </c>
      <c r="C18" s="32">
        <v>2615</v>
      </c>
      <c r="D18" s="32">
        <v>2805</v>
      </c>
      <c r="E18" s="32">
        <v>1500</v>
      </c>
      <c r="F18" s="32">
        <v>618</v>
      </c>
      <c r="I18" s="127"/>
      <c r="J18" s="127"/>
      <c r="K18" s="127"/>
      <c r="L18" s="127"/>
      <c r="M18" s="127"/>
      <c r="N18" s="127"/>
      <c r="O18" s="127"/>
      <c r="P18" s="127"/>
      <c r="Q18" s="127"/>
    </row>
    <row r="19" spans="1:17" ht="63" x14ac:dyDescent="0.25">
      <c r="A19" s="37" t="s">
        <v>49</v>
      </c>
      <c r="B19" s="37"/>
      <c r="C19" s="37"/>
      <c r="D19" s="37"/>
      <c r="E19" s="37"/>
      <c r="F19" s="37"/>
      <c r="I19" s="127"/>
      <c r="J19" s="127"/>
      <c r="K19" s="127"/>
      <c r="L19" s="127"/>
      <c r="M19" s="127"/>
      <c r="N19" s="127"/>
      <c r="O19" s="127"/>
      <c r="P19" s="127"/>
      <c r="Q19" s="127"/>
    </row>
    <row r="20" spans="1:17" x14ac:dyDescent="0.25">
      <c r="A20" s="37"/>
      <c r="B20" s="37"/>
      <c r="C20" s="37"/>
      <c r="D20" s="37"/>
      <c r="E20" s="37"/>
      <c r="F20" s="37"/>
      <c r="I20" s="127"/>
      <c r="J20" s="127"/>
      <c r="K20" s="127"/>
      <c r="L20" s="127"/>
      <c r="M20" s="127"/>
      <c r="N20" s="127"/>
      <c r="O20" s="127"/>
      <c r="P20" s="127"/>
      <c r="Q20" s="127"/>
    </row>
    <row r="21" spans="1:17" x14ac:dyDescent="0.25">
      <c r="A21" s="37"/>
      <c r="B21" s="37"/>
      <c r="C21" s="37"/>
      <c r="D21" s="37"/>
      <c r="E21" s="37"/>
      <c r="F21" s="37"/>
      <c r="I21" s="127"/>
      <c r="J21" s="127"/>
      <c r="K21" s="127"/>
      <c r="L21" s="127"/>
      <c r="M21" s="127"/>
      <c r="N21" s="127"/>
      <c r="O21" s="127"/>
      <c r="P21" s="127"/>
      <c r="Q21" s="127"/>
    </row>
    <row r="22" spans="1:17" x14ac:dyDescent="0.25">
      <c r="A22" s="37"/>
      <c r="B22" s="37"/>
      <c r="C22" s="37"/>
      <c r="D22" s="37"/>
      <c r="E22" s="37"/>
      <c r="F22" s="37"/>
    </row>
    <row r="51" spans="3:5" x14ac:dyDescent="0.25">
      <c r="C51" s="121" t="s">
        <v>164</v>
      </c>
      <c r="D51" s="121"/>
      <c r="E51" s="121"/>
    </row>
  </sheetData>
  <mergeCells count="3">
    <mergeCell ref="A1:N1"/>
    <mergeCell ref="I11:Q21"/>
    <mergeCell ref="C51:E5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29"/>
  <sheetViews>
    <sheetView workbookViewId="0">
      <selection activeCell="C29" sqref="C29:E29"/>
    </sheetView>
  </sheetViews>
  <sheetFormatPr defaultRowHeight="15" x14ac:dyDescent="0.25"/>
  <cols>
    <col min="1" max="1" width="10.5703125" style="3" bestFit="1" customWidth="1"/>
    <col min="2" max="2" width="14" style="4" customWidth="1"/>
    <col min="3" max="3" width="14" style="5" customWidth="1"/>
    <col min="4" max="5" width="14" style="3" customWidth="1"/>
    <col min="6" max="6" width="14" style="3" bestFit="1" customWidth="1"/>
    <col min="7" max="7" width="14" style="3" customWidth="1"/>
    <col min="8" max="8" width="9.140625" style="3" customWidth="1"/>
    <col min="9" max="9" width="8.28515625" style="3" bestFit="1" customWidth="1"/>
    <col min="10" max="13" width="14" style="3" customWidth="1"/>
    <col min="14" max="14" width="14" style="3" bestFit="1" customWidth="1"/>
    <col min="15" max="15" width="14" style="3" customWidth="1"/>
    <col min="16" max="16" width="9.140625" style="3" customWidth="1"/>
    <col min="17" max="17" width="5.5703125" style="3" bestFit="1" customWidth="1"/>
    <col min="18" max="21" width="14" style="3" customWidth="1"/>
    <col min="22" max="22" width="14" style="3" bestFit="1" customWidth="1"/>
    <col min="23" max="23" width="14" style="3" customWidth="1"/>
    <col min="24" max="16384" width="9.140625" style="3"/>
  </cols>
  <sheetData>
    <row r="1" spans="1:23" ht="15" customHeight="1" x14ac:dyDescent="0.25">
      <c r="A1" s="128" t="s">
        <v>172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</row>
    <row r="4" spans="1:23" ht="15.75" x14ac:dyDescent="0.25">
      <c r="A4" s="93" t="s">
        <v>161</v>
      </c>
      <c r="B4" s="91" t="s">
        <v>29</v>
      </c>
      <c r="C4" s="91" t="s">
        <v>30</v>
      </c>
      <c r="D4" s="91" t="s">
        <v>31</v>
      </c>
      <c r="E4" s="91" t="s">
        <v>32</v>
      </c>
      <c r="F4" s="91" t="s">
        <v>33</v>
      </c>
      <c r="G4" s="91" t="s">
        <v>88</v>
      </c>
      <c r="I4" s="93" t="s">
        <v>162</v>
      </c>
      <c r="J4" s="91" t="s">
        <v>29</v>
      </c>
      <c r="K4" s="91" t="s">
        <v>30</v>
      </c>
      <c r="L4" s="91" t="s">
        <v>31</v>
      </c>
      <c r="M4" s="91" t="s">
        <v>32</v>
      </c>
      <c r="N4" s="91" t="s">
        <v>33</v>
      </c>
      <c r="O4" s="91" t="s">
        <v>88</v>
      </c>
      <c r="Q4" s="93" t="s">
        <v>24</v>
      </c>
      <c r="R4" s="91" t="s">
        <v>29</v>
      </c>
      <c r="S4" s="91" t="s">
        <v>30</v>
      </c>
      <c r="T4" s="91" t="s">
        <v>31</v>
      </c>
      <c r="U4" s="91" t="s">
        <v>32</v>
      </c>
      <c r="V4" s="91" t="s">
        <v>33</v>
      </c>
      <c r="W4" s="91" t="s">
        <v>88</v>
      </c>
    </row>
    <row r="5" spans="1:23" ht="15.75" x14ac:dyDescent="0.25">
      <c r="A5" s="91">
        <v>2011</v>
      </c>
      <c r="B5" s="92">
        <f t="shared" ref="B5:B10" si="0">J5/R5</f>
        <v>0.10296684118673648</v>
      </c>
      <c r="C5" s="92">
        <f t="shared" ref="C5" si="1">K5/S5</f>
        <v>5.2373158756137482E-2</v>
      </c>
      <c r="D5" s="92">
        <f t="shared" ref="D5" si="2">L5/T5</f>
        <v>5.4339010543390104E-2</v>
      </c>
      <c r="E5" s="92">
        <f t="shared" ref="E5" si="3">M5/U5</f>
        <v>4.519368723098996E-2</v>
      </c>
      <c r="F5" s="92">
        <f t="shared" ref="F5" si="4">N5/V5</f>
        <v>5.6856187290969896E-2</v>
      </c>
      <c r="G5" s="92">
        <f t="shared" ref="G5" si="5">O5/W5</f>
        <v>5.5919732441471574E-2</v>
      </c>
      <c r="I5" s="91">
        <f t="shared" ref="I5:I9" si="6">$A5</f>
        <v>2011</v>
      </c>
      <c r="J5" s="94">
        <v>59</v>
      </c>
      <c r="K5" s="94">
        <v>128</v>
      </c>
      <c r="L5" s="94">
        <v>134</v>
      </c>
      <c r="M5" s="94">
        <v>63</v>
      </c>
      <c r="N5" s="94">
        <v>34</v>
      </c>
      <c r="O5" s="96">
        <f t="shared" ref="O5" si="7">SUM(J5:N5)</f>
        <v>418</v>
      </c>
      <c r="Q5" s="91">
        <f t="shared" ref="Q5:Q9" si="8">$A5</f>
        <v>2011</v>
      </c>
      <c r="R5" s="94">
        <v>573</v>
      </c>
      <c r="S5" s="94">
        <v>2444</v>
      </c>
      <c r="T5" s="94">
        <v>2466</v>
      </c>
      <c r="U5" s="94">
        <v>1394</v>
      </c>
      <c r="V5" s="94">
        <v>598</v>
      </c>
      <c r="W5" s="96">
        <f t="shared" ref="W5" si="9">SUM(R5:V5)</f>
        <v>7475</v>
      </c>
    </row>
    <row r="6" spans="1:23" ht="15.75" x14ac:dyDescent="0.25">
      <c r="A6" s="91">
        <v>2012</v>
      </c>
      <c r="B6" s="92">
        <f t="shared" si="0"/>
        <v>0.3082077051926298</v>
      </c>
      <c r="C6" s="92">
        <f t="shared" ref="C6" si="10">K6/S6</f>
        <v>0.20263262863980855</v>
      </c>
      <c r="D6" s="92">
        <f t="shared" ref="D6" si="11">L6/T6</f>
        <v>0.11990686845168801</v>
      </c>
      <c r="E6" s="92">
        <f t="shared" ref="E6" si="12">M6/U6</f>
        <v>8.5180055401662055E-2</v>
      </c>
      <c r="F6" s="92">
        <f t="shared" ref="F6" si="13">N6/V6</f>
        <v>0.27333333333333332</v>
      </c>
      <c r="G6" s="92">
        <f t="shared" ref="G6" si="14">O6/W6</f>
        <v>0.16673139158576053</v>
      </c>
      <c r="I6" s="91">
        <f t="shared" si="6"/>
        <v>2012</v>
      </c>
      <c r="J6" s="94">
        <v>184</v>
      </c>
      <c r="K6" s="94">
        <v>508</v>
      </c>
      <c r="L6" s="94">
        <v>309</v>
      </c>
      <c r="M6" s="94">
        <v>123</v>
      </c>
      <c r="N6" s="94">
        <v>164</v>
      </c>
      <c r="O6" s="96">
        <f t="shared" ref="O6:O8" si="15">SUM(J6:N6)</f>
        <v>1288</v>
      </c>
      <c r="Q6" s="91">
        <f t="shared" si="8"/>
        <v>2012</v>
      </c>
      <c r="R6" s="94">
        <v>597</v>
      </c>
      <c r="S6" s="94">
        <v>2507</v>
      </c>
      <c r="T6" s="94">
        <v>2577</v>
      </c>
      <c r="U6" s="94">
        <v>1444</v>
      </c>
      <c r="V6" s="94">
        <v>600</v>
      </c>
      <c r="W6" s="96">
        <f t="shared" ref="W6:W8" si="16">SUM(R6:V6)</f>
        <v>7725</v>
      </c>
    </row>
    <row r="7" spans="1:23" ht="15.75" x14ac:dyDescent="0.25">
      <c r="A7" s="91">
        <v>2013</v>
      </c>
      <c r="B7" s="92">
        <f t="shared" si="0"/>
        <v>0.31107491856677527</v>
      </c>
      <c r="C7" s="92">
        <f t="shared" ref="C7" si="17">K7/S7</f>
        <v>0.21079389910050841</v>
      </c>
      <c r="D7" s="92">
        <f t="shared" ref="D7" si="18">L7/T7</f>
        <v>0.10442678774120318</v>
      </c>
      <c r="E7" s="92">
        <f t="shared" ref="E7" si="19">M7/U7</f>
        <v>8.5675119945167924E-2</v>
      </c>
      <c r="F7" s="92">
        <f t="shared" ref="F7" si="20">N7/V7</f>
        <v>0.29016393442622951</v>
      </c>
      <c r="G7" s="92">
        <f t="shared" ref="G7" si="21">O7/W7</f>
        <v>0.16592667766078903</v>
      </c>
      <c r="I7" s="91">
        <f t="shared" si="6"/>
        <v>2013</v>
      </c>
      <c r="J7" s="94">
        <v>191</v>
      </c>
      <c r="K7" s="94">
        <v>539</v>
      </c>
      <c r="L7" s="94">
        <v>276</v>
      </c>
      <c r="M7" s="94">
        <v>125</v>
      </c>
      <c r="N7" s="94">
        <v>177</v>
      </c>
      <c r="O7" s="96">
        <f t="shared" si="15"/>
        <v>1308</v>
      </c>
      <c r="Q7" s="91">
        <f t="shared" si="8"/>
        <v>2013</v>
      </c>
      <c r="R7" s="94">
        <v>614</v>
      </c>
      <c r="S7" s="94">
        <v>2557</v>
      </c>
      <c r="T7" s="94">
        <v>2643</v>
      </c>
      <c r="U7" s="94">
        <v>1459</v>
      </c>
      <c r="V7" s="94">
        <v>610</v>
      </c>
      <c r="W7" s="96">
        <f t="shared" si="16"/>
        <v>7883</v>
      </c>
    </row>
    <row r="8" spans="1:23" ht="15.75" x14ac:dyDescent="0.25">
      <c r="A8" s="91">
        <v>2014</v>
      </c>
      <c r="B8" s="92">
        <f t="shared" si="0"/>
        <v>0.35876623376623379</v>
      </c>
      <c r="C8" s="92">
        <f t="shared" ref="C8" si="22">K8/S8</f>
        <v>0.21562619685944082</v>
      </c>
      <c r="D8" s="92">
        <f t="shared" ref="D8" si="23">L8/T8</f>
        <v>0.10596745027124774</v>
      </c>
      <c r="E8" s="92">
        <f t="shared" ref="E8" si="24">M8/U8</f>
        <v>8.0808080808080815E-2</v>
      </c>
      <c r="F8" s="92">
        <f t="shared" ref="F8" si="25">N8/V8</f>
        <v>0.30605564648117839</v>
      </c>
      <c r="G8" s="92">
        <f t="shared" ref="G8" si="26">O8/W8</f>
        <v>0.17111770524233433</v>
      </c>
      <c r="I8" s="91">
        <f t="shared" si="6"/>
        <v>2014</v>
      </c>
      <c r="J8" s="94">
        <v>221</v>
      </c>
      <c r="K8" s="94">
        <v>563</v>
      </c>
      <c r="L8" s="94">
        <v>293</v>
      </c>
      <c r="M8" s="94">
        <v>120</v>
      </c>
      <c r="N8" s="94">
        <v>187</v>
      </c>
      <c r="O8" s="96">
        <f t="shared" si="15"/>
        <v>1384</v>
      </c>
      <c r="Q8" s="91">
        <f t="shared" si="8"/>
        <v>2014</v>
      </c>
      <c r="R8" s="94">
        <v>616</v>
      </c>
      <c r="S8" s="94">
        <v>2611</v>
      </c>
      <c r="T8" s="94">
        <v>2765</v>
      </c>
      <c r="U8" s="94">
        <v>1485</v>
      </c>
      <c r="V8" s="94">
        <v>611</v>
      </c>
      <c r="W8" s="96">
        <f t="shared" si="16"/>
        <v>8088</v>
      </c>
    </row>
    <row r="9" spans="1:23" ht="15.75" x14ac:dyDescent="0.25">
      <c r="A9" s="91">
        <v>2015</v>
      </c>
      <c r="B9" s="92">
        <f t="shared" si="0"/>
        <v>0.36952998379254459</v>
      </c>
      <c r="C9" s="92">
        <f t="shared" ref="C9" si="27">K9/S9</f>
        <v>0.20305927342256214</v>
      </c>
      <c r="D9" s="92">
        <f t="shared" ref="D9" si="28">L9/T9</f>
        <v>0.10445632798573976</v>
      </c>
      <c r="E9" s="92">
        <f t="shared" ref="E9" si="29">M9/U9</f>
        <v>6.933333333333333E-2</v>
      </c>
      <c r="F9" s="92">
        <f t="shared" ref="F9" si="30">N9/V9</f>
        <v>0.29449838187702265</v>
      </c>
      <c r="G9" s="92">
        <f t="shared" ref="G9" si="31">O9/W9</f>
        <v>0.16407112201103619</v>
      </c>
      <c r="I9" s="91">
        <f t="shared" si="6"/>
        <v>2015</v>
      </c>
      <c r="J9" s="94">
        <v>228</v>
      </c>
      <c r="K9" s="94">
        <v>531</v>
      </c>
      <c r="L9" s="94">
        <v>293</v>
      </c>
      <c r="M9" s="94">
        <v>104</v>
      </c>
      <c r="N9" s="94">
        <v>182</v>
      </c>
      <c r="O9" s="96">
        <f>SUM(J9:N9)</f>
        <v>1338</v>
      </c>
      <c r="Q9" s="91">
        <f t="shared" si="8"/>
        <v>2015</v>
      </c>
      <c r="R9" s="94">
        <v>617</v>
      </c>
      <c r="S9" s="94">
        <v>2615</v>
      </c>
      <c r="T9" s="94">
        <v>2805</v>
      </c>
      <c r="U9" s="94">
        <v>1500</v>
      </c>
      <c r="V9" s="94">
        <v>618</v>
      </c>
      <c r="W9" s="96">
        <f>SUM(R9:V9)</f>
        <v>8155</v>
      </c>
    </row>
    <row r="10" spans="1:23" ht="15.75" x14ac:dyDescent="0.25">
      <c r="A10" s="91">
        <v>2016</v>
      </c>
      <c r="B10" s="92">
        <f t="shared" si="0"/>
        <v>0.35209003215434082</v>
      </c>
      <c r="C10" s="92">
        <f t="shared" ref="C10:G10" si="32">K10/S10</f>
        <v>0.19901626939084374</v>
      </c>
      <c r="D10" s="92">
        <f t="shared" si="32"/>
        <v>8.9405139035550862E-2</v>
      </c>
      <c r="E10" s="92">
        <f t="shared" si="32"/>
        <v>6.0646011865524062E-2</v>
      </c>
      <c r="F10" s="92">
        <f t="shared" si="32"/>
        <v>0.28363047001620745</v>
      </c>
      <c r="G10" s="92">
        <f t="shared" si="32"/>
        <v>0.15364077669902912</v>
      </c>
      <c r="I10" s="91">
        <f>$A10</f>
        <v>2016</v>
      </c>
      <c r="J10" s="94">
        <v>219</v>
      </c>
      <c r="K10" s="94">
        <v>526</v>
      </c>
      <c r="L10" s="94">
        <v>254</v>
      </c>
      <c r="M10" s="94">
        <v>92</v>
      </c>
      <c r="N10" s="94">
        <v>175</v>
      </c>
      <c r="O10" s="96">
        <f>SUM(J10:N10)</f>
        <v>1266</v>
      </c>
      <c r="Q10" s="91">
        <f>$A10</f>
        <v>2016</v>
      </c>
      <c r="R10" s="94">
        <v>622</v>
      </c>
      <c r="S10" s="94">
        <v>2643</v>
      </c>
      <c r="T10" s="94">
        <v>2841</v>
      </c>
      <c r="U10" s="94">
        <v>1517</v>
      </c>
      <c r="V10" s="94">
        <v>617</v>
      </c>
      <c r="W10" s="96">
        <f>SUM(R10:V10)</f>
        <v>8240</v>
      </c>
    </row>
    <row r="12" spans="1:23" x14ac:dyDescent="0.25"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23" x14ac:dyDescent="0.25">
      <c r="H13" s="127"/>
      <c r="I13" s="127"/>
      <c r="J13" s="127"/>
      <c r="K13" s="127"/>
      <c r="L13" s="127"/>
      <c r="M13" s="127"/>
      <c r="N13" s="127"/>
      <c r="O13" s="127"/>
      <c r="P13" s="127"/>
    </row>
    <row r="14" spans="1:23" x14ac:dyDescent="0.25">
      <c r="H14" s="127"/>
      <c r="I14" s="127"/>
      <c r="J14" s="127"/>
      <c r="K14" s="127"/>
      <c r="L14" s="127"/>
      <c r="M14" s="127"/>
      <c r="N14" s="127"/>
      <c r="O14" s="127"/>
      <c r="P14" s="127"/>
    </row>
    <row r="15" spans="1:23" x14ac:dyDescent="0.25">
      <c r="H15" s="127"/>
      <c r="I15" s="127"/>
      <c r="J15" s="127"/>
      <c r="K15" s="127"/>
      <c r="L15" s="127"/>
      <c r="M15" s="127"/>
      <c r="N15" s="127"/>
      <c r="O15" s="127"/>
      <c r="P15" s="127"/>
    </row>
    <row r="16" spans="1:23" x14ac:dyDescent="0.25">
      <c r="H16" s="127"/>
      <c r="I16" s="127"/>
      <c r="J16" s="127"/>
      <c r="K16" s="127"/>
      <c r="L16" s="127"/>
      <c r="M16" s="127"/>
      <c r="N16" s="127"/>
      <c r="O16" s="127"/>
      <c r="P16" s="127"/>
    </row>
    <row r="17" spans="3:16" x14ac:dyDescent="0.25">
      <c r="H17" s="127"/>
      <c r="I17" s="127"/>
      <c r="J17" s="127"/>
      <c r="K17" s="127"/>
      <c r="L17" s="127"/>
      <c r="M17" s="127"/>
      <c r="N17" s="127"/>
      <c r="O17" s="127"/>
      <c r="P17" s="127"/>
    </row>
    <row r="18" spans="3:16" x14ac:dyDescent="0.25">
      <c r="H18" s="127"/>
      <c r="I18" s="127"/>
      <c r="J18" s="127"/>
      <c r="K18" s="127"/>
      <c r="L18" s="127"/>
      <c r="M18" s="127"/>
      <c r="N18" s="127"/>
      <c r="O18" s="127"/>
      <c r="P18" s="127"/>
    </row>
    <row r="19" spans="3:16" x14ac:dyDescent="0.25">
      <c r="H19" s="127"/>
      <c r="I19" s="127"/>
      <c r="J19" s="127"/>
      <c r="K19" s="127"/>
      <c r="L19" s="127"/>
      <c r="M19" s="127"/>
      <c r="N19" s="127"/>
      <c r="O19" s="127"/>
      <c r="P19" s="127"/>
    </row>
    <row r="20" spans="3:16" x14ac:dyDescent="0.25">
      <c r="H20" s="127"/>
      <c r="I20" s="127"/>
      <c r="J20" s="127"/>
      <c r="K20" s="127"/>
      <c r="L20" s="127"/>
      <c r="M20" s="127"/>
      <c r="N20" s="127"/>
      <c r="O20" s="127"/>
      <c r="P20" s="127"/>
    </row>
    <row r="21" spans="3:16" x14ac:dyDescent="0.25">
      <c r="H21" s="127"/>
      <c r="I21" s="127"/>
      <c r="J21" s="127"/>
      <c r="K21" s="127"/>
      <c r="L21" s="127"/>
      <c r="M21" s="127"/>
      <c r="N21" s="127"/>
      <c r="O21" s="127"/>
      <c r="P21" s="127"/>
    </row>
    <row r="22" spans="3:16" x14ac:dyDescent="0.25">
      <c r="H22" s="127"/>
      <c r="I22" s="127"/>
      <c r="J22" s="127"/>
      <c r="K22" s="127"/>
      <c r="L22" s="127"/>
      <c r="M22" s="127"/>
      <c r="N22" s="127"/>
      <c r="O22" s="127"/>
      <c r="P22" s="127"/>
    </row>
    <row r="29" spans="3:16" x14ac:dyDescent="0.25">
      <c r="C29" s="121" t="s">
        <v>164</v>
      </c>
      <c r="D29" s="121"/>
      <c r="E29" s="121"/>
    </row>
  </sheetData>
  <mergeCells count="3">
    <mergeCell ref="A1:U1"/>
    <mergeCell ref="H12:P22"/>
    <mergeCell ref="C29:E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5</vt:lpstr>
      <vt:lpstr>Planilha3</vt:lpstr>
      <vt:lpstr>6</vt:lpstr>
      <vt:lpstr>8</vt:lpstr>
      <vt:lpstr>9</vt:lpstr>
      <vt:lpstr>10</vt:lpstr>
      <vt:lpstr>12</vt:lpstr>
      <vt:lpstr>11</vt:lpstr>
      <vt:lpstr>14</vt:lpstr>
      <vt:lpstr>16</vt:lpstr>
      <vt:lpstr>17</vt:lpstr>
      <vt:lpstr>18</vt:lpstr>
      <vt:lpstr>19</vt:lpstr>
      <vt:lpstr>21</vt:lpstr>
      <vt:lpstr>Planilha5_OK</vt:lpstr>
      <vt:lpstr>Planilha4_OK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Barros dos Santos</dc:creator>
  <cp:lastModifiedBy>Otavio Luiz de Araujo</cp:lastModifiedBy>
  <dcterms:created xsi:type="dcterms:W3CDTF">2017-10-26T18:24:27Z</dcterms:created>
  <dcterms:modified xsi:type="dcterms:W3CDTF">2018-11-08T20:28:56Z</dcterms:modified>
</cp:coreProperties>
</file>