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comments3.xml" ContentType="application/vnd.openxmlformats-officedocument.spreadsheetml.comments+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xml"/>
  <Override PartName="/xl/comments4.xml" ContentType="application/vnd.openxmlformats-officedocument.spreadsheetml.comments+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xml"/>
  <Override PartName="/xl/comments5.xml" ContentType="application/vnd.openxmlformats-officedocument.spreadsheetml.comments+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xml"/>
  <Override PartName="/xl/comments6.xml" ContentType="application/vnd.openxmlformats-officedocument.spreadsheetml.comments+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xml"/>
  <Override PartName="/xl/comments7.xml" ContentType="application/vnd.openxmlformats-officedocument.spreadsheetml.comments+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ldson.cleto\Documents\Censo SUAS\2016\"/>
    </mc:Choice>
  </mc:AlternateContent>
  <bookViews>
    <workbookView xWindow="0" yWindow="0" windowWidth="24000" windowHeight="9735" activeTab="1"/>
  </bookViews>
  <sheets>
    <sheet name="Índice" sheetId="1" r:id="rId1"/>
    <sheet name="1" sheetId="2" r:id="rId2"/>
    <sheet name="2" sheetId="4" r:id="rId3"/>
    <sheet name="3" sheetId="5" r:id="rId4"/>
    <sheet name="4" sheetId="6" r:id="rId5"/>
    <sheet name="5" sheetId="7" r:id="rId6"/>
    <sheet name="6" sheetId="8" r:id="rId7"/>
    <sheet name="7" sheetId="10" r:id="rId8"/>
    <sheet name="8" sheetId="11" r:id="rId9"/>
    <sheet name="9" sheetId="12" r:id="rId10"/>
    <sheet name="10" sheetId="13" r:id="rId11"/>
    <sheet name="11" sheetId="14" r:id="rId12"/>
    <sheet name="12" sheetId="15" r:id="rId13"/>
    <sheet name="13" sheetId="16" r:id="rId14"/>
    <sheet name="14" sheetId="17" r:id="rId15"/>
    <sheet name="15" sheetId="18" r:id="rId16"/>
    <sheet name="16" sheetId="19" r:id="rId17"/>
    <sheet name="17" sheetId="20" r:id="rId18"/>
    <sheet name="18" sheetId="21" r:id="rId19"/>
    <sheet name="19" sheetId="23" r:id="rId20"/>
    <sheet name="20" sheetId="25" r:id="rId21"/>
    <sheet name="21" sheetId="24" r:id="rId22"/>
    <sheet name="22" sheetId="26" r:id="rId23"/>
    <sheet name="23" sheetId="27" r:id="rId24"/>
  </sheets>
  <definedNames>
    <definedName name="_xlnm._FilterDatabase" localSheetId="1" hidden="1">'1'!$A$1:$C$19</definedName>
    <definedName name="_xlnm._FilterDatabase" localSheetId="11" hidden="1">'11'!$A$3:$G$3</definedName>
    <definedName name="_xlnm._FilterDatabase" localSheetId="12" hidden="1">'12'!$A$2:$C$2</definedName>
    <definedName name="_xlnm._FilterDatabase" localSheetId="15" hidden="1">'15'!$A$2:$C$2</definedName>
    <definedName name="_xlnm._FilterDatabase" localSheetId="17" hidden="1">'17'!$A$2:$C$2</definedName>
    <definedName name="_xlnm._FilterDatabase" localSheetId="21" hidden="1">'21'!$A$2:$C$2</definedName>
    <definedName name="_xlnm._FilterDatabase" localSheetId="6" hidden="1">'6'!$A$2:$C$2</definedName>
    <definedName name="_xlnm._FilterDatabase" localSheetId="7" hidden="1">'7'!$A$2:$C$2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25" l="1"/>
  <c r="D7" i="25"/>
  <c r="E7" i="25"/>
  <c r="F7" i="25"/>
  <c r="G7" i="25"/>
  <c r="H7" i="25"/>
  <c r="B7" i="25"/>
  <c r="G18" i="14" l="1"/>
  <c r="G15" i="14"/>
  <c r="G11" i="14"/>
  <c r="G9" i="14"/>
  <c r="G8" i="14"/>
  <c r="G4" i="14"/>
  <c r="G14" i="14"/>
  <c r="G13" i="14"/>
  <c r="G12" i="14"/>
  <c r="G16" i="14"/>
  <c r="G10" i="14"/>
  <c r="G5" i="14"/>
  <c r="G7" i="14"/>
  <c r="G6" i="14"/>
  <c r="G17" i="14"/>
  <c r="B5" i="13"/>
  <c r="C5" i="13"/>
  <c r="D5" i="13"/>
  <c r="E5" i="13"/>
  <c r="F5" i="13"/>
  <c r="Q5" i="13"/>
  <c r="W5" i="13"/>
  <c r="I5" i="13"/>
  <c r="O5" i="13"/>
  <c r="B6" i="13"/>
  <c r="C6" i="13"/>
  <c r="D6" i="13"/>
  <c r="E6" i="13"/>
  <c r="F6" i="13"/>
  <c r="B7" i="13"/>
  <c r="C7" i="13"/>
  <c r="D7" i="13"/>
  <c r="E7" i="13"/>
  <c r="F7" i="13"/>
  <c r="G7" i="13"/>
  <c r="W6" i="13"/>
  <c r="W7" i="13"/>
  <c r="W8" i="13"/>
  <c r="O6" i="13"/>
  <c r="G6" i="13" s="1"/>
  <c r="O7" i="13"/>
  <c r="O8" i="13"/>
  <c r="B8" i="13"/>
  <c r="C8" i="13"/>
  <c r="D8" i="13"/>
  <c r="E8" i="13"/>
  <c r="F8" i="13"/>
  <c r="Q10" i="13"/>
  <c r="Q9" i="13"/>
  <c r="Q8" i="13"/>
  <c r="Q7" i="13"/>
  <c r="Q6" i="13"/>
  <c r="I6" i="13"/>
  <c r="I7" i="13"/>
  <c r="I8" i="13"/>
  <c r="I9" i="13"/>
  <c r="I10" i="13"/>
  <c r="W9" i="13"/>
  <c r="W10" i="13"/>
  <c r="O9" i="13"/>
  <c r="O10" i="13"/>
  <c r="B9" i="13"/>
  <c r="C9" i="13"/>
  <c r="D9" i="13"/>
  <c r="E9" i="13"/>
  <c r="F9" i="13"/>
  <c r="C10" i="13"/>
  <c r="D10" i="13"/>
  <c r="E10" i="13"/>
  <c r="F10" i="13"/>
  <c r="B10" i="13"/>
  <c r="G9" i="13" l="1"/>
  <c r="G5" i="13"/>
  <c r="G8" i="13"/>
  <c r="G10" i="13"/>
  <c r="E3" i="26"/>
  <c r="E4" i="26"/>
  <c r="E5" i="26"/>
  <c r="E6" i="26"/>
  <c r="E7" i="26"/>
  <c r="C3" i="26"/>
  <c r="C4" i="26"/>
  <c r="C5" i="26"/>
  <c r="C6" i="26"/>
  <c r="C7" i="26"/>
  <c r="E8" i="26"/>
  <c r="C8" i="26"/>
  <c r="D3" i="19" l="1"/>
  <c r="D4" i="19"/>
  <c r="D5" i="19"/>
  <c r="D6" i="19"/>
  <c r="D7" i="19"/>
  <c r="D9" i="19"/>
  <c r="D8" i="19"/>
  <c r="G4" i="7"/>
  <c r="F4" i="7"/>
  <c r="E4" i="7"/>
  <c r="D4" i="7"/>
  <c r="C4" i="7"/>
  <c r="B4" i="7"/>
  <c r="G5" i="7"/>
  <c r="F5" i="7"/>
  <c r="E5" i="7"/>
  <c r="D5" i="7"/>
  <c r="C5" i="7"/>
  <c r="B5" i="7"/>
  <c r="C6" i="25"/>
  <c r="D6" i="25"/>
  <c r="E6" i="25"/>
  <c r="F6" i="25"/>
  <c r="G6" i="25"/>
  <c r="H6" i="25"/>
  <c r="B6" i="25"/>
  <c r="I4" i="25"/>
  <c r="I7" i="25" s="1"/>
  <c r="I5" i="25"/>
  <c r="I6" i="25" s="1"/>
  <c r="I3" i="25"/>
  <c r="G5" i="27" l="1"/>
  <c r="F5" i="27"/>
  <c r="E5" i="27"/>
  <c r="D5" i="27"/>
  <c r="C5" i="27"/>
  <c r="G4" i="27"/>
  <c r="F4" i="27"/>
  <c r="E4" i="27"/>
  <c r="D4" i="27"/>
  <c r="C4" i="27"/>
  <c r="B5" i="27"/>
  <c r="B4" i="27"/>
  <c r="O5" i="27"/>
  <c r="O4" i="27"/>
  <c r="C3" i="24"/>
  <c r="C12" i="24"/>
  <c r="C6" i="24"/>
  <c r="C5" i="24"/>
  <c r="C14" i="24"/>
  <c r="C13" i="24"/>
  <c r="C10" i="24"/>
  <c r="C16" i="24"/>
  <c r="C17" i="24"/>
  <c r="C18" i="24"/>
  <c r="C19" i="24"/>
  <c r="C7" i="24"/>
  <c r="C9" i="24"/>
  <c r="C8" i="24"/>
  <c r="C15" i="24"/>
  <c r="C4" i="24"/>
  <c r="C11" i="24"/>
  <c r="C27" i="23" l="1"/>
  <c r="C4" i="23"/>
  <c r="C5" i="23"/>
  <c r="C6" i="23"/>
  <c r="C7" i="23"/>
  <c r="C9" i="23"/>
  <c r="C8" i="23"/>
  <c r="C10" i="23"/>
  <c r="C11" i="23"/>
  <c r="C12" i="23"/>
  <c r="C18" i="23"/>
  <c r="C13" i="23"/>
  <c r="C14" i="23"/>
  <c r="C20" i="23"/>
  <c r="C15" i="23"/>
  <c r="C19" i="23"/>
  <c r="C17" i="23"/>
  <c r="C16" i="23"/>
  <c r="C21" i="23"/>
  <c r="C24" i="23"/>
  <c r="C22" i="23"/>
  <c r="C23" i="23"/>
  <c r="C25" i="23"/>
  <c r="C3" i="23"/>
  <c r="C54" i="23"/>
  <c r="C31" i="23"/>
  <c r="C32" i="23"/>
  <c r="C33" i="23"/>
  <c r="C34" i="23"/>
  <c r="C35" i="23"/>
  <c r="C36" i="23"/>
  <c r="C37" i="23"/>
  <c r="C38" i="23"/>
  <c r="C39" i="23"/>
  <c r="C40" i="23"/>
  <c r="C41" i="23"/>
  <c r="C42" i="23"/>
  <c r="C43" i="23"/>
  <c r="C44" i="23"/>
  <c r="C45" i="23"/>
  <c r="C46" i="23"/>
  <c r="C47" i="23"/>
  <c r="C48" i="23"/>
  <c r="C49" i="23"/>
  <c r="C50" i="23"/>
  <c r="C51" i="23"/>
  <c r="C52" i="23"/>
  <c r="C30" i="23"/>
  <c r="D9" i="21" l="1"/>
  <c r="C11" i="21"/>
  <c r="C10" i="21"/>
  <c r="C8" i="21"/>
  <c r="C7" i="21"/>
  <c r="C6" i="21"/>
  <c r="C5" i="21"/>
  <c r="C4" i="21"/>
  <c r="C3" i="21"/>
  <c r="C13" i="20"/>
  <c r="C23" i="20"/>
  <c r="C18" i="20"/>
  <c r="C9" i="20"/>
  <c r="C8" i="20"/>
  <c r="C22" i="20"/>
  <c r="C24" i="20"/>
  <c r="C25" i="20"/>
  <c r="C10" i="20"/>
  <c r="C14" i="20"/>
  <c r="C20" i="20"/>
  <c r="C11" i="20"/>
  <c r="C17" i="20"/>
  <c r="C19" i="20"/>
  <c r="C21" i="20"/>
  <c r="C16" i="20"/>
  <c r="C7" i="20"/>
  <c r="C15" i="20"/>
  <c r="C5" i="20"/>
  <c r="C12" i="20"/>
  <c r="C6" i="20"/>
  <c r="C4" i="20"/>
  <c r="C3" i="20"/>
  <c r="C26" i="20"/>
  <c r="C8" i="18"/>
  <c r="C7" i="18"/>
  <c r="C9" i="18"/>
  <c r="C3" i="18"/>
  <c r="C5" i="18"/>
  <c r="C10" i="18"/>
  <c r="C6" i="18"/>
  <c r="C4" i="18"/>
  <c r="C11" i="18"/>
  <c r="H9" i="17"/>
  <c r="N9" i="17" s="1"/>
  <c r="H8" i="17"/>
  <c r="K8" i="17" s="1"/>
  <c r="H7" i="17"/>
  <c r="N7" i="17" s="1"/>
  <c r="H6" i="17"/>
  <c r="N6" i="17" s="1"/>
  <c r="H5" i="17"/>
  <c r="N5" i="17" s="1"/>
  <c r="H4" i="17"/>
  <c r="N4" i="17" s="1"/>
  <c r="H17" i="17"/>
  <c r="K17" i="17" s="1"/>
  <c r="H16" i="17"/>
  <c r="M16" i="17" s="1"/>
  <c r="H15" i="17"/>
  <c r="K15" i="17" s="1"/>
  <c r="H14" i="17"/>
  <c r="L14" i="17" s="1"/>
  <c r="H13" i="17"/>
  <c r="K13" i="17" s="1"/>
  <c r="H12" i="17"/>
  <c r="K12" i="17" s="1"/>
  <c r="K6" i="17" l="1"/>
  <c r="N12" i="17"/>
  <c r="M12" i="17"/>
  <c r="L12" i="17"/>
  <c r="L6" i="17"/>
  <c r="N14" i="17"/>
  <c r="M8" i="17"/>
  <c r="L8" i="17"/>
  <c r="M14" i="17"/>
  <c r="N8" i="17"/>
  <c r="K14" i="17"/>
  <c r="K4" i="17"/>
  <c r="L4" i="17"/>
  <c r="M6" i="17"/>
  <c r="L16" i="17"/>
  <c r="M4" i="17"/>
  <c r="K16" i="17"/>
  <c r="N17" i="17"/>
  <c r="N15" i="17"/>
  <c r="N13" i="17"/>
  <c r="K5" i="17"/>
  <c r="K7" i="17"/>
  <c r="K9" i="17"/>
  <c r="N16" i="17"/>
  <c r="M17" i="17"/>
  <c r="M15" i="17"/>
  <c r="M13" i="17"/>
  <c r="L5" i="17"/>
  <c r="L7" i="17"/>
  <c r="L9" i="17"/>
  <c r="L17" i="17"/>
  <c r="L15" i="17"/>
  <c r="L13" i="17"/>
  <c r="M5" i="17"/>
  <c r="M7" i="17"/>
  <c r="M9" i="17"/>
  <c r="C6" i="16" l="1"/>
  <c r="C7" i="16"/>
  <c r="C5" i="16"/>
  <c r="C4" i="16"/>
  <c r="C9" i="16"/>
  <c r="C10" i="16"/>
  <c r="C8" i="16"/>
  <c r="C19" i="16" l="1"/>
  <c r="C18" i="16"/>
  <c r="C17" i="16"/>
  <c r="C16" i="16"/>
  <c r="C15" i="16"/>
  <c r="C14" i="16"/>
  <c r="C13" i="16"/>
  <c r="C23" i="15"/>
  <c r="C16" i="15"/>
  <c r="C13" i="15"/>
  <c r="C6" i="15"/>
  <c r="C17" i="15"/>
  <c r="C4" i="15"/>
  <c r="C5" i="15"/>
  <c r="C24" i="15"/>
  <c r="C9" i="15"/>
  <c r="C10" i="15"/>
  <c r="C8" i="15"/>
  <c r="C7" i="15"/>
  <c r="C22" i="15"/>
  <c r="C20" i="15"/>
  <c r="C21" i="15"/>
  <c r="C15" i="15"/>
  <c r="C19" i="15"/>
  <c r="C18" i="15"/>
  <c r="C11" i="15"/>
  <c r="C12" i="15"/>
  <c r="C3" i="15"/>
  <c r="C14" i="15"/>
  <c r="F8" i="12"/>
  <c r="F7" i="12"/>
  <c r="F6" i="12"/>
  <c r="F5" i="12"/>
  <c r="F4" i="12"/>
  <c r="E8" i="12"/>
  <c r="E7" i="12"/>
  <c r="E6" i="12"/>
  <c r="E5" i="12"/>
  <c r="E4" i="12"/>
  <c r="D8" i="12"/>
  <c r="D7" i="12"/>
  <c r="D6" i="12"/>
  <c r="D5" i="12"/>
  <c r="D4" i="12"/>
  <c r="C8" i="12"/>
  <c r="C7" i="12"/>
  <c r="C6" i="12"/>
  <c r="C5" i="12"/>
  <c r="C4" i="12"/>
  <c r="B8" i="12"/>
  <c r="B7" i="12"/>
  <c r="B6" i="12"/>
  <c r="B5" i="12"/>
  <c r="B4" i="12"/>
  <c r="F16" i="12"/>
  <c r="F15" i="12"/>
  <c r="F14" i="12"/>
  <c r="F13" i="12"/>
  <c r="F12" i="12"/>
  <c r="E16" i="12"/>
  <c r="E15" i="12"/>
  <c r="E14" i="12"/>
  <c r="E13" i="12"/>
  <c r="E12" i="12"/>
  <c r="D16" i="12"/>
  <c r="D15" i="12"/>
  <c r="D14" i="12"/>
  <c r="D13" i="12"/>
  <c r="D12" i="12"/>
  <c r="C16" i="12"/>
  <c r="C15" i="12"/>
  <c r="C14" i="12"/>
  <c r="C13" i="12"/>
  <c r="C12" i="12"/>
  <c r="B16" i="12"/>
  <c r="B15" i="12"/>
  <c r="B14" i="12"/>
  <c r="B13" i="12"/>
  <c r="B12" i="12"/>
  <c r="G8" i="11"/>
  <c r="G7" i="11"/>
  <c r="G6" i="11"/>
  <c r="G5" i="11"/>
  <c r="G4" i="11"/>
  <c r="H8" i="11"/>
  <c r="H7" i="11"/>
  <c r="H6" i="11"/>
  <c r="H5" i="11"/>
  <c r="H4" i="11"/>
  <c r="C5" i="10"/>
  <c r="C4" i="10"/>
  <c r="C3" i="10"/>
  <c r="C6" i="10"/>
  <c r="C3" i="8" l="1"/>
  <c r="C6" i="8"/>
  <c r="C5" i="8"/>
  <c r="C10" i="8"/>
  <c r="C4" i="8"/>
  <c r="C11" i="8"/>
  <c r="C9" i="8"/>
  <c r="C8" i="8"/>
  <c r="C7" i="8"/>
  <c r="G6" i="7"/>
  <c r="F6" i="7"/>
  <c r="E6" i="7"/>
  <c r="D6" i="7"/>
  <c r="C6" i="7"/>
  <c r="B6" i="7"/>
  <c r="F10" i="5" l="1"/>
  <c r="F9" i="5"/>
  <c r="F8" i="5"/>
  <c r="F7" i="5"/>
  <c r="F6" i="5"/>
  <c r="F5" i="5"/>
  <c r="F4" i="5"/>
  <c r="E10" i="5"/>
  <c r="E9" i="5"/>
  <c r="E8" i="5"/>
  <c r="E7" i="5"/>
  <c r="E6" i="5"/>
  <c r="E5" i="5"/>
  <c r="E4" i="5"/>
  <c r="D10" i="5"/>
  <c r="D9" i="5"/>
  <c r="D8" i="5"/>
  <c r="D7" i="5"/>
  <c r="D6" i="5"/>
  <c r="D5" i="5"/>
  <c r="D4" i="5"/>
  <c r="C10" i="5"/>
  <c r="C9" i="5"/>
  <c r="C8" i="5"/>
  <c r="C7" i="5"/>
  <c r="C6" i="5"/>
  <c r="C5" i="5"/>
  <c r="C4" i="5"/>
  <c r="B10" i="5"/>
  <c r="B9" i="5"/>
  <c r="B8" i="5"/>
  <c r="B7" i="5"/>
  <c r="B6" i="5"/>
  <c r="B5" i="5"/>
  <c r="B4" i="5"/>
  <c r="F20" i="5"/>
  <c r="E20" i="5"/>
  <c r="D20" i="5"/>
  <c r="C20" i="5"/>
  <c r="B20" i="5"/>
  <c r="F19" i="5"/>
  <c r="E19" i="5"/>
  <c r="D19" i="5"/>
  <c r="C19" i="5"/>
  <c r="B19" i="5"/>
  <c r="F18" i="5"/>
  <c r="E18" i="5"/>
  <c r="D18" i="5"/>
  <c r="C18" i="5"/>
  <c r="B18" i="5"/>
  <c r="F17" i="5"/>
  <c r="E17" i="5"/>
  <c r="D17" i="5"/>
  <c r="C17" i="5"/>
  <c r="B17" i="5"/>
  <c r="F16" i="5"/>
  <c r="E16" i="5"/>
  <c r="D16" i="5"/>
  <c r="C16" i="5"/>
  <c r="B16" i="5"/>
  <c r="F15" i="5"/>
  <c r="E15" i="5"/>
  <c r="D15" i="5"/>
  <c r="C15" i="5"/>
  <c r="B15" i="5"/>
  <c r="F14" i="5"/>
  <c r="E14" i="5"/>
  <c r="D14" i="5"/>
  <c r="C14" i="5"/>
  <c r="B14" i="5"/>
  <c r="B5" i="4" l="1"/>
  <c r="C5" i="4" l="1"/>
  <c r="I5" i="4"/>
  <c r="D5" i="4"/>
  <c r="E5" i="4"/>
  <c r="F5" i="4"/>
  <c r="I6" i="4" l="1"/>
  <c r="E6" i="4"/>
  <c r="D6" i="4"/>
  <c r="C6" i="4"/>
  <c r="B6" i="4"/>
  <c r="I7" i="4"/>
  <c r="E7" i="4"/>
  <c r="D7" i="4"/>
  <c r="C7" i="4"/>
  <c r="B7" i="4"/>
  <c r="B8" i="4"/>
  <c r="I13" i="4"/>
  <c r="H13" i="4"/>
  <c r="F13" i="4"/>
  <c r="E13" i="4"/>
  <c r="D13" i="4"/>
  <c r="C13" i="4"/>
  <c r="B13" i="4"/>
  <c r="I12" i="4"/>
  <c r="H12" i="4"/>
  <c r="F12" i="4"/>
  <c r="E12" i="4"/>
  <c r="D12" i="4"/>
  <c r="C12" i="4"/>
  <c r="B12" i="4"/>
  <c r="I11" i="4"/>
  <c r="G11" i="4"/>
  <c r="E11" i="4"/>
  <c r="D11" i="4"/>
  <c r="C11" i="4"/>
  <c r="B11" i="4"/>
  <c r="B10" i="4"/>
  <c r="I10" i="4"/>
  <c r="E10" i="4"/>
  <c r="D10" i="4"/>
  <c r="C10" i="4"/>
  <c r="B9" i="4"/>
  <c r="I9" i="4"/>
  <c r="E9" i="4"/>
  <c r="D9" i="4"/>
  <c r="C9" i="4"/>
  <c r="I8" i="4"/>
  <c r="E8" i="4"/>
  <c r="D8" i="4"/>
  <c r="C8" i="4"/>
  <c r="C10" i="2" l="1"/>
  <c r="C17" i="2"/>
  <c r="C8" i="2"/>
  <c r="C12" i="2"/>
  <c r="C5" i="2"/>
  <c r="C2" i="2"/>
  <c r="C7" i="2"/>
  <c r="C18" i="2"/>
  <c r="C9" i="2"/>
  <c r="C3" i="2"/>
  <c r="C6" i="2"/>
  <c r="C15" i="2"/>
  <c r="C13" i="2"/>
  <c r="C14" i="2"/>
  <c r="C11" i="2"/>
  <c r="C16" i="2"/>
  <c r="C4" i="2"/>
</calcChain>
</file>

<file path=xl/comments1.xml><?xml version="1.0" encoding="utf-8"?>
<comments xmlns="http://schemas.openxmlformats.org/spreadsheetml/2006/main">
  <authors>
    <author>Valdson Silva Cleto</author>
    <author>User</author>
  </authors>
  <commentList>
    <comment ref="B5" authorId="0" shapeId="0">
      <text>
        <r>
          <rPr>
            <b/>
            <sz val="9"/>
            <color indexed="81"/>
            <rFont val="Segoe UI"/>
            <family val="2"/>
          </rPr>
          <t>Valdson Silva Cleto:</t>
        </r>
        <r>
          <rPr>
            <sz val="9"/>
            <color indexed="81"/>
            <rFont val="Segoe UI"/>
            <family val="2"/>
          </rPr>
          <t xml:space="preserve">
Os números em vermelho não bateram exatamente com os valores que estavam na tabela utiizada até 2015. Publicar com esses números novos.</t>
        </r>
      </text>
    </comment>
    <comment ref="C5" authorId="0" shapeId="0">
      <text>
        <r>
          <rPr>
            <b/>
            <sz val="9"/>
            <color indexed="81"/>
            <rFont val="Segoe UI"/>
            <family val="2"/>
          </rPr>
          <t>Valdson Silva Cleto:</t>
        </r>
        <r>
          <rPr>
            <sz val="9"/>
            <color indexed="81"/>
            <rFont val="Segoe UI"/>
            <family val="2"/>
          </rPr>
          <t xml:space="preserve">
Os nomes das variáveis na base de dados de 2008 não permitem identificar a qual faixa etária a variável de serviços de convivência se refere.
A relação entre variável e faixa etária que bate com os valores na tabela que estava sendo usada até 2015 é a seguinte:
0 a 6 anos: ServiçodeConvivênc_C
6 a 14 anos: ServiçodeConvivênc_B
15 a 17 anos: ServiçodeConvivênc_A
18 a 29 anos: ServiçodeConvivênc
Idosos: ServiçosdeConvivên
</t>
        </r>
      </text>
    </comment>
    <comment ref="A11" authorId="1" shapeId="0">
      <text>
        <r>
          <rPr>
            <b/>
            <sz val="9"/>
            <color indexed="81"/>
            <rFont val="Segoe UI"/>
            <charset val="1"/>
          </rPr>
          <t>Valdson:</t>
        </r>
        <r>
          <rPr>
            <sz val="9"/>
            <color indexed="81"/>
            <rFont val="Segoe UI"/>
            <charset val="1"/>
          </rPr>
          <t xml:space="preserve">
Foi sugerido fazer 2 gráficos: um com toda série histórica apenas para o SCFV e outro por faixa etária, apenas de 2014 a 2016 e unindo as colunas 18 a 29 e 30 a 59 anos. 
Decidi fazer o segundo gráfico apenas para 2015 e 2016, sem unir as colunas de 18 a 29 e 30 a 59, pois para unir as colunas teríamos que decidir entre duas opções imprecisas: contar apenas os CRAS que executam os serviços nas duas faixas, o que seria ruim por desconsiderar os que oferecem em apenas uma das duas faixas, ou então contar todos os que oferecem o serviço em qualquer uma das duas faixas, o que geraria uma informação incorreta, pois o percentual não representaria o atendimento em toda a faixa de 18 a 59 anos.</t>
        </r>
      </text>
    </comment>
    <comment ref="B33" authorId="0" shapeId="0">
      <text>
        <r>
          <rPr>
            <b/>
            <sz val="9"/>
            <color indexed="81"/>
            <rFont val="Segoe UI"/>
            <family val="2"/>
          </rPr>
          <t>Valdson Silva Cleto:</t>
        </r>
        <r>
          <rPr>
            <sz val="9"/>
            <color indexed="81"/>
            <rFont val="Segoe UI"/>
            <family val="2"/>
          </rPr>
          <t xml:space="preserve">
Aparentemente esse é o percentual de serviço disponível na rede referenciada, sendo o percentual  de serviço executado diretamente igual a 85,0%</t>
        </r>
      </text>
    </comment>
  </commentList>
</comments>
</file>

<file path=xl/comments2.xml><?xml version="1.0" encoding="utf-8"?>
<comments xmlns="http://schemas.openxmlformats.org/spreadsheetml/2006/main">
  <authors>
    <author>User</author>
  </authors>
  <commentList>
    <comment ref="A4" authorId="0" shapeId="0">
      <text>
        <r>
          <rPr>
            <b/>
            <sz val="9"/>
            <color indexed="81"/>
            <rFont val="Segoe UI"/>
            <charset val="1"/>
          </rPr>
          <t>Valdson:</t>
        </r>
        <r>
          <rPr>
            <sz val="9"/>
            <color indexed="81"/>
            <rFont val="Segoe UI"/>
            <charset val="1"/>
          </rPr>
          <t xml:space="preserve">
Foi sugerido fazer apenas com 2014 a 2016, apenas por faixa etária e unindo as colunas 18 a 29 e 30 a 59 anos. 
Não será necessário unir as colunas de 18 a 59 anos por que em 2014 tem informação das duas faixas de idade.</t>
        </r>
      </text>
    </comment>
  </commentList>
</comments>
</file>

<file path=xl/comments3.xml><?xml version="1.0" encoding="utf-8"?>
<comments xmlns="http://schemas.openxmlformats.org/spreadsheetml/2006/main">
  <authors>
    <author>Valdson Silva Cleto</author>
  </authors>
  <commentList>
    <comment ref="A11" authorId="0" shapeId="0">
      <text>
        <r>
          <rPr>
            <b/>
            <sz val="9"/>
            <color indexed="81"/>
            <rFont val="Segoe UI"/>
            <family val="2"/>
          </rPr>
          <t>Valdson Silva Cleto:</t>
        </r>
        <r>
          <rPr>
            <sz val="9"/>
            <color indexed="81"/>
            <rFont val="Segoe UI"/>
            <family val="2"/>
          </rPr>
          <t xml:space="preserve">
Acho que está errado o cálculo "sobre o total de respondentes", porque o cálculo foi feito na verdade sobre o total de CRAS que concediam algum benefício, não sobre o total de respondentes. Os CRAS que não concediam nenhum benefício não respondem quais benefícios concederam, mas é como se respondessem não para cada um dos benefícios. Ele respondeu, não é um CRAS não respondente.
Obs: Estava errado em 2015, está certo como feito para 2016.</t>
        </r>
      </text>
    </comment>
  </commentList>
</comments>
</file>

<file path=xl/comments4.xml><?xml version="1.0" encoding="utf-8"?>
<comments xmlns="http://schemas.openxmlformats.org/spreadsheetml/2006/main">
  <authors>
    <author>Valdson Silva Cleto</author>
  </authors>
  <commentList>
    <comment ref="A12" authorId="0" shapeId="0">
      <text>
        <r>
          <rPr>
            <b/>
            <sz val="9"/>
            <color indexed="81"/>
            <rFont val="Segoe UI"/>
            <charset val="1"/>
          </rPr>
          <t>Valdson Silva Cleto:</t>
        </r>
        <r>
          <rPr>
            <sz val="9"/>
            <color indexed="81"/>
            <rFont val="Segoe UI"/>
            <charset val="1"/>
          </rPr>
          <t xml:space="preserve">
O dicionário das variáveis não nomeia qual conjunto de variáveis da questão 48 se refere a qual dos 3 serviços socioassistencias da questão. Assumido que está na ordem do questionário.</t>
        </r>
      </text>
    </comment>
    <comment ref="A19" authorId="0" shapeId="0">
      <text>
        <r>
          <rPr>
            <b/>
            <sz val="9"/>
            <color indexed="81"/>
            <rFont val="Segoe UI"/>
            <charset val="1"/>
          </rPr>
          <t>Valdson Silva Cleto:</t>
        </r>
        <r>
          <rPr>
            <sz val="9"/>
            <color indexed="81"/>
            <rFont val="Segoe UI"/>
            <charset val="1"/>
          </rPr>
          <t xml:space="preserve">
Total de municípios respondentes.</t>
        </r>
      </text>
    </comment>
  </commentList>
</comments>
</file>

<file path=xl/comments5.xml><?xml version="1.0" encoding="utf-8"?>
<comments xmlns="http://schemas.openxmlformats.org/spreadsheetml/2006/main">
  <authors>
    <author>User</author>
  </authors>
  <commentList>
    <comment ref="A1" authorId="0" shapeId="0">
      <text>
        <r>
          <rPr>
            <b/>
            <sz val="9"/>
            <color indexed="81"/>
            <rFont val="Segoe UI"/>
            <charset val="1"/>
          </rPr>
          <t>User:</t>
        </r>
        <r>
          <rPr>
            <sz val="9"/>
            <color indexed="81"/>
            <rFont val="Segoe UI"/>
            <charset val="1"/>
          </rPr>
          <t xml:space="preserve">
Fazer a série histórica</t>
        </r>
      </text>
    </comment>
  </commentList>
</comments>
</file>

<file path=xl/comments6.xml><?xml version="1.0" encoding="utf-8"?>
<comments xmlns="http://schemas.openxmlformats.org/spreadsheetml/2006/main">
  <authors>
    <author>Valdson Silva Cleto</author>
  </authors>
  <commentList>
    <comment ref="A10" authorId="0" shapeId="0">
      <text>
        <r>
          <rPr>
            <b/>
            <sz val="9"/>
            <color indexed="81"/>
            <rFont val="Segoe UI"/>
            <charset val="1"/>
          </rPr>
          <t>Valdson Silva Cleto:</t>
        </r>
        <r>
          <rPr>
            <sz val="9"/>
            <color indexed="81"/>
            <rFont val="Segoe UI"/>
            <charset val="1"/>
          </rPr>
          <t xml:space="preserve">
No dicionário de variáveis, esse item está fora da ordem em que ele aparece no questionário, está no final da lista. Bom verificar se o dicionário está certo.</t>
        </r>
      </text>
    </comment>
  </commentList>
</comments>
</file>

<file path=xl/comments7.xml><?xml version="1.0" encoding="utf-8"?>
<comments xmlns="http://schemas.openxmlformats.org/spreadsheetml/2006/main">
  <authors>
    <author>User</author>
  </authors>
  <commentList>
    <comment ref="F2" authorId="0" shapeId="0">
      <text>
        <r>
          <rPr>
            <b/>
            <sz val="9"/>
            <color indexed="81"/>
            <rFont val="Segoe UI"/>
            <charset val="1"/>
          </rPr>
          <t>User:</t>
        </r>
        <r>
          <rPr>
            <sz val="9"/>
            <color indexed="81"/>
            <rFont val="Segoe UI"/>
            <charset val="1"/>
          </rPr>
          <t xml:space="preserve">
Fazer por região</t>
        </r>
      </text>
    </comment>
  </commentList>
</comments>
</file>

<file path=xl/sharedStrings.xml><?xml version="1.0" encoding="utf-8"?>
<sst xmlns="http://schemas.openxmlformats.org/spreadsheetml/2006/main" count="523" uniqueCount="321">
  <si>
    <t xml:space="preserve">I - Serviços de Proteção Social Básica: </t>
  </si>
  <si>
    <t xml:space="preserve">a) Serviço de Proteção e Atendimento Integral à Família (PAIF); </t>
  </si>
  <si>
    <t xml:space="preserve">b) Serviço de Convivência e Fortalecimento de Vínculos; </t>
  </si>
  <si>
    <t xml:space="preserve">PROTEÇÃO SOCIAL ESPECIAL - Média Complexidade </t>
  </si>
  <si>
    <t xml:space="preserve">1. Serviço de Proteção e Atendimento Especializado a Famílias Indivíduos – PAEFI; </t>
  </si>
  <si>
    <t xml:space="preserve">2. Serviço Especializado de Abordagem Social; </t>
  </si>
  <si>
    <t xml:space="preserve">3. Serviço de proteção social a adolescentes em cumprimento de medida socioeducativa de Liberdade Assistida (LA) e de Prestação de Serviços à Comunidade (PSC); </t>
  </si>
  <si>
    <t>PROTEÇÃO SOCIAL ESPECIAL - Alta Complexidade</t>
  </si>
  <si>
    <t>Gráfico 5: Quantidade de municípios segundo oferta e local de oferta de serviço especializado em abordagem social – Brasil, 2015</t>
  </si>
  <si>
    <t xml:space="preserve">4. Serviço de Proteção Social Especial para Pessoas com Deficiência, Idosos(as) e suas Famílias; </t>
  </si>
  <si>
    <t>5. Serviço Especializado para Pessoas em Situação de Rua.</t>
  </si>
  <si>
    <t>Gráfico 9:  Percentual de CRAS por Serviços de Convivência e Fortalecimento de Vínculos - Brasil, 2008 a 2015</t>
  </si>
  <si>
    <t>Gráfico 10: Percentual de CRAS com serviços de Convivência e Fortalecimento de Vínculos segundo grande região -  Brasil, 2015</t>
  </si>
  <si>
    <t>Gráfico 11 - Percentual de CRAS que concedem benefícios eventuais, por tipo de benefício - Brasil, 2010 a 2015</t>
  </si>
  <si>
    <t>Gráfico 12: Percentual de CRAS por concessão de benefícios segundo tipo de benefício por região - Brasil, 2015</t>
  </si>
  <si>
    <t>Tabela 1: Quantidade de CREAS que realizam o Serviço Especializado em Abordagem Social segundo regiões – Brasil, 2015</t>
  </si>
  <si>
    <t>Gráfico 13: Percentual de Centros POP segundo atividades realizadas - Brasil, 2015</t>
  </si>
  <si>
    <t>pergunta 13 questionario CRAS</t>
  </si>
  <si>
    <t>Equipe volante  q25 CRAS</t>
  </si>
  <si>
    <t>SCFV no Centro de Convivencia por publico - q6 questionario Centro de Convivencia</t>
  </si>
  <si>
    <t>q 16 questionario Centro de Convivencia</t>
  </si>
  <si>
    <t>Quantidade de municipios e tipo de beneficio ofertado q 39 de GM</t>
  </si>
  <si>
    <t>q15 questionario CREAS</t>
  </si>
  <si>
    <t>q14 questionario CREAS - desafio</t>
  </si>
  <si>
    <r>
      <t xml:space="preserve">q20 questionario </t>
    </r>
    <r>
      <rPr>
        <u/>
        <sz val="11"/>
        <color theme="1"/>
        <rFont val="Calibri"/>
        <family val="2"/>
        <scheme val="minor"/>
      </rPr>
      <t>creas</t>
    </r>
  </si>
  <si>
    <t>q24 do gm</t>
  </si>
  <si>
    <t>q22 questionario centrodia</t>
  </si>
  <si>
    <t>q25 questionario centrodia</t>
  </si>
  <si>
    <t>29 e 30 de gm</t>
  </si>
  <si>
    <t>32 e 33 de gm</t>
  </si>
  <si>
    <t>q33 de acolhimento</t>
  </si>
  <si>
    <t xml:space="preserve"> 1. Serviço de Acolhimento </t>
  </si>
  <si>
    <t>Acolhida em Grupo realizada por profissional de nível superior</t>
  </si>
  <si>
    <t>Acolhida Particularizada realizada por técnico de nível superior</t>
  </si>
  <si>
    <t>Acompanhamento de famílias</t>
  </si>
  <si>
    <t>Acompanhamento dos encaminhamentos realizados</t>
  </si>
  <si>
    <t>Atendimento particularizado de famílias ou indivíduos</t>
  </si>
  <si>
    <t>Registro do acompanhamento familiar em prontuário</t>
  </si>
  <si>
    <t>Elaboração do Plano de Acompanhamento Familiar</t>
  </si>
  <si>
    <t>Grupo/oficina com famílias</t>
  </si>
  <si>
    <t>Visitas Domiciliares</t>
  </si>
  <si>
    <t>Palestras</t>
  </si>
  <si>
    <t>Campanhas ou eventos comunitários</t>
  </si>
  <si>
    <t>Apoio para obtenção de Documentação pessoal</t>
  </si>
  <si>
    <t>Orientação/acompanhamento para inserção no BPC</t>
  </si>
  <si>
    <t>Encaminhamento de famílias ou indivíduos para a rede de serviço socioassistencial</t>
  </si>
  <si>
    <t>Encaminhamento de famílias ou indivíduos para outras políticas públicas (educação, habitação, trabalho, etc.)</t>
  </si>
  <si>
    <t>Encaminhamento para obtenção de Benefícios Eventuais</t>
  </si>
  <si>
    <t>Encaminhamento para inserção/atualização de famílias no Cadastro Único</t>
  </si>
  <si>
    <t>Total CRAS respondentes</t>
  </si>
  <si>
    <t>Ano/Serviço</t>
  </si>
  <si>
    <t>SCFV</t>
  </si>
  <si>
    <t>0 a 6 anos</t>
  </si>
  <si>
    <t>7 a 14 anos</t>
  </si>
  <si>
    <t>15 a 17 anos</t>
  </si>
  <si>
    <t>Idosos</t>
  </si>
  <si>
    <t>Total</t>
  </si>
  <si>
    <t>18 a 29 anos</t>
  </si>
  <si>
    <t>30 a 59 anos</t>
  </si>
  <si>
    <t>Tabela usada até 2015:</t>
  </si>
  <si>
    <t>Tabela corrigida e atualizada para 2016:</t>
  </si>
  <si>
    <t>Norte</t>
  </si>
  <si>
    <t>Nordeste</t>
  </si>
  <si>
    <t>Sudeste</t>
  </si>
  <si>
    <t>Sul</t>
  </si>
  <si>
    <t>Centro-Oeste</t>
  </si>
  <si>
    <t>Visitas domiciliares da equipe técnica da Unidade à família do usuário</t>
  </si>
  <si>
    <t>Reuniões com grupos de famílias dos usuários</t>
  </si>
  <si>
    <t>Oficinas</t>
  </si>
  <si>
    <t>Reforço Escolar</t>
  </si>
  <si>
    <t>Atividades recreativas</t>
  </si>
  <si>
    <t>Discussão de casos com outros profissionais da rede</t>
  </si>
  <si>
    <t>Atividades com participação da Comunidade</t>
  </si>
  <si>
    <t>Não realiza nenhuma das atividades</t>
  </si>
  <si>
    <t>Total Centros de Convivencia respondentes</t>
  </si>
  <si>
    <t>Em Outra Unidade Pública</t>
  </si>
  <si>
    <t>Em Entidade Conveniada</t>
  </si>
  <si>
    <t xml:space="preserve">Na própria sede do órgão gestor </t>
  </si>
  <si>
    <t>Não realiza</t>
  </si>
  <si>
    <t>Total municípios respondentes</t>
  </si>
  <si>
    <t>Auxílio Funeral</t>
  </si>
  <si>
    <t>Auxílio Natalidade</t>
  </si>
  <si>
    <t>Benefício Eventual para situação de calamidade pública.</t>
  </si>
  <si>
    <t>Outros benefícios eventuais para famílias em situação de vulnerabilidade temporária</t>
  </si>
  <si>
    <t>Benefício/Ano</t>
  </si>
  <si>
    <t>Auxílios relacionados à segurança alimentar</t>
  </si>
  <si>
    <t>Passagens</t>
  </si>
  <si>
    <t>Outros</t>
  </si>
  <si>
    <t>Percentuais calculados sobre o total de respondentes. Os valores são mais próximos dos apresentados em 2014.Verificar aba de tratamento de dados.</t>
  </si>
  <si>
    <t>Total CREAS respondentes</t>
  </si>
  <si>
    <t>SITUAÇÕES</t>
  </si>
  <si>
    <t>Ciclo de vida do usuário em situação de violência/violação de direitos</t>
  </si>
  <si>
    <t>Crianças e Adolescentes</t>
  </si>
  <si>
    <t>Mulheres adultas</t>
  </si>
  <si>
    <t>Homens adultos</t>
  </si>
  <si>
    <t>Não atende este tipo de situação</t>
  </si>
  <si>
    <t>Violência física</t>
  </si>
  <si>
    <t>Violência psicológica</t>
  </si>
  <si>
    <t>Abuso sexual/ Violência Sexual</t>
  </si>
  <si>
    <t>Exploração sexual</t>
  </si>
  <si>
    <t>Negligência ou abandono</t>
  </si>
  <si>
    <t>Tráfico de pessoas</t>
  </si>
  <si>
    <t>Trabalho infantil</t>
  </si>
  <si>
    <t>Situação de rua</t>
  </si>
  <si>
    <t>Discriminação em decorrência da orientação sexual</t>
  </si>
  <si>
    <t>Discriminação em decorrência da raça/etnia</t>
  </si>
  <si>
    <t>Pessoas com deficiência vítimas de violência/violação de direitos</t>
  </si>
  <si>
    <t>Família/Indivíduos com pessoas em Serviços de Acolhimento</t>
  </si>
  <si>
    <t>Famílias com adolescentes em Cumprimento de Medida Socioeducativa</t>
  </si>
  <si>
    <t>Famílias com pessoas adultas em privação de liberdade</t>
  </si>
  <si>
    <t>Famílias com pessoas egressas do sistema prisional</t>
  </si>
  <si>
    <t>Acompanhamento individual/familiar</t>
  </si>
  <si>
    <t>Registro do acompanhamento individual/familiar em prontuário</t>
  </si>
  <si>
    <t>Elaboração de relatórios técnicos sobre casos em acompanhamento</t>
  </si>
  <si>
    <t>Grupo/oficina com famílias ou indivíduos</t>
  </si>
  <si>
    <t>Orientação jurídico-social</t>
  </si>
  <si>
    <t>Visitas domiciliares</t>
  </si>
  <si>
    <t>Ações de mobilização e sensibilização para o enfrentamento das situações de violação de direitos</t>
  </si>
  <si>
    <t>Encaminhamento para o CRAS</t>
  </si>
  <si>
    <t>Encaminhamento para serviços da rede de saúde</t>
  </si>
  <si>
    <t>Encaminhamento para o Conselho Tutelar</t>
  </si>
  <si>
    <t>Encaminhamento para órgãos de defesa e responsabilização (Defensoria Pública, Promotoria, Ministério Público, etc.)</t>
  </si>
  <si>
    <t>Outros.</t>
  </si>
  <si>
    <t>Serviço especializado em abordagem social</t>
  </si>
  <si>
    <t>No Centro POP</t>
  </si>
  <si>
    <t>No CREAS</t>
  </si>
  <si>
    <t>Total (lembrando que a questão é de múltipla escolha, não se trata do somatório)</t>
  </si>
  <si>
    <t>Total de municípios respondentes</t>
  </si>
  <si>
    <t>No(s) CREAS</t>
  </si>
  <si>
    <t>No(s) Centro POP</t>
  </si>
  <si>
    <t>Na sede/órgão gestor do município</t>
  </si>
  <si>
    <t>Em outra unidade pública</t>
  </si>
  <si>
    <t>    "Sim, com equipe exclusiva para Abordagem"</t>
  </si>
  <si>
    <t>    "Sim, sem equipe exclusiva para Abordagem"</t>
  </si>
  <si>
    <t>    "Não realiza com a equipe deste CREAS, mas no município existe Serviço de Abordagem referenciado a este CREAS"</t>
  </si>
  <si>
    <t>    "Não realiza nem possui Serviço de Abordagem referenciado a este CREAS"</t>
  </si>
  <si>
    <t>Brasil</t>
  </si>
  <si>
    <t>Percentuais</t>
  </si>
  <si>
    <t>abordagem</t>
  </si>
  <si>
    <t>Atende no CREAS do município.</t>
  </si>
  <si>
    <t>Encaminha para o CREAS de outro município.</t>
  </si>
  <si>
    <t>Encaminha para o CREAS Regional ao qual está vinculado.</t>
  </si>
  <si>
    <t>Encaminha para o CRAS</t>
  </si>
  <si>
    <t>Encaminha para alguma entidade conveniada no município.</t>
  </si>
  <si>
    <t>Atende em outra unidade pública (exceto CREAS) de acompanhamento de adolescentes em cumprimento de medida socioeducativa (LA) ou (PSC) do município.</t>
  </si>
  <si>
    <t>É atendido pela equipe de referência da proteção social especial do município (órgão gestor).</t>
  </si>
  <si>
    <t>Outro.</t>
  </si>
  <si>
    <t>Não atende</t>
  </si>
  <si>
    <t>Acolhida e escuta inicial</t>
  </si>
  <si>
    <t>Estudo social</t>
  </si>
  <si>
    <t>Orientação sobre acesso ao BPC e outros benefícios</t>
  </si>
  <si>
    <t>Orientação e apoio para obtenção de documentação pessoal</t>
  </si>
  <si>
    <t>Orientação para realização de cadastro no Cadúnico</t>
  </si>
  <si>
    <t>Elaboração de Plano de Acompanhamento Individual e/ou Familiar</t>
  </si>
  <si>
    <t>Oficinas e atividades coletivas de convívio e socialização</t>
  </si>
  <si>
    <t>Encaminhamento para a rede de serviços socioassistenciais</t>
  </si>
  <si>
    <t>Encaminhamento para os serviços da rede de saúde</t>
  </si>
  <si>
    <t>Total centros DIA respondentes</t>
  </si>
  <si>
    <t>Encaminhamento para política de educação</t>
  </si>
  <si>
    <t>Encaminhamento para serviços/Unidades das demais políticas públicas</t>
  </si>
  <si>
    <t>Encaminhamento para órgãos de defesa de direitos (Defensoria Pública, Ministério Público, Conselho Tutelar etc.)</t>
  </si>
  <si>
    <t>Acompanhamento dos usuários encaminhados para a rede</t>
  </si>
  <si>
    <t>Registro de informações em prontuário</t>
  </si>
  <si>
    <t>Elaboração de relatórios sobre casos em acompanhamento</t>
  </si>
  <si>
    <t>Atividades com a família do usuário</t>
  </si>
  <si>
    <t>Mobilização dos usuários para acesso ao serviço</t>
  </si>
  <si>
    <t>Apoio e orientação aos cuidadores familiares</t>
  </si>
  <si>
    <t>Orientação sobre tecnologias assistivas</t>
  </si>
  <si>
    <t>Orientação e apoio nos autocuidados</t>
  </si>
  <si>
    <t>Palestras e Oficinas envolvendo a comunidade</t>
  </si>
  <si>
    <t>Provimento de bens materiais</t>
  </si>
  <si>
    <t>Provisão de órteses e próteses</t>
  </si>
  <si>
    <t>Número de pessoas com deficiência e/ou dependência atendidas nas Unidades Centro DIA durante o mês de Agosto de 2016</t>
  </si>
  <si>
    <t>Crianças de 0 a 6 anos, com deficiência</t>
  </si>
  <si>
    <t>Crianças de 7 a 14 anos, com deficiência</t>
  </si>
  <si>
    <t>Adolescentes de 15 a 17 anos, com deficiência</t>
  </si>
  <si>
    <t>Adultos (18 a 59 anos) com deficiência</t>
  </si>
  <si>
    <t>Idosos (60 anos ou mais) com deficiência</t>
  </si>
  <si>
    <t>Idosos (60 anos ou mais) dependentes pela idade, sem deficiência</t>
  </si>
  <si>
    <t>Número de Unidades Centro DIA que atenderam pessoas com deficiência e/ou dependência durante o mês de Agosto de 2016</t>
  </si>
  <si>
    <t>Percentual de Unidades Centro DIA que atenderam pessoas com deficiência e/ou dependência durante o mês de Agosto de 2016</t>
  </si>
  <si>
    <t xml:space="preserve">Informaram o Total </t>
  </si>
  <si>
    <t>Não sabem o total</t>
  </si>
  <si>
    <t>Quantidade</t>
  </si>
  <si>
    <t>%</t>
  </si>
  <si>
    <t>Outras</t>
  </si>
  <si>
    <t>Avaliação para concessão de aluguel social</t>
  </si>
  <si>
    <t>Orientação sociojurídica</t>
  </si>
  <si>
    <t>Mobilização de família extensa ou ampliada</t>
  </si>
  <si>
    <t>Ações de mobilização e participação social</t>
  </si>
  <si>
    <t>Encaminhamento de famílias ou indivíduos para políticas de educação (jovens e adultos, etc.)</t>
  </si>
  <si>
    <t>Mobilização e fortalecimento do convívio e de redes sociais de apoio</t>
  </si>
  <si>
    <t>Encaminhamento para órgãos de defesa de direitos (Defensoria Pública, Poder Judiciário, Ministério Público, Conselho Tutelar, etc.)</t>
  </si>
  <si>
    <t>Encaminhamento de famílias ou indivíduos para demais políticas (trabalho, habitação, etc.)</t>
  </si>
  <si>
    <t>Estudo de Caso/Discussão de casos em equipe</t>
  </si>
  <si>
    <t>Registro das informações em prontuário</t>
  </si>
  <si>
    <t>Elaboração de relatórios técnicos sobre casos em atendimento</t>
  </si>
  <si>
    <t>Encaminhamento de usuários/dependentes de substâncias psicoativas para serviços da rede de saúde</t>
  </si>
  <si>
    <t>Encaminhamento para outros serviços da rede de saúde</t>
  </si>
  <si>
    <t>Apoio para obtenção de documentação pessoal</t>
  </si>
  <si>
    <t>Fonte: MDS, Censo SUAS 2015</t>
  </si>
  <si>
    <t>Total Centros POP respondentes</t>
  </si>
  <si>
    <t>Total unidades de acolhimento respondentes</t>
  </si>
  <si>
    <t>Atendimento psicossocial individualizado</t>
  </si>
  <si>
    <t>Atendimento psicossocial em grupos</t>
  </si>
  <si>
    <t>Atendimento psicossocial das famílias das pessoas acolhidas (orientação familiar)</t>
  </si>
  <si>
    <t>Palestras / oficinas</t>
  </si>
  <si>
    <t>Encaminhamento para retirada de documentos</t>
  </si>
  <si>
    <t>Passeios com usuários</t>
  </si>
  <si>
    <t>Promove contato e a participação da família na vida do usuário</t>
  </si>
  <si>
    <t>Promove atividades com participação da Comunidade</t>
  </si>
  <si>
    <t>Promove a participação das pessoas acolhidas em serviços, projetos ou atividades existentes na comunidade</t>
  </si>
  <si>
    <t>Acompanhamento escolar</t>
  </si>
  <si>
    <t>Organização e discussão das rotinas das Unidades com os acolhidos</t>
  </si>
  <si>
    <t>Não realiza nenhuma das atividades listadas</t>
  </si>
  <si>
    <t>Envio de relatório semestral para o Judiciário (exclusivo para acolhimento de criança/adolescente)</t>
  </si>
  <si>
    <t>O município possui Serviço de Acolhimento em Família Acolhedora para Criança e Adolescente?</t>
  </si>
  <si>
    <t>Municípios com alguma família, criança ou adolescente</t>
  </si>
  <si>
    <t>Total de famílias, crianças ou adolescentes</t>
  </si>
  <si>
    <t>1 a 5</t>
  </si>
  <si>
    <t>6 a 15</t>
  </si>
  <si>
    <t>16 a 30</t>
  </si>
  <si>
    <t>31 a 50</t>
  </si>
  <si>
    <t>Mais de 50</t>
  </si>
  <si>
    <t>Nenhuma</t>
  </si>
  <si>
    <t>Municípos por quantidade de famílias, crianças ou adolescentes</t>
  </si>
  <si>
    <t>Região</t>
  </si>
  <si>
    <t>SCFV na rede referenciada ao CRAS por público - Qtde de CRAS pergunta 19 questionario CRAS</t>
  </si>
  <si>
    <t>q2 e q31 de acolhimento. Por publico (q2), percentual de quem tem PIA</t>
  </si>
  <si>
    <t>Crianças/adolescentes</t>
  </si>
  <si>
    <t>Jovens egressos de serviços de acolhimento</t>
  </si>
  <si>
    <t>Exclusivamente crianças/adolescentes com deficiência</t>
  </si>
  <si>
    <t>Adultos e famílias</t>
  </si>
  <si>
    <t>Mulheres em situação de violência doméstica ou familiar</t>
  </si>
  <si>
    <t>Pessoas idosas</t>
  </si>
  <si>
    <t>q2 e q31 de acolhimento. Por publico (q2), percentual de quem tem PIA (q31)</t>
  </si>
  <si>
    <t>Unidades de acolhimento</t>
  </si>
  <si>
    <t>Exclusivamente para pessoas adultas com deficiência</t>
  </si>
  <si>
    <t>Unidades de acolhimento que responderam se fazem PIA de cada pessoa acolhida</t>
  </si>
  <si>
    <t>Percentual das Unidades de acolhimento que fazem Plano Individual de Atendimento (PIA) de cada pessoa acolhida (das que responderam à pergunta)</t>
  </si>
  <si>
    <t>c)Beneficios eventuais</t>
  </si>
  <si>
    <t>d) Equipe Volante</t>
  </si>
  <si>
    <t xml:space="preserve">2. Serviço de Acolhimento em Família Acolhedora; </t>
  </si>
  <si>
    <t>18 a 59 anos</t>
  </si>
  <si>
    <t>Ano</t>
  </si>
  <si>
    <t>Gráfico X - Percentual de CRAS que executavam diretamente os Serviços de Convivência e Fortalecimento de Vínculos - Brasil, 2008 a 2016</t>
  </si>
  <si>
    <t>Gráfico X - Percentual de CRAS que executavam diretamente os Serviços de Convivência e Fortalecimento de Vínculos, por faixa etária atendida - Brasil, 2015 a 2016</t>
  </si>
  <si>
    <t>Gráfico X - Percentual de CRAS que executam diretamente os serviços de Convivência e Fortalecimento de Vínculos, segundo grandes regiões - Brasil, 2016</t>
  </si>
  <si>
    <t>Gráfico X - Quantidade de CRAS cuja rede referenciada oferta Serviço de Convivência e Fortalecimento de Vínculos, por público - Brasil, 2015 e 2016</t>
  </si>
  <si>
    <t>Percentual</t>
  </si>
  <si>
    <t>Número</t>
  </si>
  <si>
    <t>Gráfico X - Número de CREAS que oferecem atendimento pelo PAEFI, por situações e ciclos de vida do usuário em situação de violência/violação de direitos - Brasil, 2016</t>
  </si>
  <si>
    <t>Gráfico X - Percentual de CREAS por ações e atividades realizadas no âmbito do PAEFI - Brasil, 2016</t>
  </si>
  <si>
    <t>Número da pergunta no questionário CREAS</t>
  </si>
  <si>
    <t>Gráfico X - Percentual de Centros DIA por ações e atividades desenvolvidas no âmbito do “Serviço de Proteção Social Especial para Pessoas com Deficiência e Pessoas Idosas e suas famílias” - Brasil, 2016</t>
  </si>
  <si>
    <t>Gráfico X - Número de pessoas com deficiência e/ou dependência atendidas nas Unidades Centro DIA durante o mês de agosto de 2016, por faixa etária e situação de deficiência ou dependência - Brasil, agosto de 2016</t>
  </si>
  <si>
    <t>Gráfico X - Percentual dos Centros POP segundo atividades realizadas - Brasil, 2016</t>
  </si>
  <si>
    <t>Unidades de acolhimento que fazem PIA de cada pessoa acolhida</t>
  </si>
  <si>
    <t>Unidades de acolhimento que não fazem PIA de cada pessoa acolhida</t>
  </si>
  <si>
    <t>Gráfico X - Percentual de Unidades de Acolhimento que fazem Plano Individual de Atendimento (PIA) de cada pessoa acolhida, por público - Brasil, 2016</t>
  </si>
  <si>
    <t>Gráfico X - Percentual de municípios que possuem Serviço de Acolhimento em Família Acolhedora para Criança e Adolescente, e percentual dos que possuem esse serviço e têm o serviço regulamentado por lei municipal, por região - Brasil, 2016</t>
  </si>
  <si>
    <t>Percentual de municípios que possuem Serviço de Acolhimento em Família Acolhedora para Criança e Adolescente</t>
  </si>
  <si>
    <t>Percentual de municípios que possuem o Serviço de Acolhimento em Família Acolhedora, e ele é regulamentado por lei municipal</t>
  </si>
  <si>
    <t>Gráfico X - Percentual de municípios por quantidade de famílias no município cadastradas pelo Serviço de Acolhimento em Família Acolhedora para Criança e Adolescente e aptas a receber as crianças/adolesenctes com medidas protetivas e percentual de municípios por quantidade de crianças/adolescentes que estão sendo acolhidas por meio do Serviço de Família Acolhedora no município - Brasil, 2016</t>
  </si>
  <si>
    <t>Percentual de municípios por quantidade de crianças/adolescentes que estão sendo acolhidas por meio do Serviço de Família Acolhedora no município</t>
  </si>
  <si>
    <t>Percentual de municípios por quantidade de famílias cadastradas pelo Serviço e aptas a receber as crianças/adolescentes com medidas protetivas</t>
  </si>
  <si>
    <t>Os CRAS, Centros de Referência de Assistência Social, são unidades de atendimento voltadas à prestação de serviços de assistência social, fortalecendo a convivência com a família e com a comunidade. Dentre os 8.240 CRAS em funcionamento em 2016, 99,4% realizaram visitas domiciliares, 99,1% fizeram acompanhamento de famílias e 98,4% encaminharam as famílias para inserção ou atualização no Cadastro Único. A atividade exectuada pelo menor percentual de CRAS em 2016 foi a elaboração de Plano de Acompanhamento Familiar, atividade realizada por 68,6% dos CRAS.</t>
  </si>
  <si>
    <t>Ao analisar a oferta de Serviços de Convivência e Fortalecimento de Vínculos (SCFV) por região, verifica-se que a região Norte apresenta os maiores percentuais de CRAS que o executam, seguida da região Nordeste e da região Centro-Oeste. Essa ordem se repete nas faixas etárias dos idosos e das pessoas de 0 a 17 anos. Nas faixas etárias de 18 a 59 anos ocorre uma inversão entre as regiões, e a região Sudeste é a que apresenta os maiores percentuas de CRAS que atenderam esse público, seguida da região Sul.</t>
  </si>
  <si>
    <t xml:space="preserve">Os CRAS, Centros de Referência de Assistência Social, podem executar diretamente os Serviços de Convivência e Fortalecimento de Vínculos (SCFV), ou através de rede referenciada ao CRAS. Em 2016, houve queda no número de CRAS que possuíam rede referenciada para oferta desses serviços, em todas as faixas etárias de público alvo. </t>
  </si>
  <si>
    <t>Gráfico X - Percentual de Centros de Convivência que executaram diretamente os Serviços de Convivência e Fortalecimento de Vínculos, por público - Brasil, 2014 a 2016</t>
  </si>
  <si>
    <t>O percentual de Centros de Convivência que executaram diretamente os Serviços de Convivência e Fortalecimento de Vínculos se manteve praticamente estável entre 2014 e 2016 em todas as faíxas etárias. O público de 7 a 14 foi o que teve o maior percentual de atendimento nos Centros de Convivência, em 2016, 72,0% dos 8.453 Centros de Convivência atenderam a essa faixa etária. Os públicos menos atendidos foram os das faixas etárias de 18 a 29 anos e de 30 a 59 anos, que foram atendido em apenas 22,9% e 23,8% dos Centros de Convivência, respectivamente.</t>
  </si>
  <si>
    <t>Em 2016, 97,0% dos 5.481 municípios que responderam ao Censo SUAS, concederam Auxílio Funeral, 93,2% concederam outros benefícios eventuais para famílias em situação de vulnerabilidade temporária, 75,5% concederam benefício eventual pra situação de calamidade pública e 70,7% concederam Auxílio Natalidade.</t>
  </si>
  <si>
    <t>Gráfico X - Percentual de CRAS que concederam benefícios eventuais, por tipo de benefício - Brasil, 2010 a 2016</t>
  </si>
  <si>
    <t>Em 2016 houve um crescimento no percentual de CRAS que concederam benefícios eventuais maior do que o crescimento que já vinha ocorrendo desde 2010. O percentual de CRAS que concederam auxílios relacionados à segurança alimentar, que já tinha subido de 45,1% em 2010 para 62,8% em 2015, chegou em 2016 a 73,6%. O percentual de CRAS que concederam Auxílio Funeral, que já tinha crescido de 31,0% em 2010 para 45,8% em 2015, chegou em 2016 a 56,7%. Também cresceu significativamente o percentual de CRAS que concederam Auxílio Natalidade, de 38,4% em 2015 para 44,7% em 2016, e que concederam passagens, de 32,0% em 2015 para 39,8% em 2016. O percentual de CRAS que concederam outros benefícios chegou em 2016 a 30,4%, ante 25,7% em 2015.</t>
  </si>
  <si>
    <t>Na análise das regiões do país, observa-se que a região Centro-Oeste, com 617 unidades de CRAS, foi a que teve maior percentual de CRAS que concederam os auxílios relacionados à segurança alimentar (85,1%), o Auxílio Funeral (71,6%), o Auxílio Natalidade (62,4%) e passagens (54,9%).  Já no que se refere a outros benefícios, a região Sul foi a que teve o maior percentual de CRAS que concederam, com 39,1% das suas 1.517 unidades de CRAS.</t>
  </si>
  <si>
    <t>As situações de violência ou de violação de direitos para as quais teve mais CREAS oferecendo atendimento pelo PAEFI em 2016, contando separadamente o atendimento de cada CREAS a cada cico de vida do usuário (atendimento a crianças e adolescentes, atendimento a mulheres adultas, atendimento a homens adultos e atendimento a idosos), foram as situações de violência psicológica, de violência física e de pessoas com deficiência vítimas de violência ou de violação de direitos. Para as crianças e adolescentes, a situação para a qual teve mais CREAS oferecendo atendimento foi a de abuso sexual ou de violência sexual: 2464 de um total de 2521 CREAS ofereceram atendimento pelo PAEFI a essa situação. No atendimento a mulheres adultas, as situações de violência física e violência psicológica foram as que tiveram maior número de CREAS oferecendo atendimento. Já para os homens adultos, a situação que teve o maior número de CREAS oferecendo atendimento foi a de pessoas com deficiência vítimas de violência ou de violação de direitos. Violência psicológica foi a situação, em número de CREAS, com maior oferta de atendimento para idosos. As situações que tiveram o maior número de CREAS que não oferecem atendimento para elas foram as de tráfico de pessoas, de famílias com adolescentes em cumprimento de medida socioeducativa e de famílias com pessoas egressas do sistema prisional.</t>
  </si>
  <si>
    <t>Do total de 2521 unidades de CREAS existentes em 2016 no Brasil, de 99,0%  a 99,5% delas realizaram as seguintes ações e atividades no âmbito do PAEFI: visitas domiciliares, acompanhamento individual ou familiar, encaminhamento para o CRAS, encaminhamento para serviços da rede de saúde e encaminhamento de famílias ou indivíduos para a rede de serviço socioassistencial. As ações e atividades que tiveram menor número de CREAS realizando-as foram as de orientação jurídico-social e de grupo ou oficina com famílias ou indivíduos, realizadas por 75,2% e 72,5% das unidades, respectivamente.</t>
  </si>
  <si>
    <t xml:space="preserve">
 De acordo com o Censo SUAS 2016, 1.537 CREAS (61,0%) realizaram a abordagem social, sendo 374 (14,8%) com equipes exclusivas para abordagem e 1.163 (46,1%) sem equipe exclusiva. Outras 185 (7,3%) unidades não realizaram o serviço com sua própria equipe. Nestes casos, o serviço é referenciado ao CREAS, mas ofertado por outra entidade. Em relação a 2015, houve redução nos percentuais de CREAS que realizaram a abordagem social com equipe exclusiva, sem equipe exclusiva e por outra entidade referenciada ao CREAS. Portanto, houve um aumento no percentual e também no número absoluto de CREAS que não realizavam e não possuíam serviço de abordagem referenciado, passando de 28,1% dos CREAS em 2015 para 31,7% em 2016. 
Nas regiões, só na região Sul não houve queda no percentual de CREAS que realizaram a abordagem social com equipe exclusiva, mas ainda assim essa região continua tendo o menor percentual entre as regiões, com 12,0%. A região Sul foi também a única que teve aumento no percentual de CREAS que não realizavam o serviço de abordagem com equipe do CREAS, mas que tinham outra entidade referenciada ao CREAS realizando o serviço. Nas regiões Centro-Oeste e Nordeste houve aumento no percentual de CREAS que realizaram a abordagem social sem equipe exclusiva, de 55,3% em 2015 para 57,8% em 2016 no Centro-Oeste e de 49,9% em 2015 para 50,3% em 2016 no Nordeste. Finalmente, apenas na região Centro-Oeste não houve aumento no percentual de CREAS que não realizavam nem possuíam o serviço de abordagem referenciado a eles.</t>
  </si>
  <si>
    <t>Gráfico X - Percentual de municípios por forma de atendimento a adolescentes em cumprimento de Medida Socioeducativa de Liberdade Assistida (LA) e de Prestação de Serviços à Comunidade (PSC) - Brasil, 2016</t>
  </si>
  <si>
    <t xml:space="preserve">Em 2016, 37,5% dos municípios atendiam a adolescentes em cumprimento de Medida Socioeducativa de Liberdade Assistida (LA) e de Prestação de Serviços à Comunidade (PSC) no CREAS do município, enquanto 35,7% dos municípios encaminhava o atendimento desses adolescentes para o CRAS. Constatou-se ainda que 16,3% dos municípios atendiam esses adolescentes pela equipe de referência da proteção social especial do município (órgão gestor) e que 9,9% dos municípios não atendiam adolescentes em cumprimento de LA e de PSC.
 </t>
  </si>
  <si>
    <t>Gráfico X - Número e percentual de CREAS que realizam o Serviço de Proteção Social a Adolescentes em Cumprimento de Medida Socioeducativa de Liberdade Assistida (LA) e de Prestação de Serviços à Comunidade (PSC) - Brasil, 2010 a 1016</t>
  </si>
  <si>
    <t xml:space="preserve">As ações e atividades mais desenvolvidas pelos 1.342 Centros DIA do país no âmbito do “Serviço de Proteção Social Especial para Pessoas com Deficiência e Pessoas Idosas e suas famílias”, em 2016, foram a acolhida e escuta inicial, o encaminhamento para os serviços da rede de saúde, o encaminhamento para a rede de serviços socioassistenciais e a orientação sobre acesso ao BPC e outros benefícios, ações e atividades estas que foram desenvolvidas por 94,0% a 96,6% dos Centros DIA. Na outra ponta, apenas 23,7% dos Centros DIA fizeram provimento de bens materiais, e 22,8% fizeram provisão de órteses e próteses.
 </t>
  </si>
  <si>
    <t xml:space="preserve">Durante o mês de agosto de 2016, 66.251 adultos com deficiência foram atendidos em 85,7% das 1.342 unidades Centro DIA do país. No mesmo mês foram atendidas 45.021 crianças de 7 a 14 anos com deficiência, atendimento realizado em 77,5% das unidades. Um percentual menor de unidades, 50,4%, realizaram atendimento de idosos com deficiência, atendendo 7.883 idosos nessa condição, e apenas 16,5% das unidades Centro DIA atenderam naquele mesmo mês 5.268 idosos sem deficiência, mas dependentes pela idade.
 </t>
  </si>
  <si>
    <t>As atividades que, segundo relato das 5.781 unidades de acolhimento existentes no país em 2016, tiveram maior percentual de unidades que as promoveram sistematicamente, foram: elaboração de relatórios técnicos sobre casos em acompanhamento, relatado por 85,9% das unidades; discussão de casos com outros profissionais da rede, relatado por 85,2% das unidades; encaminhamento para retirada de documentos, relatado por 82,9% das unidades e passeios com usuários, relatado por 82,5% das unidades. As atividades que tiveram menor percentual de unidades que relataram que as promoveram sistematicamente, foram: envio de relatório semestral para o judiciário (exclusivo para acolhimento de criança ou adolescente) e realização de reuniões com grupos de famílias dos usuários, relatadas por 49,0% e 45,1% das unidades, respectivamente. 0,9% das unidades relataram que não realizam nenhuma das atividades listadas.</t>
  </si>
  <si>
    <t>522 municípios brasileiros em 2016 possuíam serviço de acolhimento em família acolhedora para criança e adolescente. Desses, um terço não tinham nenhuma família cadastrada pelo serviço e aptas a receber as crianças ou adolescentes com medidas protetivas, e 55,0% não tinham nenhuma criança ou adolescente sendo acolhidas por meio do serviço de família acolhedora no município. Quase a metade, 49,6%, desses 522 municípios tinham apenas de 1 a 5 famílias cadastradas e aptas a receber as crianças ou adolescentes, e 32,0% dos municípios tinham apenas de 1 a 5 crianças ou adolescentes sendo acolhidas por meio do serviço. Apenas 0,6% dos 522 municípios tinham mais de 50 famílias cadastradas pelo serviço e aptas a receber as crianças ou adolescentes e 0,8% tinham mais de 50 crianças ou adolescentes sendo acolhidas.</t>
  </si>
  <si>
    <t>Gráfico X - Percentual de CRAS que desenvolveram ações e atividades no âmbito do Serviço de Proteção e Atendimento Integral à Família (PAIF) - Brasil, 2016</t>
  </si>
  <si>
    <r>
      <rPr>
        <sz val="11"/>
        <color rgb="FFFF0000"/>
        <rFont val="Calibri"/>
        <family val="2"/>
        <scheme val="minor"/>
      </rPr>
      <t>Os CRAS, Centros de Referência de Assistência Social, são unidades de atendimento voltadas à prestação de serviços de assistência social, fortalecendo a convivência com a família e com a comunidade.</t>
    </r>
    <r>
      <rPr>
        <sz val="11"/>
        <color theme="1"/>
        <rFont val="Calibri"/>
        <family val="2"/>
        <scheme val="minor"/>
      </rPr>
      <t xml:space="preserve"> Dentre os CRAS em funcionamento em 2016, 85,9% prestavam diretamente serviços de Convivência e Fortalecimento de Vínculos (SCFV), o menor percentual desde 2011. O maior percentual foi registrado em 2013, com 92,6% dos CRAS. Ao analisar por público alvo dos serviços, verifica-se que 78,9% dos CRAS atenderam idosos, número que ficou 2,8 pontos percentuais abaixo do que foi registrado em 2015. Quedas similares, entre 2,2 e 3,0 pontos percentuais ocorreu em todas as faixas etárias de público alvo. Obs.: Os percentuais dos anos de 2008 a 2010 foram recalculados e corrigidos em relação aos valores publicados nas edições do Censo SUAS dos anos anteriores.</t>
    </r>
  </si>
  <si>
    <t>incluir fonte  e verificar se o titulo mantem o padrão dos demais graficos - gestão, equipamentos, etc</t>
  </si>
  <si>
    <r>
      <t xml:space="preserve">Gráfico X - Percentual de unidades de Centros de Convivência que promoveram </t>
    </r>
    <r>
      <rPr>
        <b/>
        <sz val="11"/>
        <color rgb="FFFF0000"/>
        <rFont val="Calibri"/>
        <family val="2"/>
        <scheme val="minor"/>
      </rPr>
      <t>sistematicamente cada uma das modalidades de</t>
    </r>
    <r>
      <rPr>
        <b/>
        <sz val="11"/>
        <color theme="1"/>
        <rFont val="Calibri"/>
        <family val="2"/>
        <scheme val="minor"/>
      </rPr>
      <t xml:space="preserve"> atividades do Serviço de Convivência, </t>
    </r>
    <r>
      <rPr>
        <b/>
        <sz val="11"/>
        <color rgb="FFFF0000"/>
        <rFont val="Calibri"/>
        <family val="2"/>
        <scheme val="minor"/>
      </rPr>
      <t>de um total de 8.444 unidades de Centros de Convivência</t>
    </r>
    <r>
      <rPr>
        <b/>
        <sz val="11"/>
        <color theme="1"/>
        <rFont val="Calibri"/>
        <family val="2"/>
        <scheme val="minor"/>
      </rPr>
      <t xml:space="preserve"> - Brasil, 2016</t>
    </r>
  </si>
  <si>
    <r>
      <t xml:space="preserve">O percentual de Centros de Convivência que executaram diretamente os Serviços de Convivência e Fortalecimento de Vínculos se manteve praticamente </t>
    </r>
    <r>
      <rPr>
        <sz val="11"/>
        <color rgb="FFFF0000"/>
        <rFont val="Calibri"/>
        <family val="2"/>
        <scheme val="minor"/>
      </rPr>
      <t>estável entre 2014 e 2016 em todas as faíxas etária</t>
    </r>
    <r>
      <rPr>
        <sz val="11"/>
        <color theme="1"/>
        <rFont val="Calibri"/>
        <family val="2"/>
        <scheme val="minor"/>
      </rPr>
      <t>s.</t>
    </r>
    <r>
      <rPr>
        <sz val="11"/>
        <color rgb="FFFF0000"/>
        <rFont val="Calibri"/>
        <family val="2"/>
        <scheme val="minor"/>
      </rPr>
      <t xml:space="preserve"> O público de 7 a 14 foi o que teve o maior percentual de atendimento nos Centros de Convivência, em 2016, 72,0% dos 8.453 Centros de Convivência atenderam a essa faixa etária. Os públicos menos atendidos foram os das faixas etárias de 18 a 29 anos e de 30 a 59 anos, que foram atendido em apenas 22,9% e 23,8% dos Centros</t>
    </r>
    <r>
      <rPr>
        <sz val="11"/>
        <color theme="1"/>
        <rFont val="Calibri"/>
        <family val="2"/>
        <scheme val="minor"/>
      </rPr>
      <t xml:space="preserve"> de Convivência, respectivamente.</t>
    </r>
  </si>
  <si>
    <r>
      <t xml:space="preserve">Gráfico X - Percentual de municípios que concederam benefícios eventuais, por tipo de benefício ofertado, </t>
    </r>
    <r>
      <rPr>
        <b/>
        <sz val="11"/>
        <color rgb="FFFF0000"/>
        <rFont val="Calibri"/>
        <family val="2"/>
        <scheme val="minor"/>
      </rPr>
      <t>de um total de 5.481 municípios</t>
    </r>
    <r>
      <rPr>
        <b/>
        <sz val="11"/>
        <color theme="1"/>
        <rFont val="Calibri"/>
        <family val="2"/>
        <scheme val="minor"/>
      </rPr>
      <t xml:space="preserve"> - Brasil, 2016</t>
    </r>
  </si>
  <si>
    <r>
      <t xml:space="preserve">Gráfico X - Percentual de CRAS por concessão de benefícios, segundo tipo de benefício, </t>
    </r>
    <r>
      <rPr>
        <b/>
        <sz val="12"/>
        <color rgb="FFFF0000"/>
        <rFont val="Calibri"/>
        <family val="2"/>
      </rPr>
      <t>segundo</t>
    </r>
    <r>
      <rPr>
        <b/>
        <sz val="12"/>
        <color rgb="FF000000"/>
        <rFont val="Calibri"/>
        <family val="2"/>
        <charset val="1"/>
      </rPr>
      <t xml:space="preserve"> grandes regiões - Brasil, 2016</t>
    </r>
  </si>
  <si>
    <t xml:space="preserve">Inserir fonte. </t>
  </si>
  <si>
    <t xml:space="preserve">Inserir fonte. Sugiro manter o titulo sem os destaques em vermelho (substituir por "e"). </t>
  </si>
  <si>
    <r>
      <t>Gráfico X - Percentual de unidades de CRAS que possuem equipe técnica adicional (além do número previsto pela NOB-RH/SUAS) específica para deslocamento visando o atendimento à população em territórios extensos e áreas isoladas, segundo grandes regiões - Brasil, 2</t>
    </r>
    <r>
      <rPr>
        <b/>
        <sz val="11"/>
        <color rgb="FFFF0000"/>
        <rFont val="Calibri"/>
        <family val="2"/>
        <scheme val="minor"/>
      </rPr>
      <t>012 a</t>
    </r>
    <r>
      <rPr>
        <b/>
        <sz val="11"/>
        <color theme="1"/>
        <rFont val="Calibri"/>
        <family val="2"/>
        <scheme val="minor"/>
      </rPr>
      <t xml:space="preserve"> 2016</t>
    </r>
  </si>
  <si>
    <r>
      <t>Em 2016, caiu em todas as regiões o percentual</t>
    </r>
    <r>
      <rPr>
        <sz val="12"/>
        <color rgb="FFFF0000"/>
        <rFont val="Calibri"/>
        <family val="2"/>
      </rPr>
      <t xml:space="preserve"> e também o número absoluto de unidades</t>
    </r>
    <r>
      <rPr>
        <sz val="12"/>
        <color rgb="FF000000"/>
        <rFont val="Calibri"/>
        <family val="2"/>
        <charset val="1"/>
      </rPr>
      <t xml:space="preserve"> de CRAS que possuem equipe volante, que é uma equipe técnica adicional (além do número previsto pela NOB-RH/SUAS) específica para deslocamento visando o atendimento à população em territórios extensos e áreas isoladas. A região Norte é a que tinha o maior percentual de unidades de CRAS que possuem equipe volante, com 35,2%, seguida da região Centro-Oeste, com 28,4%.</t>
    </r>
  </si>
  <si>
    <t>Inserir fonte. Como é a primeira fala PAEFI vez inserir uma frase sobre o  serviço.</t>
  </si>
  <si>
    <t>Faltou  Fonte. Mexi no titulo. Como é a primeira fala PAIF vez inserir uma frase sobre o  serviço.</t>
  </si>
  <si>
    <t>Incluir a fonte. Acredito que possa excluir a introdução do Cras,e falar sobre o SCFV. Há dois graficos - é para escolher?</t>
  </si>
  <si>
    <t>incluir Fonte.  Verificar padrão titulo.</t>
  </si>
  <si>
    <t>Inserir fonte. Sugiro manter o titulo sem os destaques em vermelho. Caso opte por manter assim precisa alterar CRAS aba1. Analise não condiz com o grafico. Da para inserir uma frase sobre o serviço de convivencia no Centro?</t>
  </si>
  <si>
    <t>Inserir fonte. Sugiro manter o titulo sem os destaques em vermelho. Caso opte por manter assim precisa alterar CRAS aba1.  Como é a primeira fala sobre os beneficios sugiuro uma frase explicando do que se trata.</t>
  </si>
  <si>
    <t>Inserir fonte. Titulo "2011".  Analise traz informação de numero absoluto que não é apresentado no grafico sugiro apresentar tal informação entre parentese, se for o caso. Da para explicar o que eé este serviço?</t>
  </si>
  <si>
    <r>
      <t>Gráfico X – Quantidade de Municípios segundo oferta e local de oferta de serviço especializado em abordagem social - B</t>
    </r>
    <r>
      <rPr>
        <b/>
        <sz val="12"/>
        <color rgb="FFFF0000"/>
        <rFont val="Calibri"/>
        <family val="2"/>
        <scheme val="minor"/>
      </rPr>
      <t>rasil, 2016</t>
    </r>
  </si>
  <si>
    <t>Inserir fonte. Analise em percentual e grafico em numero absoluto. Titulo com referencia paenas de 2016.</t>
  </si>
  <si>
    <r>
      <t>O Serviço Especializado em Abordagem Social consiste na identificação, por equipes de educadores sociais, de pessoas e famílias em situação de risco pessoal nos ambientes públicos. Dentre as situações de risco enquadram-se o trabalho infantil, situação de rua, uso abusivo de drogas, exploração sexual de crianças e adolescentes, dentre outras.
A abordagem é realizada em praças, feiras, locais de intensa circulação de pessoas e com existência de comércio, ruas, prédios abandonados, dentre outros espaços, e tem por objetivo garantir direitos por meio de inclusão em rede de serviços socioassistenciais e em outras políticas públicas.
Ao analisar a oferta de serviço especializado em abordagem social pelos municípios em 2016, temos que 3.663 município</t>
    </r>
    <r>
      <rPr>
        <sz val="11"/>
        <rFont val="Calibri"/>
        <family val="2"/>
        <scheme val="minor"/>
      </rPr>
      <t>s, ou, 66,8% do</t>
    </r>
    <r>
      <rPr>
        <sz val="11"/>
        <color theme="1"/>
        <rFont val="Calibri"/>
        <family val="2"/>
        <scheme val="minor"/>
      </rPr>
      <t>s 5.481 municípios que participaram do Censo, declararam não ofertar o serviço, um grande crescimento em relação a 2015, q</t>
    </r>
    <r>
      <rPr>
        <sz val="11"/>
        <color rgb="FFFF0000"/>
        <rFont val="Calibri"/>
        <family val="2"/>
        <scheme val="minor"/>
      </rPr>
      <t>uando 51,5% dos municípi</t>
    </r>
    <r>
      <rPr>
        <sz val="11"/>
        <color theme="1"/>
        <rFont val="Calibri"/>
        <family val="2"/>
        <scheme val="minor"/>
      </rPr>
      <t>os haviam declarado não ofertar o serviço. O local onde o maior número de municípios oferta o serviço é no(s) CREAS, onde 24,1%  dos municípios declararam ofertá-lo (em 2015, 28,9% dos municípios haviam declarado ofertar o serviço no(s) CREAS).  Na sede ou no órgão gestor do município era o loca</t>
    </r>
    <r>
      <rPr>
        <sz val="11"/>
        <color rgb="FFFF0000"/>
        <rFont val="Calibri"/>
        <family val="2"/>
        <scheme val="minor"/>
      </rPr>
      <t xml:space="preserve">l onde 17,4% dos municípios </t>
    </r>
    <r>
      <rPr>
        <sz val="11"/>
        <color theme="1"/>
        <rFont val="Calibri"/>
        <family val="2"/>
        <scheme val="minor"/>
      </rPr>
      <t>ofertavam o serviço em 2015, caindo esse percentual em 2016 para apenas 7,7%. Houve queda também no número de municípios que ofertavam o serviço especializado em abordagem social nos locais menos frequentes: no(s) Centro POP, em outra unidade pública e em entidade conveniada.</t>
    </r>
  </si>
  <si>
    <r>
      <t>Tabela X - Quantidade de CREAS que realizam o Serviço Especializado em Abordagem Social segundo as grandes regiões –</t>
    </r>
    <r>
      <rPr>
        <b/>
        <sz val="12"/>
        <color rgb="FFFF0000"/>
        <rFont val="Calibri"/>
        <family val="2"/>
        <scheme val="minor"/>
      </rPr>
      <t xml:space="preserve"> Brasil, 2016</t>
    </r>
  </si>
  <si>
    <t>Inserir fonte.  Ou junta-se os dados de 2015 em uma única tabela com 2016, ou analisa apenas 2016. O titulo faz referencia apenas a 2016, assim devera ajustar a analise</t>
  </si>
  <si>
    <r>
      <t xml:space="preserve">O número de CREAS que </t>
    </r>
    <r>
      <rPr>
        <sz val="11"/>
        <color rgb="FFFF0000"/>
        <rFont val="Calibri"/>
        <family val="2"/>
        <scheme val="minor"/>
      </rPr>
      <t xml:space="preserve">realizam </t>
    </r>
    <r>
      <rPr>
        <sz val="11"/>
        <color theme="1"/>
        <rFont val="Calibri"/>
        <family val="2"/>
        <scheme val="minor"/>
      </rPr>
      <t xml:space="preserve">o Serviço de Proteção Social a Adolescentes em Cumprimento de Medida Socioeducativa de Liberdade Assistida (LA) e de Prestação de Serviços à Comunidade (PSC) vem crescendo desde 2010, passando de 1.099 unidades de CREAS naquele ano para 2.018 unidades em 2016. O percentual de CREAS que realizam esse serviço também cresceu, passando de 69,1% dos CREAS em 2010 para 80,0% em 2016, percentual quase igual ao de 2015 (81,0%).
 </t>
    </r>
  </si>
  <si>
    <t>Inserir fonte. Ajustar concordancia.</t>
  </si>
  <si>
    <t>Inserir fonte. Considerandoa  primeira fala deste serviço  inserir uma frase sobre o mesmo no Centro Dia.</t>
  </si>
  <si>
    <t>Inserir fonte. Analise em percentual, se couber ficar entre parentes.</t>
  </si>
  <si>
    <t>Inserir fonte. Considerando primeira apresentação do centro pop pode inserir uma frase sobre seus serviços. O grafico trata apenas de 2016, se for inserir 2015 fazer os ajustes.</t>
  </si>
  <si>
    <r>
      <t>Em 2016, a</t>
    </r>
    <r>
      <rPr>
        <sz val="11"/>
        <color rgb="FFFF0000"/>
        <rFont val="Calibri"/>
        <family val="2"/>
        <scheme val="minor"/>
      </rPr>
      <t xml:space="preserve">ssim como em 2015, </t>
    </r>
    <r>
      <rPr>
        <sz val="11"/>
        <color theme="1"/>
        <rFont val="Calibri"/>
        <family val="2"/>
        <scheme val="minor"/>
      </rPr>
      <t xml:space="preserve">no conjunto de 22 atividades realizadas pelos Centros POP e pesquisadas pelo Censo SUAS, 13 atividades eram realizadas por mais de 90% dos Centros POP. Neste ano, o apoio para obtenção de documentação pessoal chegou a ser realizado por 100% dos 230 Centros POP do país (eram 235 Centro POP no país em 2015). </t>
    </r>
    <r>
      <rPr>
        <sz val="11"/>
        <color rgb="FFFF0000"/>
        <rFont val="Calibri"/>
        <family val="2"/>
        <scheme val="minor"/>
      </rPr>
      <t xml:space="preserve">Também como em 2015, as </t>
    </r>
    <r>
      <rPr>
        <sz val="11"/>
        <color theme="1"/>
        <rFont val="Calibri"/>
        <family val="2"/>
        <scheme val="minor"/>
      </rPr>
      <t>atividades menos realizadas no conjunto de unidades foram a orientação sociojurídica, agora realizada em 44,3% dos Centros POP, e a avaliação para concessão de aluguel social, cujo percentual caiu de 36,6% das unidades pesquisadas em 2015 para 33,5% em 2016.</t>
    </r>
  </si>
  <si>
    <r>
      <t xml:space="preserve">Em 2016, das 33 Unidades de Acolhimento exclusivas para crianças e adolescentes com deficiência </t>
    </r>
    <r>
      <rPr>
        <sz val="11"/>
        <color rgb="FFFF0000"/>
        <rFont val="Calibri"/>
        <family val="2"/>
        <scheme val="minor"/>
      </rPr>
      <t>que informaram se fazem ou não Plano Individual de Atendimento (PIA) de cada pessoa acolhid</t>
    </r>
    <r>
      <rPr>
        <sz val="11"/>
        <color theme="1"/>
        <rFont val="Calibri"/>
        <family val="2"/>
        <scheme val="minor"/>
      </rPr>
      <t xml:space="preserve">a, 100% informou que faz o PIA </t>
    </r>
    <r>
      <rPr>
        <sz val="11"/>
        <color rgb="FFFF0000"/>
        <rFont val="Calibri"/>
        <family val="2"/>
        <scheme val="minor"/>
      </rPr>
      <t>de cada pessoa acolhida</t>
    </r>
    <r>
      <rPr>
        <sz val="11"/>
        <color theme="1"/>
        <rFont val="Calibri"/>
        <family val="2"/>
        <scheme val="minor"/>
      </rPr>
      <t xml:space="preserve">. 2.965 Unidades de Acolhimento de crianças e adolescentes </t>
    </r>
    <r>
      <rPr>
        <sz val="11"/>
        <color rgb="FFFF0000"/>
        <rFont val="Calibri"/>
        <family val="2"/>
        <scheme val="minor"/>
      </rPr>
      <t>informaram se fazem ou não o PIA de cada pessoa acolhid</t>
    </r>
    <r>
      <rPr>
        <sz val="11"/>
        <color theme="1"/>
        <rFont val="Calibri"/>
        <family val="2"/>
        <scheme val="minor"/>
      </rPr>
      <t>a, sendo que 98,9% delas informaram que fazem. Já nas Unidades de Acolhimento de pessoas idosas, esse percentual foi menor, 80,3% informaram que fazem o PIA de cada pessoa acolhida, das 1.417 que informaram se fazem ou não.</t>
    </r>
  </si>
  <si>
    <t>Inserir fonte.  Da para falar sobre o PIA?   A analise ficou confusa já que  ela trata apenas para quem fez PIA sugiro  excluir o destaque em vermelho onde couber.</t>
  </si>
  <si>
    <r>
      <t xml:space="preserve">Gráfico X - Percentual de Unidades de Acolhimento </t>
    </r>
    <r>
      <rPr>
        <b/>
        <sz val="11"/>
        <color rgb="FFFF0000"/>
        <rFont val="Calibri"/>
        <family val="2"/>
        <scheme val="minor"/>
      </rPr>
      <t>que promovem sistematicamente cada tipo de atividade</t>
    </r>
    <r>
      <rPr>
        <b/>
        <sz val="11"/>
        <color theme="1"/>
        <rFont val="Calibri"/>
        <family val="2"/>
        <scheme val="minor"/>
      </rPr>
      <t xml:space="preserve"> - Brasil, 2016</t>
    </r>
  </si>
  <si>
    <t>Inserir Fonte. Titulo sugiro  "Percentual de Unidades de Acolhimento por tipo de atividade"</t>
  </si>
  <si>
    <r>
      <t xml:space="preserve">Em todo Brasil, apenas 9,5% dos municípios possuíam, em </t>
    </r>
    <r>
      <rPr>
        <sz val="11"/>
        <color rgb="FFFF0000"/>
        <rFont val="Calibri"/>
        <family val="2"/>
        <scheme val="minor"/>
      </rPr>
      <t>2016, serviço de acolhimento em família acolhedora para criança e adolescente, sendo que 7,9% dos mu</t>
    </r>
    <r>
      <rPr>
        <sz val="11"/>
        <color theme="1"/>
        <rFont val="Calibri"/>
        <family val="2"/>
        <scheme val="minor"/>
      </rPr>
      <t>nicípio possuíam o serviço e ele era regulamentado por lei municipal. A região com maior percentual de municípios que possuíam esse serviço era a Sul, com 16,0%, sendo que em 15,0% o serviço era regulamentado por lei municipal,  seguida da região Sudeste, também com percentuais de municípios que possuíam o serviço acima do percentual nacional. As regiões Nordeste e Centro-Oeste tinham os menores percentuais de municípios que possuíam o serviço, apenas 3,7% na Nordeste e 4,8% na Centro-Oeste, sendo que em ambas apenas 2,4% dos municípios possuíam o serviço tendo ele regulamentado por lei municipal.</t>
    </r>
  </si>
  <si>
    <t>Inserir Fonte. "Percentual de municípios que possuem Serviço de Acolhimento em Família Acolhedora para Criança e Adolescente, e  que possuem esse serviço  regulamentado por lei municipal...". Como a analise trata de ter o serviço e te-lo regulamentado iniciar  incluindo a analise de quem tem (9,5%). Da para falar sobre o serviço?</t>
  </si>
  <si>
    <t>Inserir Fonte.  Precisa avaliar se cabe essa analise conjunta.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</si>
</sst>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32" x14ac:knownFonts="1">
    <font>
      <sz val="11"/>
      <color theme="1"/>
      <name val="Calibri"/>
      <family val="2"/>
      <scheme val="minor"/>
    </font>
    <font>
      <b/>
      <sz val="11"/>
      <color theme="1"/>
      <name val="Calibri"/>
      <family val="2"/>
      <scheme val="minor"/>
    </font>
    <font>
      <sz val="9"/>
      <color rgb="FF000000"/>
      <name val="Arial"/>
      <family val="2"/>
    </font>
    <font>
      <u/>
      <sz val="11"/>
      <color theme="1"/>
      <name val="Calibri"/>
      <family val="2"/>
      <scheme val="minor"/>
    </font>
    <font>
      <sz val="11"/>
      <color theme="1"/>
      <name val="Calibri"/>
      <family val="2"/>
      <scheme val="minor"/>
    </font>
    <font>
      <sz val="11"/>
      <color rgb="FFFF0000"/>
      <name val="Calibri"/>
      <family val="2"/>
      <scheme val="minor"/>
    </font>
    <font>
      <b/>
      <sz val="13"/>
      <color theme="1"/>
      <name val="Calibri"/>
      <family val="2"/>
      <scheme val="minor"/>
    </font>
    <font>
      <b/>
      <sz val="12"/>
      <color theme="1"/>
      <name val="Calibri"/>
      <family val="2"/>
      <scheme val="minor"/>
    </font>
    <font>
      <b/>
      <sz val="12"/>
      <name val="Calibri"/>
      <family val="2"/>
      <scheme val="minor"/>
    </font>
    <font>
      <sz val="11"/>
      <name val="Calibri"/>
      <family val="2"/>
      <scheme val="minor"/>
    </font>
    <font>
      <b/>
      <sz val="9"/>
      <color indexed="81"/>
      <name val="Segoe UI"/>
      <charset val="1"/>
    </font>
    <font>
      <sz val="9"/>
      <color indexed="81"/>
      <name val="Segoe UI"/>
      <family val="2"/>
    </font>
    <font>
      <b/>
      <sz val="9"/>
      <color indexed="81"/>
      <name val="Segoe UI"/>
      <family val="2"/>
    </font>
    <font>
      <sz val="12"/>
      <color theme="1"/>
      <name val="Calibri"/>
      <family val="2"/>
      <scheme val="minor"/>
    </font>
    <font>
      <sz val="11"/>
      <color rgb="FF000000"/>
      <name val="Calibri"/>
      <family val="2"/>
      <charset val="1"/>
    </font>
    <font>
      <b/>
      <sz val="13"/>
      <color rgb="FF000000"/>
      <name val="Calibri"/>
      <family val="2"/>
      <charset val="1"/>
    </font>
    <font>
      <b/>
      <sz val="11"/>
      <color rgb="FF000000"/>
      <name val="Calibri"/>
      <family val="2"/>
      <charset val="1"/>
    </font>
    <font>
      <sz val="11"/>
      <name val="Calibri"/>
      <family val="2"/>
      <charset val="1"/>
    </font>
    <font>
      <b/>
      <sz val="12"/>
      <color rgb="FF000000"/>
      <name val="Calibri"/>
      <family val="2"/>
      <charset val="1"/>
    </font>
    <font>
      <sz val="12"/>
      <color rgb="FF000000"/>
      <name val="Calibri"/>
      <family val="2"/>
      <charset val="1"/>
    </font>
    <font>
      <sz val="9"/>
      <color indexed="81"/>
      <name val="Segoe UI"/>
      <charset val="1"/>
    </font>
    <font>
      <sz val="10"/>
      <name val="Arial"/>
      <family val="2"/>
    </font>
    <font>
      <sz val="12"/>
      <name val="Calibri"/>
      <family val="2"/>
      <scheme val="minor"/>
    </font>
    <font>
      <b/>
      <sz val="12"/>
      <color indexed="8"/>
      <name val="Calibri"/>
      <family val="2"/>
      <scheme val="minor"/>
    </font>
    <font>
      <b/>
      <sz val="12"/>
      <color theme="0"/>
      <name val="Calibri"/>
      <family val="2"/>
      <scheme val="minor"/>
    </font>
    <font>
      <sz val="12"/>
      <color indexed="8"/>
      <name val="Calibri"/>
      <family val="2"/>
      <scheme val="minor"/>
    </font>
    <font>
      <sz val="11"/>
      <color theme="0"/>
      <name val="Calibri"/>
      <family val="2"/>
      <scheme val="minor"/>
    </font>
    <font>
      <b/>
      <sz val="13"/>
      <name val="Calibri"/>
      <family val="2"/>
      <scheme val="minor"/>
    </font>
    <font>
      <b/>
      <sz val="11"/>
      <color rgb="FFFF0000"/>
      <name val="Calibri"/>
      <family val="2"/>
      <scheme val="minor"/>
    </font>
    <font>
      <b/>
      <sz val="12"/>
      <color rgb="FFFF0000"/>
      <name val="Calibri"/>
      <family val="2"/>
    </font>
    <font>
      <sz val="12"/>
      <color rgb="FFFF0000"/>
      <name val="Calibri"/>
      <family val="2"/>
    </font>
    <font>
      <b/>
      <sz val="12"/>
      <color rgb="FFFF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rgb="FFF2DCDB"/>
        <bgColor rgb="FFFFFFCC"/>
      </patternFill>
    </fill>
    <fill>
      <patternFill patternType="solid">
        <fgColor theme="8" tint="0.39994506668294322"/>
        <bgColor indexed="64"/>
      </patternFill>
    </fill>
    <fill>
      <patternFill patternType="solid">
        <fgColor theme="8" tint="0.59996337778862885"/>
        <bgColor indexed="64"/>
      </patternFill>
    </fill>
    <fill>
      <patternFill patternType="solid">
        <fgColor theme="8"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
    <xf numFmtId="0" fontId="0" fillId="0" borderId="0"/>
    <xf numFmtId="9" fontId="4" fillId="0" borderId="0" applyFont="0" applyFill="0" applyBorder="0" applyAlignment="0" applyProtection="0"/>
    <xf numFmtId="43" fontId="4" fillId="0" borderId="0" applyFont="0" applyFill="0" applyBorder="0" applyAlignment="0" applyProtection="0"/>
    <xf numFmtId="0" fontId="13" fillId="0" borderId="0"/>
    <xf numFmtId="0" fontId="14" fillId="0" borderId="0"/>
    <xf numFmtId="0" fontId="21" fillId="0" borderId="0"/>
    <xf numFmtId="0" fontId="21" fillId="0" borderId="0"/>
    <xf numFmtId="0" fontId="21" fillId="0" borderId="0"/>
  </cellStyleXfs>
  <cellXfs count="158">
    <xf numFmtId="0" fontId="0" fillId="0" borderId="0" xfId="0"/>
    <xf numFmtId="0" fontId="1" fillId="0" borderId="0" xfId="0" applyFont="1"/>
    <xf numFmtId="0" fontId="2" fillId="0" borderId="0" xfId="0" applyFont="1"/>
    <xf numFmtId="0" fontId="0" fillId="0" borderId="0" xfId="0" applyFont="1" applyFill="1" applyBorder="1" applyAlignment="1">
      <alignment vertical="top" wrapText="1"/>
    </xf>
    <xf numFmtId="0" fontId="0" fillId="0" borderId="0" xfId="0" applyFill="1" applyBorder="1"/>
    <xf numFmtId="0" fontId="1" fillId="0" borderId="0" xfId="0" applyFont="1" applyFill="1" applyBorder="1" applyAlignment="1">
      <alignment wrapText="1"/>
    </xf>
    <xf numFmtId="0" fontId="0" fillId="0" borderId="0" xfId="0" applyFill="1" applyBorder="1" applyAlignment="1">
      <alignment horizontal="center" vertical="center"/>
    </xf>
    <xf numFmtId="164" fontId="0" fillId="0" borderId="0" xfId="1" applyNumberFormat="1" applyFont="1" applyFill="1" applyBorder="1" applyAlignment="1">
      <alignment horizontal="center" vertical="center"/>
    </xf>
    <xf numFmtId="0" fontId="1" fillId="2" borderId="1" xfId="0" applyFont="1" applyFill="1" applyBorder="1"/>
    <xf numFmtId="0" fontId="7" fillId="2" borderId="1" xfId="0" applyFont="1" applyFill="1" applyBorder="1"/>
    <xf numFmtId="0" fontId="8" fillId="2" borderId="1" xfId="0" applyFont="1" applyFill="1" applyBorder="1"/>
    <xf numFmtId="164" fontId="0" fillId="0" borderId="1" xfId="0" applyNumberFormat="1" applyFill="1" applyBorder="1"/>
    <xf numFmtId="164" fontId="9" fillId="0" borderId="1" xfId="1" applyNumberFormat="1" applyFont="1" applyBorder="1"/>
    <xf numFmtId="0" fontId="0" fillId="0" borderId="0" xfId="0" applyAlignment="1">
      <alignment horizontal="center" vertical="center" wrapText="1"/>
    </xf>
    <xf numFmtId="164" fontId="5" fillId="0" borderId="1" xfId="0" applyNumberFormat="1" applyFont="1" applyFill="1" applyBorder="1"/>
    <xf numFmtId="164" fontId="9" fillId="0" borderId="1" xfId="0" applyNumberFormat="1" applyFont="1" applyFill="1" applyBorder="1"/>
    <xf numFmtId="0" fontId="7" fillId="2" borderId="4" xfId="0" applyFont="1" applyFill="1" applyBorder="1"/>
    <xf numFmtId="0" fontId="7" fillId="0" borderId="0" xfId="0" applyFont="1" applyFill="1" applyBorder="1"/>
    <xf numFmtId="0" fontId="0" fillId="0" borderId="0" xfId="0" applyAlignment="1">
      <alignment horizontal="center" vertical="center" wrapText="1"/>
    </xf>
    <xf numFmtId="0" fontId="13" fillId="0" borderId="1" xfId="0" applyFont="1" applyBorder="1"/>
    <xf numFmtId="164" fontId="0" fillId="0" borderId="1" xfId="1" applyNumberFormat="1" applyFont="1" applyBorder="1"/>
    <xf numFmtId="164" fontId="0" fillId="0" borderId="0" xfId="1" applyNumberFormat="1" applyFont="1"/>
    <xf numFmtId="0" fontId="0" fillId="0" borderId="0" xfId="0" applyAlignment="1">
      <alignment vertical="center" wrapText="1"/>
    </xf>
    <xf numFmtId="0" fontId="13" fillId="0" borderId="1" xfId="0" applyFont="1" applyFill="1" applyBorder="1"/>
    <xf numFmtId="0" fontId="13" fillId="0" borderId="0" xfId="0" applyFont="1" applyFill="1" applyBorder="1"/>
    <xf numFmtId="0" fontId="0" fillId="0" borderId="0" xfId="1" applyNumberFormat="1" applyFont="1" applyFill="1" applyBorder="1"/>
    <xf numFmtId="0" fontId="13" fillId="0" borderId="0" xfId="0" applyFont="1" applyBorder="1"/>
    <xf numFmtId="164" fontId="0" fillId="0" borderId="0" xfId="1" applyNumberFormat="1" applyFont="1" applyBorder="1"/>
    <xf numFmtId="0" fontId="0" fillId="0" borderId="0" xfId="0" applyBorder="1"/>
    <xf numFmtId="0" fontId="0" fillId="0" borderId="0" xfId="0" applyFill="1" applyBorder="1" applyAlignment="1">
      <alignment wrapText="1"/>
    </xf>
    <xf numFmtId="0" fontId="0" fillId="0" borderId="1" xfId="0" applyBorder="1" applyAlignment="1">
      <alignment wrapText="1"/>
    </xf>
    <xf numFmtId="0" fontId="14" fillId="0" borderId="0" xfId="4"/>
    <xf numFmtId="0" fontId="16" fillId="3" borderId="1" xfId="4" applyFont="1" applyFill="1" applyBorder="1"/>
    <xf numFmtId="164" fontId="14" fillId="0" borderId="1" xfId="4" applyNumberFormat="1" applyBorder="1"/>
    <xf numFmtId="0" fontId="17" fillId="0" borderId="0" xfId="4" applyFont="1" applyBorder="1" applyAlignment="1">
      <alignment vertical="center" wrapText="1"/>
    </xf>
    <xf numFmtId="0" fontId="17" fillId="0" borderId="0" xfId="4" applyFont="1" applyAlignment="1"/>
    <xf numFmtId="0" fontId="19" fillId="0" borderId="0" xfId="4" applyFont="1"/>
    <xf numFmtId="0" fontId="19" fillId="0" borderId="0" xfId="4" applyFont="1" applyAlignment="1">
      <alignment horizontal="center"/>
    </xf>
    <xf numFmtId="0" fontId="19" fillId="0" borderId="1" xfId="4" applyFont="1" applyBorder="1"/>
    <xf numFmtId="0" fontId="18" fillId="0" borderId="1" xfId="4" applyFont="1" applyBorder="1"/>
    <xf numFmtId="164" fontId="19" fillId="0" borderId="1" xfId="4" applyNumberFormat="1" applyFont="1" applyBorder="1"/>
    <xf numFmtId="0" fontId="19" fillId="0" borderId="0" xfId="4" applyFont="1" applyFill="1" applyAlignment="1">
      <alignment vertical="center" wrapText="1"/>
    </xf>
    <xf numFmtId="0" fontId="18" fillId="0" borderId="0" xfId="4" applyFont="1" applyBorder="1"/>
    <xf numFmtId="1" fontId="19" fillId="0" borderId="0" xfId="4" applyNumberFormat="1" applyFont="1" applyBorder="1"/>
    <xf numFmtId="0" fontId="0" fillId="0" borderId="0" xfId="0" applyFill="1" applyBorder="1" applyAlignment="1">
      <alignment horizontal="center" vertical="center"/>
    </xf>
    <xf numFmtId="0" fontId="0" fillId="0" borderId="0" xfId="0" applyFill="1" applyBorder="1" applyAlignment="1">
      <alignment horizontal="center" vertical="center" textRotation="90" wrapText="1"/>
    </xf>
    <xf numFmtId="164" fontId="0" fillId="0" borderId="0" xfId="1" applyNumberFormat="1" applyFont="1" applyFill="1" applyBorder="1" applyAlignment="1">
      <alignment horizontal="center" vertical="center" textRotation="90" wrapText="1"/>
    </xf>
    <xf numFmtId="0" fontId="7" fillId="0" borderId="0" xfId="3" applyFont="1" applyFill="1" applyAlignment="1">
      <alignment horizontal="center" vertical="center"/>
    </xf>
    <xf numFmtId="0" fontId="7" fillId="0" borderId="0" xfId="3" applyFont="1" applyFill="1" applyAlignment="1">
      <alignment vertical="center"/>
    </xf>
    <xf numFmtId="0" fontId="0" fillId="0" borderId="1" xfId="0" applyBorder="1" applyAlignment="1">
      <alignment horizontal="center" vertical="center" wrapText="1"/>
    </xf>
    <xf numFmtId="3" fontId="0" fillId="0" borderId="1" xfId="2" applyNumberFormat="1" applyFont="1" applyBorder="1"/>
    <xf numFmtId="0" fontId="0" fillId="0" borderId="5" xfId="0" applyFill="1" applyBorder="1" applyAlignment="1">
      <alignment wrapText="1"/>
    </xf>
    <xf numFmtId="3" fontId="0" fillId="0" borderId="0" xfId="0" applyNumberFormat="1" applyAlignment="1">
      <alignment vertical="center"/>
    </xf>
    <xf numFmtId="0" fontId="0" fillId="0" borderId="0" xfId="0" applyBorder="1" applyAlignment="1">
      <alignment wrapText="1"/>
    </xf>
    <xf numFmtId="0" fontId="22" fillId="0" borderId="0" xfId="5" applyFont="1" applyBorder="1" applyAlignment="1"/>
    <xf numFmtId="0" fontId="22" fillId="0" borderId="0" xfId="5" applyFont="1" applyBorder="1" applyAlignment="1">
      <alignment horizontal="center" vertical="center"/>
    </xf>
    <xf numFmtId="0" fontId="22" fillId="0" borderId="0" xfId="5" applyFont="1" applyAlignment="1"/>
    <xf numFmtId="0" fontId="24" fillId="4" borderId="6" xfId="5" applyFont="1" applyFill="1" applyBorder="1" applyAlignment="1">
      <alignment horizontal="center" vertical="center" wrapText="1"/>
    </xf>
    <xf numFmtId="0" fontId="24" fillId="4" borderId="7" xfId="5" applyFont="1" applyFill="1" applyBorder="1" applyAlignment="1">
      <alignment horizontal="center" vertical="center" wrapText="1"/>
    </xf>
    <xf numFmtId="0" fontId="24" fillId="4" borderId="8" xfId="5" applyFont="1" applyFill="1" applyBorder="1" applyAlignment="1">
      <alignment horizontal="center" vertical="center" wrapText="1"/>
    </xf>
    <xf numFmtId="0" fontId="8" fillId="0" borderId="0" xfId="5" applyFont="1" applyFill="1" applyBorder="1" applyAlignment="1">
      <alignment horizontal="center" vertical="center" wrapText="1"/>
    </xf>
    <xf numFmtId="0" fontId="23" fillId="0" borderId="4" xfId="5" applyFont="1" applyBorder="1" applyAlignment="1">
      <alignment horizontal="left" vertical="top" wrapText="1"/>
    </xf>
    <xf numFmtId="1" fontId="25" fillId="0" borderId="0" xfId="6" applyNumberFormat="1" applyFont="1" applyFill="1" applyBorder="1" applyAlignment="1">
      <alignment horizontal="center" vertical="center"/>
    </xf>
    <xf numFmtId="1" fontId="25" fillId="0" borderId="9" xfId="6" applyNumberFormat="1" applyFont="1" applyFill="1" applyBorder="1" applyAlignment="1">
      <alignment horizontal="center" vertical="center"/>
    </xf>
    <xf numFmtId="1" fontId="22" fillId="0" borderId="0" xfId="5" applyNumberFormat="1" applyFont="1" applyFill="1" applyAlignment="1"/>
    <xf numFmtId="0" fontId="23" fillId="5" borderId="4" xfId="5" applyFont="1" applyFill="1" applyBorder="1" applyAlignment="1">
      <alignment horizontal="left" vertical="top" wrapText="1"/>
    </xf>
    <xf numFmtId="1" fontId="25" fillId="6" borderId="0" xfId="6" applyNumberFormat="1" applyFont="1" applyFill="1" applyBorder="1" applyAlignment="1">
      <alignment horizontal="center" vertical="center"/>
    </xf>
    <xf numFmtId="1" fontId="25" fillId="6" borderId="9" xfId="6" applyNumberFormat="1" applyFont="1" applyFill="1" applyBorder="1" applyAlignment="1">
      <alignment horizontal="center" vertical="center"/>
    </xf>
    <xf numFmtId="0" fontId="23" fillId="5" borderId="10" xfId="5" applyFont="1" applyFill="1" applyBorder="1" applyAlignment="1">
      <alignment horizontal="left" vertical="top" wrapText="1"/>
    </xf>
    <xf numFmtId="3" fontId="25" fillId="5" borderId="11" xfId="7" applyNumberFormat="1" applyFont="1" applyFill="1" applyBorder="1" applyAlignment="1">
      <alignment horizontal="center" vertical="center"/>
    </xf>
    <xf numFmtId="3" fontId="25" fillId="5" borderId="12" xfId="7" applyNumberFormat="1" applyFont="1" applyFill="1" applyBorder="1" applyAlignment="1">
      <alignment horizontal="center" vertical="center"/>
    </xf>
    <xf numFmtId="0" fontId="22" fillId="0" borderId="0" xfId="5" applyFont="1" applyAlignment="1">
      <alignment horizontal="left" vertical="top"/>
    </xf>
    <xf numFmtId="3" fontId="0" fillId="0" borderId="0" xfId="0" applyNumberFormat="1" applyAlignment="1">
      <alignment horizontal="center" vertical="center" wrapText="1"/>
    </xf>
    <xf numFmtId="0" fontId="22" fillId="0" borderId="0" xfId="5" applyFont="1" applyAlignment="1">
      <alignment vertical="center" wrapText="1"/>
    </xf>
    <xf numFmtId="0" fontId="9" fillId="0" borderId="0" xfId="0" applyFont="1"/>
    <xf numFmtId="0" fontId="8" fillId="0" borderId="0" xfId="5" applyFont="1" applyBorder="1" applyAlignment="1">
      <alignment horizontal="center"/>
    </xf>
    <xf numFmtId="164" fontId="22" fillId="0" borderId="0" xfId="1" applyNumberFormat="1" applyFont="1" applyAlignment="1">
      <alignment vertical="center" wrapText="1"/>
    </xf>
    <xf numFmtId="0" fontId="23" fillId="0" borderId="0" xfId="5" applyFont="1" applyFill="1" applyBorder="1" applyAlignment="1">
      <alignment horizontal="left" vertical="top" wrapText="1"/>
    </xf>
    <xf numFmtId="3" fontId="25" fillId="0" borderId="0" xfId="7" applyNumberFormat="1" applyFont="1" applyFill="1" applyBorder="1" applyAlignment="1">
      <alignment horizontal="center" vertical="center"/>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ill="1" applyBorder="1" applyAlignment="1">
      <alignment horizontal="right" vertical="center"/>
    </xf>
    <xf numFmtId="3" fontId="0" fillId="0" borderId="0" xfId="0" applyNumberFormat="1"/>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0" fontId="1" fillId="0" borderId="0" xfId="0" applyFont="1" applyAlignment="1"/>
    <xf numFmtId="0" fontId="0" fillId="0" borderId="0" xfId="0" applyAlignment="1">
      <alignment wrapText="1"/>
    </xf>
    <xf numFmtId="0" fontId="0" fillId="0" borderId="0" xfId="0" applyFont="1" applyFill="1" applyBorder="1"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xf>
    <xf numFmtId="164" fontId="0" fillId="0" borderId="2" xfId="0" applyNumberFormat="1" applyFill="1" applyBorder="1" applyAlignment="1"/>
    <xf numFmtId="164" fontId="0" fillId="0" borderId="3" xfId="0" applyNumberFormat="1" applyFill="1" applyBorder="1" applyAlignment="1"/>
    <xf numFmtId="164" fontId="0" fillId="0" borderId="1" xfId="0" applyNumberFormat="1" applyFill="1" applyBorder="1" applyAlignment="1"/>
    <xf numFmtId="3" fontId="0" fillId="0" borderId="1" xfId="0" applyNumberFormat="1" applyFill="1" applyBorder="1"/>
    <xf numFmtId="0" fontId="0" fillId="0" borderId="0" xfId="0" applyAlignment="1"/>
    <xf numFmtId="164" fontId="0" fillId="0" borderId="0" xfId="1" applyNumberFormat="1" applyFont="1" applyAlignment="1">
      <alignment horizontal="center"/>
    </xf>
    <xf numFmtId="3" fontId="0" fillId="0" borderId="0" xfId="0" applyNumberFormat="1" applyAlignment="1">
      <alignment horizontal="center" vertical="center"/>
    </xf>
    <xf numFmtId="164" fontId="0" fillId="0" borderId="0" xfId="1" applyNumberFormat="1" applyFont="1" applyAlignment="1">
      <alignment horizontal="center" vertical="center"/>
    </xf>
    <xf numFmtId="0" fontId="7" fillId="2" borderId="1" xfId="0" applyFont="1" applyFill="1" applyBorder="1" applyAlignment="1">
      <alignment horizontal="center"/>
    </xf>
    <xf numFmtId="0" fontId="8" fillId="2" borderId="1" xfId="0" applyFont="1" applyFill="1" applyBorder="1" applyAlignment="1">
      <alignment horizontal="center"/>
    </xf>
    <xf numFmtId="0" fontId="0" fillId="0" borderId="0" xfId="0" applyFill="1" applyBorder="1" applyAlignment="1">
      <alignment horizontal="center" wrapText="1"/>
    </xf>
    <xf numFmtId="0" fontId="0" fillId="0" borderId="0" xfId="0" applyFont="1" applyAlignment="1">
      <alignment horizontal="center" wrapText="1"/>
    </xf>
    <xf numFmtId="0" fontId="1" fillId="0" borderId="1" xfId="0" applyFont="1" applyBorder="1" applyAlignment="1">
      <alignment vertical="top"/>
    </xf>
    <xf numFmtId="0" fontId="1" fillId="0" borderId="1" xfId="0" applyFont="1" applyFill="1" applyBorder="1" applyAlignment="1">
      <alignment vertical="top" wrapText="1"/>
    </xf>
    <xf numFmtId="0" fontId="1" fillId="0" borderId="1" xfId="0" applyFont="1" applyBorder="1"/>
    <xf numFmtId="0" fontId="1" fillId="0" borderId="1" xfId="0" applyFont="1" applyFill="1" applyBorder="1" applyAlignment="1">
      <alignment horizontal="center" vertical="center"/>
    </xf>
    <xf numFmtId="164" fontId="1" fillId="0" borderId="1" xfId="1"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Font="1" applyFill="1" applyBorder="1" applyAlignment="1">
      <alignment horizontal="center" wrapText="1"/>
    </xf>
    <xf numFmtId="0" fontId="0" fillId="0" borderId="1" xfId="0" applyFill="1" applyBorder="1" applyAlignment="1">
      <alignment horizontal="center"/>
    </xf>
    <xf numFmtId="0" fontId="0" fillId="0" borderId="1" xfId="0" applyFont="1" applyBorder="1" applyAlignment="1">
      <alignment horizontal="center" wrapText="1"/>
    </xf>
    <xf numFmtId="0" fontId="1" fillId="0" borderId="0" xfId="0" applyFont="1" applyFill="1" applyBorder="1" applyAlignment="1">
      <alignment horizontal="left"/>
    </xf>
    <xf numFmtId="0" fontId="26" fillId="0" borderId="0" xfId="0" applyFont="1" applyFill="1" applyBorder="1"/>
    <xf numFmtId="0" fontId="18" fillId="0" borderId="1" xfId="4" applyFont="1" applyBorder="1" applyAlignment="1">
      <alignment horizontal="center"/>
    </xf>
    <xf numFmtId="164" fontId="19" fillId="0" borderId="1" xfId="1" applyNumberFormat="1" applyFont="1" applyBorder="1" applyAlignment="1">
      <alignment horizontal="center"/>
    </xf>
    <xf numFmtId="0" fontId="1" fillId="0" borderId="1" xfId="0" applyFont="1" applyFill="1" applyBorder="1" applyAlignment="1"/>
    <xf numFmtId="1" fontId="19" fillId="0" borderId="1" xfId="1" applyNumberFormat="1" applyFont="1" applyBorder="1" applyAlignment="1">
      <alignment horizontal="center"/>
    </xf>
    <xf numFmtId="1" fontId="0" fillId="0" borderId="0" xfId="1" applyNumberFormat="1" applyFont="1" applyFill="1" applyBorder="1" applyAlignment="1">
      <alignment horizontal="center" vertical="center"/>
    </xf>
    <xf numFmtId="1" fontId="0" fillId="0" borderId="1" xfId="1" applyNumberFormat="1" applyFont="1" applyFill="1" applyBorder="1" applyAlignment="1">
      <alignment horizontal="center" vertical="center"/>
    </xf>
    <xf numFmtId="0" fontId="0" fillId="0" borderId="0" xfId="0" applyFill="1" applyBorder="1" applyAlignment="1">
      <alignment vertical="center"/>
    </xf>
    <xf numFmtId="1" fontId="0" fillId="0" borderId="0" xfId="0" applyNumberFormat="1" applyFont="1" applyFill="1" applyBorder="1" applyAlignment="1">
      <alignment vertical="top" wrapText="1"/>
    </xf>
    <xf numFmtId="0" fontId="1" fillId="0" borderId="0" xfId="0" applyFont="1" applyAlignment="1">
      <alignment horizontal="left"/>
    </xf>
    <xf numFmtId="0" fontId="1" fillId="0" borderId="0" xfId="0" applyFont="1" applyAlignment="1">
      <alignment horizontal="left" wrapText="1"/>
    </xf>
    <xf numFmtId="0" fontId="0" fillId="0" borderId="0" xfId="0" applyFont="1" applyAlignment="1"/>
    <xf numFmtId="0" fontId="0" fillId="0" borderId="1" xfId="0" applyFont="1" applyFill="1" applyBorder="1" applyAlignment="1">
      <alignment wrapText="1"/>
    </xf>
    <xf numFmtId="0" fontId="0" fillId="0" borderId="1" xfId="0" applyFont="1" applyBorder="1" applyAlignment="1">
      <alignment wrapText="1"/>
    </xf>
    <xf numFmtId="164" fontId="0" fillId="0" borderId="1" xfId="1" applyNumberFormat="1" applyFont="1" applyBorder="1" applyAlignment="1">
      <alignment horizontal="center" vertical="center"/>
    </xf>
    <xf numFmtId="0" fontId="5" fillId="0" borderId="0" xfId="0" applyFont="1" applyFill="1" applyBorder="1"/>
    <xf numFmtId="0" fontId="5" fillId="0" borderId="0" xfId="0" applyFont="1" applyFill="1" applyBorder="1" applyAlignment="1">
      <alignment horizontal="center" vertical="center"/>
    </xf>
    <xf numFmtId="0" fontId="5" fillId="0" borderId="0" xfId="0" applyFont="1"/>
    <xf numFmtId="0" fontId="1" fillId="0" borderId="0" xfId="0" applyFont="1" applyFill="1" applyBorder="1" applyAlignment="1">
      <alignment horizontal="left"/>
    </xf>
    <xf numFmtId="0" fontId="0" fillId="0" borderId="0" xfId="0" applyAlignment="1">
      <alignment horizontal="center" vertical="center" wrapText="1"/>
    </xf>
    <xf numFmtId="0" fontId="27" fillId="0" borderId="0" xfId="0" applyFont="1" applyFill="1" applyAlignment="1">
      <alignment horizontal="left" vertical="center" wrapText="1"/>
    </xf>
    <xf numFmtId="0" fontId="8" fillId="0" borderId="0" xfId="0" applyFont="1" applyAlignment="1">
      <alignment horizontal="left"/>
    </xf>
    <xf numFmtId="0" fontId="6" fillId="0" borderId="0" xfId="0" applyFont="1" applyFill="1" applyAlignment="1">
      <alignment horizontal="left" vertical="center" wrapText="1"/>
    </xf>
    <xf numFmtId="0" fontId="15" fillId="0" borderId="0" xfId="4" applyFont="1" applyBorder="1" applyAlignment="1">
      <alignment horizontal="left" vertical="center" wrapText="1"/>
    </xf>
    <xf numFmtId="0" fontId="17" fillId="0" borderId="0" xfId="4" applyFont="1" applyBorder="1" applyAlignment="1">
      <alignment horizontal="center" vertical="center" wrapText="1"/>
    </xf>
    <xf numFmtId="0" fontId="18" fillId="0" borderId="0" xfId="4" applyFont="1" applyBorder="1" applyAlignment="1">
      <alignment horizontal="left"/>
    </xf>
    <xf numFmtId="0" fontId="19" fillId="0" borderId="0" xfId="4" applyFont="1" applyAlignment="1">
      <alignment horizontal="center" vertical="center" wrapText="1"/>
    </xf>
    <xf numFmtId="0" fontId="1" fillId="0" borderId="0" xfId="0" applyFont="1" applyFill="1" applyBorder="1" applyAlignment="1">
      <alignment horizontal="left" wrapText="1"/>
    </xf>
    <xf numFmtId="0" fontId="0" fillId="0" borderId="0" xfId="0" applyFill="1" applyBorder="1" applyAlignment="1">
      <alignment horizontal="center" vertical="center" wrapText="1"/>
    </xf>
    <xf numFmtId="0" fontId="1" fillId="0" borderId="0" xfId="0" applyFont="1" applyAlignment="1">
      <alignment horizontal="left"/>
    </xf>
    <xf numFmtId="0" fontId="7" fillId="0" borderId="0" xfId="3" applyFont="1" applyFill="1" applyAlignment="1">
      <alignment horizontal="left" vertical="center"/>
    </xf>
    <xf numFmtId="0" fontId="8" fillId="0" borderId="0" xfId="5" applyFont="1" applyBorder="1" applyAlignment="1">
      <alignment horizontal="left"/>
    </xf>
    <xf numFmtId="0" fontId="1" fillId="0" borderId="0" xfId="0" applyFont="1" applyAlignment="1">
      <alignment horizontal="left" wrapText="1"/>
    </xf>
    <xf numFmtId="0" fontId="0" fillId="0" borderId="0" xfId="0" applyAlignment="1">
      <alignment horizontal="left" vertical="center" wrapText="1"/>
    </xf>
    <xf numFmtId="0" fontId="1" fillId="0" borderId="1" xfId="0" applyFont="1" applyFill="1" applyBorder="1" applyAlignment="1">
      <alignment horizontal="center" vertical="top" wrapText="1"/>
    </xf>
    <xf numFmtId="0" fontId="1" fillId="0" borderId="1" xfId="0" applyFont="1" applyBorder="1" applyAlignment="1">
      <alignment horizontal="center" vertical="top" wrapText="1"/>
    </xf>
    <xf numFmtId="0" fontId="28" fillId="0" borderId="0" xfId="0" applyFont="1" applyAlignment="1">
      <alignment horizontal="left"/>
    </xf>
    <xf numFmtId="0" fontId="5" fillId="0" borderId="0" xfId="0" applyFont="1" applyAlignment="1">
      <alignment horizontal="left"/>
    </xf>
    <xf numFmtId="0" fontId="0" fillId="0" borderId="0" xfId="0" applyBorder="1" applyAlignment="1">
      <alignment horizontal="center"/>
    </xf>
    <xf numFmtId="1" fontId="0" fillId="0" borderId="0" xfId="0" applyNumberFormat="1"/>
  </cellXfs>
  <cellStyles count="8">
    <cellStyle name="Normal" xfId="0" builtinId="0"/>
    <cellStyle name="Normal 2 2" xfId="5"/>
    <cellStyle name="Normal 2 2 2" xfId="7"/>
    <cellStyle name="Normal 4" xfId="4"/>
    <cellStyle name="Normal 5" xfId="3"/>
    <cellStyle name="Normal_Plan9" xfId="6"/>
    <cellStyle name="Porcentagem" xfId="1" builtinId="5"/>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'1'!$A$1</c:f>
              <c:strCache>
                <c:ptCount val="1"/>
                <c:pt idx="0">
                  <c:v>Gráfico X - Percentual de CRAS que desenvolveram ações e atividades no âmbito do Serviço de Proteção e Atendimento Integral à Família (PAIF) - Brasil, 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'1'!$A$2:$A$18</c:f>
              <c:strCache>
                <c:ptCount val="17"/>
                <c:pt idx="0">
                  <c:v>Elaboração do Plano de Acompanhamento Familiar</c:v>
                </c:pt>
                <c:pt idx="1">
                  <c:v>Campanhas ou eventos comunitários</c:v>
                </c:pt>
                <c:pt idx="2">
                  <c:v>Acolhida em Grupo realizada por profissional de nível superior</c:v>
                </c:pt>
                <c:pt idx="3">
                  <c:v>Registro do acompanhamento familiar em prontuário</c:v>
                </c:pt>
                <c:pt idx="4">
                  <c:v>Apoio para obtenção de Documentação pessoal</c:v>
                </c:pt>
                <c:pt idx="5">
                  <c:v>Grupo/oficina com famílias</c:v>
                </c:pt>
                <c:pt idx="6">
                  <c:v>Acompanhamento dos encaminhamentos realizados</c:v>
                </c:pt>
                <c:pt idx="7">
                  <c:v>Palestras</c:v>
                </c:pt>
                <c:pt idx="8">
                  <c:v>Acolhida Particularizada realizada por técnico de nível superior</c:v>
                </c:pt>
                <c:pt idx="9">
                  <c:v>Encaminhamento para obtenção de Benefícios Eventuais</c:v>
                </c:pt>
                <c:pt idx="10">
                  <c:v>Atendimento particularizado de famílias ou indivíduos</c:v>
                </c:pt>
                <c:pt idx="11">
                  <c:v>Encaminhamento de famílias ou indivíduos para a rede de serviço socioassistencial</c:v>
                </c:pt>
                <c:pt idx="12">
                  <c:v>Encaminhamento de famílias ou indivíduos para outras políticas públicas (educação, habitação, trabalho, etc.)</c:v>
                </c:pt>
                <c:pt idx="13">
                  <c:v>Orientação/acompanhamento para inserção no BPC</c:v>
                </c:pt>
                <c:pt idx="14">
                  <c:v>Encaminhamento para inserção/atualização de famílias no Cadastro Único</c:v>
                </c:pt>
                <c:pt idx="15">
                  <c:v>Acompanhamento de famílias</c:v>
                </c:pt>
                <c:pt idx="16">
                  <c:v>Visitas Domiciliares</c:v>
                </c:pt>
              </c:strCache>
            </c:strRef>
          </c:cat>
          <c:val>
            <c:numRef>
              <c:f>'1'!$C$2:$C$18</c:f>
              <c:numCache>
                <c:formatCode>0.0%</c:formatCode>
                <c:ptCount val="17"/>
                <c:pt idx="0">
                  <c:v>0.68604368932038839</c:v>
                </c:pt>
                <c:pt idx="1">
                  <c:v>0.85558252427184467</c:v>
                </c:pt>
                <c:pt idx="2">
                  <c:v>0.87075242718446599</c:v>
                </c:pt>
                <c:pt idx="3">
                  <c:v>0.91419902912621365</c:v>
                </c:pt>
                <c:pt idx="4">
                  <c:v>0.91444174757281549</c:v>
                </c:pt>
                <c:pt idx="5">
                  <c:v>0.92949029126213589</c:v>
                </c:pt>
                <c:pt idx="6">
                  <c:v>0.94016990291262137</c:v>
                </c:pt>
                <c:pt idx="7">
                  <c:v>0.94320388349514561</c:v>
                </c:pt>
                <c:pt idx="8">
                  <c:v>0.95230582524271845</c:v>
                </c:pt>
                <c:pt idx="9">
                  <c:v>0.95509708737864074</c:v>
                </c:pt>
                <c:pt idx="10">
                  <c:v>0.966626213592233</c:v>
                </c:pt>
                <c:pt idx="11">
                  <c:v>0.97536407766990296</c:v>
                </c:pt>
                <c:pt idx="12">
                  <c:v>0.9779126213592233</c:v>
                </c:pt>
                <c:pt idx="13">
                  <c:v>0.98082524271844662</c:v>
                </c:pt>
                <c:pt idx="14">
                  <c:v>0.98422330097087374</c:v>
                </c:pt>
                <c:pt idx="15">
                  <c:v>0.99053398058252429</c:v>
                </c:pt>
                <c:pt idx="16">
                  <c:v>0.9939320388349514</c:v>
                </c:pt>
              </c:numCache>
            </c:numRef>
          </c:val>
          <c:extLst>
            <c:ext xmlns:c16="http://schemas.microsoft.com/office/drawing/2014/chart" uri="{C3380CC4-5D6E-409C-BE32-E72D297353CC}">
              <c16:uniqueId val="{00000000-B3EC-4957-AB36-8C6F260BB3F4}"/>
            </c:ext>
          </c:extLst>
        </c:ser>
        <c:dLbls>
          <c:showLegendKey val="0"/>
          <c:showVal val="0"/>
          <c:showCatName val="0"/>
          <c:showSerName val="0"/>
          <c:showPercent val="0"/>
          <c:showBubbleSize val="0"/>
        </c:dLbls>
        <c:gapWidth val="182"/>
        <c:axId val="211070752"/>
        <c:axId val="211071312"/>
      </c:barChart>
      <c:catAx>
        <c:axId val="21107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1071312"/>
        <c:crosses val="autoZero"/>
        <c:auto val="1"/>
        <c:lblAlgn val="ctr"/>
        <c:lblOffset val="100"/>
        <c:noMultiLvlLbl val="0"/>
      </c:catAx>
      <c:valAx>
        <c:axId val="211071312"/>
        <c:scaling>
          <c:orientation val="minMax"/>
          <c:max val="1"/>
        </c:scaling>
        <c:delete val="1"/>
        <c:axPos val="b"/>
        <c:numFmt formatCode="0%" sourceLinked="0"/>
        <c:majorTickMark val="none"/>
        <c:minorTickMark val="none"/>
        <c:tickLblPos val="nextTo"/>
        <c:crossAx val="211070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'2'!$B$4</c:f>
              <c:strCache>
                <c:ptCount val="1"/>
                <c:pt idx="0">
                  <c:v>SCFV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'2'!$A$5:$A$13</c:f>
              <c:numCache>
                <c:formatCode>General</c:formatCode>
                <c:ptCount val="9"/>
                <c:pt idx="0">
                  <c:v>2008</c:v>
                </c:pt>
                <c:pt idx="1">
                  <c:v>2009</c:v>
                </c:pt>
                <c:pt idx="2">
                  <c:v>2010</c:v>
                </c:pt>
                <c:pt idx="3">
                  <c:v>2011</c:v>
                </c:pt>
                <c:pt idx="4">
                  <c:v>2012</c:v>
                </c:pt>
                <c:pt idx="5">
                  <c:v>2013</c:v>
                </c:pt>
                <c:pt idx="6">
                  <c:v>2014</c:v>
                </c:pt>
                <c:pt idx="7">
                  <c:v>2015</c:v>
                </c:pt>
                <c:pt idx="8">
                  <c:v>2016</c:v>
                </c:pt>
              </c:numCache>
            </c:numRef>
          </c:cat>
          <c:val>
            <c:numRef>
              <c:f>'2'!$B$5:$B$13</c:f>
              <c:numCache>
                <c:formatCode>0.0%</c:formatCode>
                <c:ptCount val="9"/>
                <c:pt idx="0">
                  <c:v>0.8716452742123687</c:v>
                </c:pt>
                <c:pt idx="1">
                  <c:v>0.84977578475336324</c:v>
                </c:pt>
                <c:pt idx="2">
                  <c:v>0.84119982355535949</c:v>
                </c:pt>
                <c:pt idx="3">
                  <c:v>0.9090301003344482</c:v>
                </c:pt>
                <c:pt idx="4">
                  <c:v>0.91236245954692552</c:v>
                </c:pt>
                <c:pt idx="5">
                  <c:v>0.92604338449828749</c:v>
                </c:pt>
                <c:pt idx="6">
                  <c:v>0.88884767556874378</c:v>
                </c:pt>
                <c:pt idx="7">
                  <c:v>0.89098712446351935</c:v>
                </c:pt>
                <c:pt idx="8">
                  <c:v>0.85922330097087374</c:v>
                </c:pt>
              </c:numCache>
            </c:numRef>
          </c:val>
          <c:smooth val="0"/>
          <c:extLst>
            <c:ext xmlns:c16="http://schemas.microsoft.com/office/drawing/2014/chart" uri="{C3380CC4-5D6E-409C-BE32-E72D297353CC}">
              <c16:uniqueId val="{00000000-7288-4F3B-BC1D-6171D21CCA01}"/>
            </c:ext>
          </c:extLst>
        </c:ser>
        <c:dLbls>
          <c:showLegendKey val="0"/>
          <c:showVal val="0"/>
          <c:showCatName val="0"/>
          <c:showSerName val="0"/>
          <c:showPercent val="0"/>
          <c:showBubbleSize val="0"/>
        </c:dLbls>
        <c:marker val="1"/>
        <c:smooth val="0"/>
        <c:axId val="211074112"/>
        <c:axId val="211074672"/>
      </c:lineChart>
      <c:catAx>
        <c:axId val="2110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1074672"/>
        <c:crosses val="autoZero"/>
        <c:auto val="1"/>
        <c:lblAlgn val="ctr"/>
        <c:lblOffset val="100"/>
        <c:noMultiLvlLbl val="0"/>
      </c:catAx>
      <c:valAx>
        <c:axId val="211074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1074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'2'!$A$12</c:f>
              <c:strCache>
                <c:ptCount val="1"/>
                <c:pt idx="0">
                  <c:v>2015</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('2'!$C$4:$F$4,'2'!$H$4:$I$4)</c:f>
              <c:strCache>
                <c:ptCount val="6"/>
                <c:pt idx="0">
                  <c:v>0 a 6 anos</c:v>
                </c:pt>
                <c:pt idx="1">
                  <c:v>7 a 14 anos</c:v>
                </c:pt>
                <c:pt idx="2">
                  <c:v>15 a 17 anos</c:v>
                </c:pt>
                <c:pt idx="3">
                  <c:v>18 a 29 anos</c:v>
                </c:pt>
                <c:pt idx="4">
                  <c:v>30 a 59 anos</c:v>
                </c:pt>
                <c:pt idx="5">
                  <c:v>Idosos</c:v>
                </c:pt>
              </c:strCache>
            </c:strRef>
          </c:cat>
          <c:val>
            <c:numRef>
              <c:f>('2'!$C$12:$F$12,'2'!$H$12:$I$12)</c:f>
              <c:numCache>
                <c:formatCode>0.0%</c:formatCode>
                <c:ptCount val="6"/>
                <c:pt idx="0">
                  <c:v>0.4995708154506438</c:v>
                </c:pt>
                <c:pt idx="1">
                  <c:v>0.78761496014714893</c:v>
                </c:pt>
                <c:pt idx="2">
                  <c:v>0.75475168608215815</c:v>
                </c:pt>
                <c:pt idx="3">
                  <c:v>0.40147148988350706</c:v>
                </c:pt>
                <c:pt idx="4">
                  <c:v>0.50300429184549356</c:v>
                </c:pt>
                <c:pt idx="5">
                  <c:v>0.81667688534641325</c:v>
                </c:pt>
              </c:numCache>
            </c:numRef>
          </c:val>
          <c:extLst>
            <c:ext xmlns:c16="http://schemas.microsoft.com/office/drawing/2014/chart" uri="{C3380CC4-5D6E-409C-BE32-E72D297353CC}">
              <c16:uniqueId val="{00000000-97E1-429D-BE72-B629308D8E2E}"/>
            </c:ext>
          </c:extLst>
        </c:ser>
        <c:ser>
          <c:idx val="1"/>
          <c:order val="1"/>
          <c:tx>
            <c:strRef>
              <c:f>'2'!$A$13</c:f>
              <c:strCache>
                <c:ptCount val="1"/>
                <c:pt idx="0">
                  <c:v>2016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('2'!$C$4:$F$4,'2'!$H$4:$I$4)</c:f>
              <c:strCache>
                <c:ptCount val="6"/>
                <c:pt idx="0">
                  <c:v>0 a 6 anos</c:v>
                </c:pt>
                <c:pt idx="1">
                  <c:v>7 a 14 anos</c:v>
                </c:pt>
                <c:pt idx="2">
                  <c:v>15 a 17 anos</c:v>
                </c:pt>
                <c:pt idx="3">
                  <c:v>18 a 29 anos</c:v>
                </c:pt>
                <c:pt idx="4">
                  <c:v>30 a 59 anos</c:v>
                </c:pt>
                <c:pt idx="5">
                  <c:v>Idosos</c:v>
                </c:pt>
              </c:strCache>
            </c:strRef>
          </c:cat>
          <c:val>
            <c:numRef>
              <c:f>('2'!$C$13:$F$13,'2'!$H$13:$I$13)</c:f>
              <c:numCache>
                <c:formatCode>0.0%</c:formatCode>
                <c:ptCount val="6"/>
                <c:pt idx="0">
                  <c:v>0.4779126213592233</c:v>
                </c:pt>
                <c:pt idx="1">
                  <c:v>0.76638349514563109</c:v>
                </c:pt>
                <c:pt idx="2">
                  <c:v>0.72694174757281549</c:v>
                </c:pt>
                <c:pt idx="3">
                  <c:v>0.37087378640776697</c:v>
                </c:pt>
                <c:pt idx="4">
                  <c:v>0.47754854368932037</c:v>
                </c:pt>
                <c:pt idx="5">
                  <c:v>0.78907766990291262</c:v>
                </c:pt>
              </c:numCache>
            </c:numRef>
          </c:val>
          <c:extLst>
            <c:ext xmlns:c16="http://schemas.microsoft.com/office/drawing/2014/chart" uri="{C3380CC4-5D6E-409C-BE32-E72D297353CC}">
              <c16:uniqueId val="{00000001-97E1-429D-BE72-B629308D8E2E}"/>
            </c:ext>
          </c:extLst>
        </c:ser>
        <c:dLbls>
          <c:dLblPos val="outEnd"/>
          <c:showLegendKey val="0"/>
          <c:showVal val="1"/>
          <c:showCatName val="0"/>
          <c:showSerName val="0"/>
          <c:showPercent val="0"/>
          <c:showBubbleSize val="0"/>
        </c:dLbls>
        <c:gapWidth val="219"/>
        <c:overlap val="-27"/>
        <c:axId val="211076912"/>
        <c:axId val="211077472"/>
      </c:barChart>
      <c:catAx>
        <c:axId val="21107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1077472"/>
        <c:crosses val="autoZero"/>
        <c:auto val="1"/>
        <c:lblAlgn val="ctr"/>
        <c:lblOffset val="100"/>
        <c:noMultiLvlLbl val="0"/>
      </c:catAx>
      <c:valAx>
        <c:axId val="211077472"/>
        <c:scaling>
          <c:orientation val="minMax"/>
          <c:max val="1"/>
        </c:scaling>
        <c:delete val="1"/>
        <c:axPos val="l"/>
        <c:majorGridlines>
          <c:spPr>
            <a:ln w="9525" cap="flat" cmpd="sng" algn="ctr">
              <a:noFill/>
              <a:round/>
            </a:ln>
            <a:effectLst/>
          </c:spPr>
        </c:majorGridlines>
        <c:numFmt formatCode="0%" sourceLinked="0"/>
        <c:majorTickMark val="none"/>
        <c:minorTickMark val="none"/>
        <c:tickLblPos val="nextTo"/>
        <c:crossAx val="2110769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'3'!$B$3</c:f>
              <c:strCache>
                <c:ptCount val="1"/>
                <c:pt idx="0">
                  <c:v>Norte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'3'!$A$4:$A$10</c:f>
              <c:strCache>
                <c:ptCount val="7"/>
                <c:pt idx="0">
                  <c:v>SCFV</c:v>
                </c:pt>
                <c:pt idx="1">
                  <c:v>0 a 6 anos</c:v>
                </c:pt>
                <c:pt idx="2">
                  <c:v>7 a 14 anos</c:v>
                </c:pt>
                <c:pt idx="3">
                  <c:v>15 a 17 anos</c:v>
                </c:pt>
                <c:pt idx="4">
                  <c:v>18 a 29 anos</c:v>
                </c:pt>
                <c:pt idx="5">
                  <c:v>30 a 59 anos</c:v>
                </c:pt>
                <c:pt idx="6">
                  <c:v>Idosos</c:v>
                </c:pt>
              </c:strCache>
            </c:strRef>
          </c:cat>
          <c:val>
            <c:numRef>
              <c:f>'3'!$B$4:$B$10</c:f>
              <c:numCache>
                <c:formatCode>0.0%</c:formatCode>
                <c:ptCount val="7"/>
                <c:pt idx="0">
                  <c:v>0.96784565916398713</c:v>
                </c:pt>
                <c:pt idx="1">
                  <c:v>0.57073954983922826</c:v>
                </c:pt>
                <c:pt idx="2">
                  <c:v>0.93086816720257237</c:v>
                </c:pt>
                <c:pt idx="3">
                  <c:v>0.89710610932475887</c:v>
                </c:pt>
                <c:pt idx="4">
                  <c:v>0.34887459807073956</c:v>
                </c:pt>
                <c:pt idx="5">
                  <c:v>0.47427652733118969</c:v>
                </c:pt>
                <c:pt idx="6">
                  <c:v>0.93086816720257237</c:v>
                </c:pt>
              </c:numCache>
            </c:numRef>
          </c:val>
          <c:extLst>
            <c:ext xmlns:c16="http://schemas.microsoft.com/office/drawing/2014/chart" uri="{C3380CC4-5D6E-409C-BE32-E72D297353CC}">
              <c16:uniqueId val="{00000000-F019-498F-B641-FF7E4C677BB0}"/>
            </c:ext>
          </c:extLst>
        </c:ser>
        <c:ser>
          <c:idx val="1"/>
          <c:order val="1"/>
          <c:tx>
            <c:strRef>
              <c:f>'3'!$C$3</c:f>
              <c:strCache>
                <c:ptCount val="1"/>
                <c:pt idx="0">
                  <c:v>Nordeste</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'3'!$A$4:$A$10</c:f>
              <c:strCache>
                <c:ptCount val="7"/>
                <c:pt idx="0">
                  <c:v>SCFV</c:v>
                </c:pt>
                <c:pt idx="1">
                  <c:v>0 a 6 anos</c:v>
                </c:pt>
                <c:pt idx="2">
                  <c:v>7 a 14 anos</c:v>
                </c:pt>
                <c:pt idx="3">
                  <c:v>15 a 17 anos</c:v>
                </c:pt>
                <c:pt idx="4">
                  <c:v>18 a 29 anos</c:v>
                </c:pt>
                <c:pt idx="5">
                  <c:v>30 a 59 anos</c:v>
                </c:pt>
                <c:pt idx="6">
                  <c:v>Idosos</c:v>
                </c:pt>
              </c:strCache>
            </c:strRef>
          </c:cat>
          <c:val>
            <c:numRef>
              <c:f>'3'!$C$4:$C$10</c:f>
              <c:numCache>
                <c:formatCode>0.0%</c:formatCode>
                <c:ptCount val="7"/>
                <c:pt idx="0">
                  <c:v>0.88724933787362847</c:v>
                </c:pt>
                <c:pt idx="1">
                  <c:v>0.54407869844873247</c:v>
                </c:pt>
                <c:pt idx="2">
                  <c:v>0.80968596292092321</c:v>
                </c:pt>
                <c:pt idx="3">
                  <c:v>0.7635262958758986</c:v>
                </c:pt>
                <c:pt idx="4">
                  <c:v>0.28755202421490728</c:v>
                </c:pt>
                <c:pt idx="5">
                  <c:v>0.39424895951570188</c:v>
                </c:pt>
                <c:pt idx="6">
                  <c:v>0.84071131290200529</c:v>
                </c:pt>
              </c:numCache>
            </c:numRef>
          </c:val>
          <c:extLst>
            <c:ext xmlns:c16="http://schemas.microsoft.com/office/drawing/2014/chart" uri="{C3380CC4-5D6E-409C-BE32-E72D297353CC}">
              <c16:uniqueId val="{00000001-F019-498F-B641-FF7E4C677BB0}"/>
            </c:ext>
          </c:extLst>
        </c:ser>
        <c:ser>
          <c:idx val="2"/>
          <c:order val="2"/>
          <c:tx>
            <c:strRef>
              <c:f>'3'!$D$3</c:f>
              <c:strCache>
                <c:ptCount val="1"/>
                <c:pt idx="0">
                  <c:v>Sudeste</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'3'!$A$4:$A$10</c:f>
              <c:strCache>
                <c:ptCount val="7"/>
                <c:pt idx="0">
                  <c:v>SCFV</c:v>
                </c:pt>
                <c:pt idx="1">
                  <c:v>0 a 6 anos</c:v>
                </c:pt>
                <c:pt idx="2">
                  <c:v>7 a 14 anos</c:v>
                </c:pt>
                <c:pt idx="3">
                  <c:v>15 a 17 anos</c:v>
                </c:pt>
                <c:pt idx="4">
                  <c:v>18 a 29 anos</c:v>
                </c:pt>
                <c:pt idx="5">
                  <c:v>30 a 59 anos</c:v>
                </c:pt>
                <c:pt idx="6">
                  <c:v>Idosos</c:v>
                </c:pt>
              </c:strCache>
            </c:strRef>
          </c:cat>
          <c:val>
            <c:numRef>
              <c:f>'3'!$D$4:$D$10</c:f>
              <c:numCache>
                <c:formatCode>0.0%</c:formatCode>
                <c:ptCount val="7"/>
                <c:pt idx="0">
                  <c:v>0.84864484336501234</c:v>
                </c:pt>
                <c:pt idx="1">
                  <c:v>0.43998592045054558</c:v>
                </c:pt>
                <c:pt idx="2">
                  <c:v>0.72896867300246393</c:v>
                </c:pt>
                <c:pt idx="3">
                  <c:v>0.72474480816613873</c:v>
                </c:pt>
                <c:pt idx="4">
                  <c:v>0.45723336853220697</c:v>
                </c:pt>
                <c:pt idx="5">
                  <c:v>0.5543822597676874</c:v>
                </c:pt>
                <c:pt idx="6">
                  <c:v>0.7497360084477297</c:v>
                </c:pt>
              </c:numCache>
            </c:numRef>
          </c:val>
          <c:extLst>
            <c:ext xmlns:c16="http://schemas.microsoft.com/office/drawing/2014/chart" uri="{C3380CC4-5D6E-409C-BE32-E72D297353CC}">
              <c16:uniqueId val="{00000002-F019-498F-B641-FF7E4C677BB0}"/>
            </c:ext>
          </c:extLst>
        </c:ser>
        <c:ser>
          <c:idx val="3"/>
          <c:order val="3"/>
          <c:tx>
            <c:strRef>
              <c:f>'3'!$E$3</c:f>
              <c:strCache>
                <c:ptCount val="1"/>
                <c:pt idx="0">
                  <c:v>Sul</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'3'!$A$4:$A$10</c:f>
              <c:strCache>
                <c:ptCount val="7"/>
                <c:pt idx="0">
                  <c:v>SCFV</c:v>
                </c:pt>
                <c:pt idx="1">
                  <c:v>0 a 6 anos</c:v>
                </c:pt>
                <c:pt idx="2">
                  <c:v>7 a 14 anos</c:v>
                </c:pt>
                <c:pt idx="3">
                  <c:v>15 a 17 anos</c:v>
                </c:pt>
                <c:pt idx="4">
                  <c:v>18 a 29 anos</c:v>
                </c:pt>
                <c:pt idx="5">
                  <c:v>30 a 59 anos</c:v>
                </c:pt>
                <c:pt idx="6">
                  <c:v>Idosos</c:v>
                </c:pt>
              </c:strCache>
            </c:strRef>
          </c:cat>
          <c:val>
            <c:numRef>
              <c:f>'3'!$E$4:$E$10</c:f>
              <c:numCache>
                <c:formatCode>0.0%</c:formatCode>
                <c:ptCount val="7"/>
                <c:pt idx="0">
                  <c:v>0.8490441661173368</c:v>
                </c:pt>
                <c:pt idx="1">
                  <c:v>0.41463414634146339</c:v>
                </c:pt>
                <c:pt idx="2">
                  <c:v>0.74620962425840476</c:v>
                </c:pt>
                <c:pt idx="3">
                  <c:v>0.65589980224126565</c:v>
                </c:pt>
                <c:pt idx="4">
                  <c:v>0.38694792353328938</c:v>
                </c:pt>
                <c:pt idx="5">
                  <c:v>0.51812788398154253</c:v>
                </c:pt>
                <c:pt idx="6">
                  <c:v>0.75543836519446272</c:v>
                </c:pt>
              </c:numCache>
            </c:numRef>
          </c:val>
          <c:extLst>
            <c:ext xmlns:c16="http://schemas.microsoft.com/office/drawing/2014/chart" uri="{C3380CC4-5D6E-409C-BE32-E72D297353CC}">
              <c16:uniqueId val="{00000003-F019-498F-B641-FF7E4C677BB0}"/>
            </c:ext>
          </c:extLst>
        </c:ser>
        <c:ser>
          <c:idx val="4"/>
          <c:order val="4"/>
          <c:tx>
            <c:strRef>
              <c:f>'3'!$F$3</c:f>
              <c:strCache>
                <c:ptCount val="1"/>
                <c:pt idx="0">
                  <c:v>Centro-Oeste</c:v>
                </c:pt>
              </c:strCache>
            </c:strRef>
          </c:tx>
          <c:spPr>
            <a:solidFill>
              <a:schemeClr val="accent3">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'3'!$A$4:$A$10</c:f>
              <c:strCache>
                <c:ptCount val="7"/>
                <c:pt idx="0">
                  <c:v>SCFV</c:v>
                </c:pt>
                <c:pt idx="1">
                  <c:v>0 a 6 anos</c:v>
                </c:pt>
                <c:pt idx="2">
                  <c:v>7 a 14 anos</c:v>
                </c:pt>
                <c:pt idx="3">
                  <c:v>15 a 17 anos</c:v>
                </c:pt>
                <c:pt idx="4">
                  <c:v>18 a 29 anos</c:v>
                </c:pt>
                <c:pt idx="5">
                  <c:v>30 a 59 anos</c:v>
                </c:pt>
                <c:pt idx="6">
                  <c:v>Idosos</c:v>
                </c:pt>
              </c:strCache>
            </c:strRef>
          </c:cat>
          <c:val>
            <c:numRef>
              <c:f>'3'!$F$4:$F$10</c:f>
              <c:numCache>
                <c:formatCode>0.0%</c:formatCode>
                <c:ptCount val="7"/>
                <c:pt idx="0">
                  <c:v>0.87682333873581852</c:v>
                </c:pt>
                <c:pt idx="1">
                  <c:v>0.5121555915721232</c:v>
                </c:pt>
                <c:pt idx="2">
                  <c:v>0.78282009724473256</c:v>
                </c:pt>
                <c:pt idx="3">
                  <c:v>0.73419773095623986</c:v>
                </c:pt>
                <c:pt idx="4">
                  <c:v>0.3841166936790924</c:v>
                </c:pt>
                <c:pt idx="5">
                  <c:v>0.47649918962722854</c:v>
                </c:pt>
                <c:pt idx="6">
                  <c:v>0.83468395461912481</c:v>
                </c:pt>
              </c:numCache>
            </c:numRef>
          </c:val>
          <c:extLst>
            <c:ext xmlns:c16="http://schemas.microsoft.com/office/drawing/2014/chart" uri="{C3380CC4-5D6E-409C-BE32-E72D297353CC}">
              <c16:uniqueId val="{00000004-F019-498F-B641-FF7E4C677BB0}"/>
            </c:ext>
          </c:extLst>
        </c:ser>
        <c:dLbls>
          <c:dLblPos val="outEnd"/>
          <c:showLegendKey val="0"/>
          <c:showVal val="1"/>
          <c:showCatName val="0"/>
          <c:showSerName val="0"/>
          <c:showPercent val="0"/>
          <c:showBubbleSize val="0"/>
        </c:dLbls>
        <c:gapWidth val="219"/>
        <c:overlap val="-27"/>
        <c:axId val="212799424"/>
        <c:axId val="212799984"/>
      </c:barChart>
      <c:catAx>
        <c:axId val="212799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2799984"/>
        <c:crosses val="autoZero"/>
        <c:auto val="1"/>
        <c:lblAlgn val="ctr"/>
        <c:lblOffset val="100"/>
        <c:noMultiLvlLbl val="0"/>
      </c:catAx>
      <c:valAx>
        <c:axId val="212799984"/>
        <c:scaling>
          <c:orientation val="minMax"/>
        </c:scaling>
        <c:delete val="1"/>
        <c:axPos val="l"/>
        <c:numFmt formatCode="0.0%" sourceLinked="1"/>
        <c:majorTickMark val="out"/>
        <c:minorTickMark val="none"/>
        <c:tickLblPos val="nextTo"/>
        <c:crossAx val="2127994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'4'!$A$4</c:f>
              <c:strCache>
                <c:ptCount val="1"/>
                <c:pt idx="0">
                  <c:v>2015</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'4'!$B$3:$G$3</c:f>
              <c:strCache>
                <c:ptCount val="6"/>
                <c:pt idx="0">
                  <c:v>0 a 6 anos</c:v>
                </c:pt>
                <c:pt idx="1">
                  <c:v>7 a 14 anos</c:v>
                </c:pt>
                <c:pt idx="2">
                  <c:v>15 a 17 anos</c:v>
                </c:pt>
                <c:pt idx="3">
                  <c:v>18 a 29 anos</c:v>
                </c:pt>
                <c:pt idx="4">
                  <c:v>30 a 59 anos</c:v>
                </c:pt>
                <c:pt idx="5">
                  <c:v>Idosos</c:v>
                </c:pt>
              </c:strCache>
            </c:strRef>
          </c:cat>
          <c:val>
            <c:numRef>
              <c:f>'4'!$B$4:$G$4</c:f>
              <c:numCache>
                <c:formatCode>#,##0</c:formatCode>
                <c:ptCount val="6"/>
                <c:pt idx="0">
                  <c:v>1686</c:v>
                </c:pt>
                <c:pt idx="1">
                  <c:v>3587</c:v>
                </c:pt>
                <c:pt idx="2">
                  <c:v>3046</c:v>
                </c:pt>
                <c:pt idx="3">
                  <c:v>1365</c:v>
                </c:pt>
                <c:pt idx="4">
                  <c:v>1519</c:v>
                </c:pt>
                <c:pt idx="5">
                  <c:v>2876</c:v>
                </c:pt>
              </c:numCache>
            </c:numRef>
          </c:val>
          <c:extLst>
            <c:ext xmlns:c16="http://schemas.microsoft.com/office/drawing/2014/chart" uri="{C3380CC4-5D6E-409C-BE32-E72D297353CC}">
              <c16:uniqueId val="{00000000-9CD5-4D92-8250-389291A89A47}"/>
            </c:ext>
          </c:extLst>
        </c:ser>
        <c:ser>
          <c:idx val="1"/>
          <c:order val="1"/>
          <c:tx>
            <c:strRef>
              <c:f>'4'!$A$5</c:f>
              <c:strCache>
                <c:ptCount val="1"/>
                <c:pt idx="0">
                  <c:v>2016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'4'!$B$3:$G$3</c:f>
              <c:strCache>
                <c:ptCount val="6"/>
                <c:pt idx="0">
                  <c:v>0 a 6 anos</c:v>
                </c:pt>
                <c:pt idx="1">
                  <c:v>7 a 14 anos</c:v>
                </c:pt>
                <c:pt idx="2">
                  <c:v>15 a 17 anos</c:v>
                </c:pt>
                <c:pt idx="3">
                  <c:v>18 a 29 anos</c:v>
                </c:pt>
                <c:pt idx="4">
                  <c:v>30 a 59 anos</c:v>
                </c:pt>
                <c:pt idx="5">
                  <c:v>Idosos</c:v>
                </c:pt>
              </c:strCache>
            </c:strRef>
          </c:cat>
          <c:val>
            <c:numRef>
              <c:f>'4'!$B$5:$G$5</c:f>
              <c:numCache>
                <c:formatCode>#,##0</c:formatCode>
                <c:ptCount val="6"/>
                <c:pt idx="0">
                  <c:v>1505</c:v>
                </c:pt>
                <c:pt idx="1">
                  <c:v>3243</c:v>
                </c:pt>
                <c:pt idx="2">
                  <c:v>2683</c:v>
                </c:pt>
                <c:pt idx="3">
                  <c:v>1172</c:v>
                </c:pt>
                <c:pt idx="4">
                  <c:v>1312</c:v>
                </c:pt>
                <c:pt idx="5">
                  <c:v>2568</c:v>
                </c:pt>
              </c:numCache>
            </c:numRef>
          </c:val>
          <c:extLst>
            <c:ext xmlns:c16="http://schemas.microsoft.com/office/drawing/2014/chart" uri="{C3380CC4-5D6E-409C-BE32-E72D297353CC}">
              <c16:uniqueId val="{00000001-9CD5-4D92-8250-389291A89A47}"/>
            </c:ext>
          </c:extLst>
        </c:ser>
        <c:dLbls>
          <c:dLblPos val="outEnd"/>
          <c:showLegendKey val="0"/>
          <c:showVal val="1"/>
          <c:showCatName val="0"/>
          <c:showSerName val="0"/>
          <c:showPercent val="0"/>
          <c:showBubbleSize val="0"/>
        </c:dLbls>
        <c:gapWidth val="219"/>
        <c:overlap val="-27"/>
        <c:axId val="212803344"/>
        <c:axId val="212803904"/>
      </c:barChart>
      <c:catAx>
        <c:axId val="21280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2803904"/>
        <c:crosses val="autoZero"/>
        <c:auto val="1"/>
        <c:lblAlgn val="ctr"/>
        <c:lblOffset val="100"/>
        <c:noMultiLvlLbl val="0"/>
      </c:catAx>
      <c:valAx>
        <c:axId val="212803904"/>
        <c:scaling>
          <c:orientation val="minMax"/>
        </c:scaling>
        <c:delete val="1"/>
        <c:axPos val="l"/>
        <c:majorGridlines>
          <c:spPr>
            <a:ln w="9525" cap="flat" cmpd="sng" algn="ctr">
              <a:noFill/>
              <a:round/>
            </a:ln>
            <a:effectLst/>
          </c:spPr>
        </c:majorGridlines>
        <c:numFmt formatCode="0%" sourceLinked="0"/>
        <c:majorTickMark val="out"/>
        <c:minorTickMark val="none"/>
        <c:tickLblPos val="nextTo"/>
        <c:crossAx val="2128033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'5'!$A$4</c:f>
              <c:strCache>
                <c:ptCount val="1"/>
                <c:pt idx="0">
                  <c:v>2014</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'5'!$B$3:$G$3</c:f>
              <c:strCache>
                <c:ptCount val="6"/>
                <c:pt idx="0">
                  <c:v>0 a 6 anos</c:v>
                </c:pt>
                <c:pt idx="1">
                  <c:v>7 a 14 anos</c:v>
                </c:pt>
                <c:pt idx="2">
                  <c:v>15 a 17 anos</c:v>
                </c:pt>
                <c:pt idx="3">
                  <c:v>18 a 29 anos</c:v>
                </c:pt>
                <c:pt idx="4">
                  <c:v>30 a 59 anos</c:v>
                </c:pt>
                <c:pt idx="5">
                  <c:v>Idosos</c:v>
                </c:pt>
              </c:strCache>
            </c:strRef>
          </c:cat>
          <c:val>
            <c:numRef>
              <c:f>'5'!$B$4:$G$4</c:f>
              <c:numCache>
                <c:formatCode>0.0%</c:formatCode>
                <c:ptCount val="6"/>
                <c:pt idx="0">
                  <c:v>0.30436437452423243</c:v>
                </c:pt>
                <c:pt idx="1">
                  <c:v>0.70680030449124587</c:v>
                </c:pt>
                <c:pt idx="2">
                  <c:v>0.48223801065719363</c:v>
                </c:pt>
                <c:pt idx="3">
                  <c:v>0.19538188277087035</c:v>
                </c:pt>
                <c:pt idx="4">
                  <c:v>0.2144125856381629</c:v>
                </c:pt>
                <c:pt idx="5">
                  <c:v>0.3703374777975133</c:v>
                </c:pt>
              </c:numCache>
            </c:numRef>
          </c:val>
          <c:extLst>
            <c:ext xmlns:c16="http://schemas.microsoft.com/office/drawing/2014/chart" uri="{C3380CC4-5D6E-409C-BE32-E72D297353CC}">
              <c16:uniqueId val="{00000001-5BF2-4871-B72D-3CB9476B0BE9}"/>
            </c:ext>
          </c:extLst>
        </c:ser>
        <c:ser>
          <c:idx val="1"/>
          <c:order val="1"/>
          <c:tx>
            <c:strRef>
              <c:f>'5'!$A$5</c:f>
              <c:strCache>
                <c:ptCount val="1"/>
                <c:pt idx="0">
                  <c:v>2015</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'5'!$B$3:$G$3</c:f>
              <c:strCache>
                <c:ptCount val="6"/>
                <c:pt idx="0">
                  <c:v>0 a 6 anos</c:v>
                </c:pt>
                <c:pt idx="1">
                  <c:v>7 a 14 anos</c:v>
                </c:pt>
                <c:pt idx="2">
                  <c:v>15 a 17 anos</c:v>
                </c:pt>
                <c:pt idx="3">
                  <c:v>18 a 29 anos</c:v>
                </c:pt>
                <c:pt idx="4">
                  <c:v>30 a 59 anos</c:v>
                </c:pt>
                <c:pt idx="5">
                  <c:v>Idosos</c:v>
                </c:pt>
              </c:strCache>
            </c:strRef>
          </c:cat>
          <c:val>
            <c:numRef>
              <c:f>'5'!$B$5:$G$5</c:f>
              <c:numCache>
                <c:formatCode>0.0%</c:formatCode>
                <c:ptCount val="6"/>
                <c:pt idx="0">
                  <c:v>0.25364828097947067</c:v>
                </c:pt>
                <c:pt idx="1">
                  <c:v>0.71419737818451645</c:v>
                </c:pt>
                <c:pt idx="2">
                  <c:v>0.48769325912183054</c:v>
                </c:pt>
                <c:pt idx="3">
                  <c:v>0.20776651001731389</c:v>
                </c:pt>
                <c:pt idx="4">
                  <c:v>0.23212960672767746</c:v>
                </c:pt>
                <c:pt idx="5">
                  <c:v>0.38214197378184517</c:v>
                </c:pt>
              </c:numCache>
            </c:numRef>
          </c:val>
          <c:extLst>
            <c:ext xmlns:c16="http://schemas.microsoft.com/office/drawing/2014/chart" uri="{C3380CC4-5D6E-409C-BE32-E72D297353CC}">
              <c16:uniqueId val="{00000000-5BF2-4871-B72D-3CB9476B0BE9}"/>
            </c:ext>
          </c:extLst>
        </c:ser>
        <c:ser>
          <c:idx val="0"/>
          <c:order val="2"/>
          <c:tx>
            <c:strRef>
              <c:f>'5'!$A$6</c:f>
              <c:strCache>
                <c:ptCount val="1"/>
                <c:pt idx="0">
                  <c:v>2016</c:v>
                </c:pt>
              </c:strCache>
            </c:strRef>
          </c:tx>
          <c:spPr>
            <a:solidFill>
              <a:schemeClr val="accent1"/>
            </a:solidFill>
            <a:ln>
              <a:noFill/>
            </a:ln>
            <a:effectLst/>
          </c:spPr>
          <c:invertIfNegative val="0"/>
          <c:dLbls>
            <c:numFmt formatCode="0.0%"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'5'!$B$3:$G$3</c:f>
              <c:strCache>
                <c:ptCount val="6"/>
                <c:pt idx="0">
                  <c:v>0 a 6 anos</c:v>
                </c:pt>
                <c:pt idx="1">
                  <c:v>7 a 14 anos</c:v>
                </c:pt>
                <c:pt idx="2">
                  <c:v>15 a 17 anos</c:v>
                </c:pt>
                <c:pt idx="3">
                  <c:v>18 a 29 anos</c:v>
                </c:pt>
                <c:pt idx="4">
                  <c:v>30 a 59 anos</c:v>
                </c:pt>
                <c:pt idx="5">
                  <c:v>Idosos</c:v>
                </c:pt>
              </c:strCache>
            </c:strRef>
          </c:cat>
          <c:val>
            <c:numRef>
              <c:f>'5'!$B$6:$G$6</c:f>
              <c:numCache>
                <c:formatCode>0.0%</c:formatCode>
                <c:ptCount val="6"/>
                <c:pt idx="0">
                  <c:v>0.28096533774991128</c:v>
                </c:pt>
                <c:pt idx="1">
                  <c:v>0.72009937300366733</c:v>
                </c:pt>
                <c:pt idx="2">
                  <c:v>0.48586300721637288</c:v>
                </c:pt>
                <c:pt idx="3">
                  <c:v>0.2285579084348752</c:v>
                </c:pt>
                <c:pt idx="4">
                  <c:v>0.2384952088016089</c:v>
                </c:pt>
                <c:pt idx="5">
                  <c:v>0.38223116053472139</c:v>
                </c:pt>
              </c:numCache>
            </c:numRef>
          </c:val>
          <c:extLst>
            <c:ext xmlns:c16="http://schemas.microsoft.com/office/drawing/2014/chart" uri="{C3380CC4-5D6E-409C-BE32-E72D297353CC}">
              <c16:uniqueId val="{00000000-5A62-4328-B841-BC8794ABA093}"/>
            </c:ext>
          </c:extLst>
        </c:ser>
        <c:dLbls>
          <c:dLblPos val="outEnd"/>
          <c:showLegendKey val="0"/>
          <c:showVal val="1"/>
          <c:showCatName val="0"/>
          <c:showSerName val="0"/>
          <c:showPercent val="0"/>
          <c:showBubbleSize val="0"/>
        </c:dLbls>
        <c:gapWidth val="219"/>
        <c:overlap val="-27"/>
        <c:axId val="212807824"/>
        <c:axId val="212808384"/>
      </c:barChart>
      <c:catAx>
        <c:axId val="21280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2808384"/>
        <c:crosses val="autoZero"/>
        <c:auto val="1"/>
        <c:lblAlgn val="ctr"/>
        <c:lblOffset val="100"/>
        <c:noMultiLvlLbl val="0"/>
      </c:catAx>
      <c:valAx>
        <c:axId val="212808384"/>
        <c:scaling>
          <c:orientation val="minMax"/>
        </c:scaling>
        <c:delete val="1"/>
        <c:axPos val="l"/>
        <c:numFmt formatCode="0.0%" sourceLinked="1"/>
        <c:majorTickMark val="none"/>
        <c:minorTickMark val="none"/>
        <c:tickLblPos val="nextTo"/>
        <c:crossAx val="2128078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'6'!$A$3:$A$11</c:f>
              <c:strCache>
                <c:ptCount val="9"/>
                <c:pt idx="0">
                  <c:v>Não realiza nenhuma das atividades</c:v>
                </c:pt>
                <c:pt idx="1">
                  <c:v>Reforço Escolar</c:v>
                </c:pt>
                <c:pt idx="2">
                  <c:v>Discussão de casos com outros profissionais da rede</c:v>
                </c:pt>
                <c:pt idx="3">
                  <c:v>Atividades com participação da Comunidade</c:v>
                </c:pt>
                <c:pt idx="4">
                  <c:v>Visitas domiciliares da equipe técnica da Unidade à família do usuário</c:v>
                </c:pt>
                <c:pt idx="5">
                  <c:v>Reuniões com grupos de famílias dos usuários</c:v>
                </c:pt>
                <c:pt idx="6">
                  <c:v>Palestras</c:v>
                </c:pt>
                <c:pt idx="7">
                  <c:v>Atividades recreativas</c:v>
                </c:pt>
                <c:pt idx="8">
                  <c:v>Oficinas</c:v>
                </c:pt>
              </c:strCache>
            </c:strRef>
          </c:cat>
          <c:val>
            <c:numRef>
              <c:f>'6'!$C$3:$C$11</c:f>
              <c:numCache>
                <c:formatCode>0.0%</c:formatCode>
                <c:ptCount val="9"/>
                <c:pt idx="0">
                  <c:v>7.2240644244433916E-3</c:v>
                </c:pt>
                <c:pt idx="1">
                  <c:v>0.19789199431549029</c:v>
                </c:pt>
                <c:pt idx="2">
                  <c:v>0.69351018474656556</c:v>
                </c:pt>
                <c:pt idx="3">
                  <c:v>0.72619611558503083</c:v>
                </c:pt>
                <c:pt idx="4">
                  <c:v>0.75580293699668399</c:v>
                </c:pt>
                <c:pt idx="5">
                  <c:v>0.82970156324017053</c:v>
                </c:pt>
                <c:pt idx="6">
                  <c:v>0.8737565135007106</c:v>
                </c:pt>
                <c:pt idx="7">
                  <c:v>0.89732354334438658</c:v>
                </c:pt>
                <c:pt idx="8">
                  <c:v>0.91271909047844624</c:v>
                </c:pt>
              </c:numCache>
            </c:numRef>
          </c:val>
          <c:extLst>
            <c:ext xmlns:c16="http://schemas.microsoft.com/office/drawing/2014/chart" uri="{C3380CC4-5D6E-409C-BE32-E72D297353CC}">
              <c16:uniqueId val="{00000000-C4D6-41AA-AA45-2C94BC51DB51}"/>
            </c:ext>
          </c:extLst>
        </c:ser>
        <c:dLbls>
          <c:showLegendKey val="0"/>
          <c:showVal val="0"/>
          <c:showCatName val="0"/>
          <c:showSerName val="0"/>
          <c:showPercent val="0"/>
          <c:showBubbleSize val="0"/>
        </c:dLbls>
        <c:gapWidth val="182"/>
        <c:axId val="212811184"/>
        <c:axId val="212811744"/>
      </c:barChart>
      <c:catAx>
        <c:axId val="212811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2811744"/>
        <c:crosses val="autoZero"/>
        <c:auto val="1"/>
        <c:lblAlgn val="ctr"/>
        <c:lblOffset val="100"/>
        <c:noMultiLvlLbl val="0"/>
      </c:catAx>
      <c:valAx>
        <c:axId val="212811744"/>
        <c:scaling>
          <c:orientation val="minMax"/>
        </c:scaling>
        <c:delete val="1"/>
        <c:axPos val="b"/>
        <c:numFmt formatCode="0%" sourceLinked="0"/>
        <c:majorTickMark val="none"/>
        <c:minorTickMark val="none"/>
        <c:tickLblPos val="nextTo"/>
        <c:crossAx val="212811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'7'!$A$3:$A$6</c:f>
              <c:strCache>
                <c:ptCount val="4"/>
                <c:pt idx="0">
                  <c:v>Auxílio Natalidade</c:v>
                </c:pt>
                <c:pt idx="1">
                  <c:v>Benefício Eventual para situação de calamidade pública.</c:v>
                </c:pt>
                <c:pt idx="2">
                  <c:v>Outros benefícios eventuais para famílias em situação de vulnerabilidade temporária</c:v>
                </c:pt>
                <c:pt idx="3">
                  <c:v>Auxílio Funeral</c:v>
                </c:pt>
              </c:strCache>
            </c:strRef>
          </c:cat>
          <c:val>
            <c:numRef>
              <c:f>'7'!$C$3:$C$6</c:f>
              <c:numCache>
                <c:formatCode>0.0%</c:formatCode>
                <c:ptCount val="4"/>
                <c:pt idx="0">
                  <c:v>0.70698777595329321</c:v>
                </c:pt>
                <c:pt idx="1">
                  <c:v>0.75478927203065138</c:v>
                </c:pt>
                <c:pt idx="2">
                  <c:v>0.93158182813355228</c:v>
                </c:pt>
                <c:pt idx="3">
                  <c:v>0.970260901295384</c:v>
                </c:pt>
              </c:numCache>
            </c:numRef>
          </c:val>
          <c:extLst>
            <c:ext xmlns:c16="http://schemas.microsoft.com/office/drawing/2014/chart" uri="{C3380CC4-5D6E-409C-BE32-E72D297353CC}">
              <c16:uniqueId val="{00000000-2435-494F-B5DF-1CD0D787DEDA}"/>
            </c:ext>
          </c:extLst>
        </c:ser>
        <c:dLbls>
          <c:showLegendKey val="0"/>
          <c:showVal val="0"/>
          <c:showCatName val="0"/>
          <c:showSerName val="0"/>
          <c:showPercent val="0"/>
          <c:showBubbleSize val="0"/>
        </c:dLbls>
        <c:gapWidth val="182"/>
        <c:axId val="212813984"/>
        <c:axId val="212814544"/>
      </c:barChart>
      <c:catAx>
        <c:axId val="21281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2814544"/>
        <c:crosses val="autoZero"/>
        <c:auto val="1"/>
        <c:lblAlgn val="ctr"/>
        <c:lblOffset val="100"/>
        <c:noMultiLvlLbl val="0"/>
      </c:catAx>
      <c:valAx>
        <c:axId val="212814544"/>
        <c:scaling>
          <c:orientation val="minMax"/>
          <c:max val="1"/>
        </c:scaling>
        <c:delete val="1"/>
        <c:axPos val="b"/>
        <c:numFmt formatCode="0%" sourceLinked="0"/>
        <c:majorTickMark val="none"/>
        <c:minorTickMark val="none"/>
        <c:tickLblPos val="nextTo"/>
        <c:crossAx val="212813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'8'!$B$3</c:f>
              <c:strCache>
                <c:ptCount val="1"/>
                <c:pt idx="0">
                  <c:v>2010</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'8'!$B$4:$B$8</c:f>
              <c:numCache>
                <c:formatCode>0.0%</c:formatCode>
                <c:ptCount val="5"/>
                <c:pt idx="0">
                  <c:v>0.31</c:v>
                </c:pt>
                <c:pt idx="1">
                  <c:v>0.22500000000000001</c:v>
                </c:pt>
                <c:pt idx="2">
                  <c:v>0.45100000000000001</c:v>
                </c:pt>
                <c:pt idx="3">
                  <c:v>0.27900000000000003</c:v>
                </c:pt>
                <c:pt idx="4">
                  <c:v>0.191</c:v>
                </c:pt>
              </c:numCache>
            </c:numRef>
          </c:val>
          <c:extLst>
            <c:ext xmlns:c16="http://schemas.microsoft.com/office/drawing/2014/chart" uri="{C3380CC4-5D6E-409C-BE32-E72D297353CC}">
              <c16:uniqueId val="{00000000-9527-4C10-BE51-5CC935D50BD7}"/>
            </c:ext>
          </c:extLst>
        </c:ser>
        <c:ser>
          <c:idx val="1"/>
          <c:order val="1"/>
          <c:tx>
            <c:strRef>
              <c:f>'8'!$C$3</c:f>
              <c:strCache>
                <c:ptCount val="1"/>
                <c:pt idx="0">
                  <c:v>2011</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'8'!$C$4:$C$8</c:f>
              <c:numCache>
                <c:formatCode>0.0%</c:formatCode>
                <c:ptCount val="5"/>
                <c:pt idx="0">
                  <c:v>0.34200000000000003</c:v>
                </c:pt>
                <c:pt idx="1">
                  <c:v>0.25900000000000001</c:v>
                </c:pt>
                <c:pt idx="2">
                  <c:v>0.51300000000000001</c:v>
                </c:pt>
                <c:pt idx="3">
                  <c:v>0.29199999999999998</c:v>
                </c:pt>
                <c:pt idx="4">
                  <c:v>0.20599999999999999</c:v>
                </c:pt>
              </c:numCache>
            </c:numRef>
          </c:val>
          <c:extLst>
            <c:ext xmlns:c16="http://schemas.microsoft.com/office/drawing/2014/chart" uri="{C3380CC4-5D6E-409C-BE32-E72D297353CC}">
              <c16:uniqueId val="{00000001-9527-4C10-BE51-5CC935D50BD7}"/>
            </c:ext>
          </c:extLst>
        </c:ser>
        <c:ser>
          <c:idx val="2"/>
          <c:order val="2"/>
          <c:tx>
            <c:strRef>
              <c:f>'8'!$D$3</c:f>
              <c:strCache>
                <c:ptCount val="1"/>
                <c:pt idx="0">
                  <c:v>2012</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'8'!$D$4:$D$8</c:f>
              <c:numCache>
                <c:formatCode>0.0%</c:formatCode>
                <c:ptCount val="5"/>
                <c:pt idx="0">
                  <c:v>0.36299999999999999</c:v>
                </c:pt>
                <c:pt idx="1">
                  <c:v>0.28299999999999997</c:v>
                </c:pt>
                <c:pt idx="2">
                  <c:v>0.53700000000000003</c:v>
                </c:pt>
                <c:pt idx="3">
                  <c:v>0.28499999999999998</c:v>
                </c:pt>
                <c:pt idx="4">
                  <c:v>0.22</c:v>
                </c:pt>
              </c:numCache>
            </c:numRef>
          </c:val>
          <c:extLst>
            <c:ext xmlns:c16="http://schemas.microsoft.com/office/drawing/2014/chart" uri="{C3380CC4-5D6E-409C-BE32-E72D297353CC}">
              <c16:uniqueId val="{00000002-9527-4C10-BE51-5CC935D50BD7}"/>
            </c:ext>
          </c:extLst>
        </c:ser>
        <c:ser>
          <c:idx val="3"/>
          <c:order val="3"/>
          <c:tx>
            <c:strRef>
              <c:f>'8'!$E$3</c:f>
              <c:strCache>
                <c:ptCount val="1"/>
                <c:pt idx="0">
                  <c:v>2013</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'8'!$E$4:$E$8</c:f>
              <c:numCache>
                <c:formatCode>0.0%</c:formatCode>
                <c:ptCount val="5"/>
                <c:pt idx="0">
                  <c:v>0.40400000000000003</c:v>
                </c:pt>
                <c:pt idx="1">
                  <c:v>0.32800000000000001</c:v>
                </c:pt>
                <c:pt idx="2">
                  <c:v>0.55200000000000005</c:v>
                </c:pt>
                <c:pt idx="3">
                  <c:v>0.28899999999999998</c:v>
                </c:pt>
                <c:pt idx="4">
                  <c:v>0.20799999999999999</c:v>
                </c:pt>
              </c:numCache>
            </c:numRef>
          </c:val>
          <c:extLst>
            <c:ext xmlns:c16="http://schemas.microsoft.com/office/drawing/2014/chart" uri="{C3380CC4-5D6E-409C-BE32-E72D297353CC}">
              <c16:uniqueId val="{00000003-9527-4C10-BE51-5CC935D50BD7}"/>
            </c:ext>
          </c:extLst>
        </c:ser>
        <c:ser>
          <c:idx val="4"/>
          <c:order val="4"/>
          <c:tx>
            <c:strRef>
              <c:f>'8'!$F$3</c:f>
              <c:strCache>
                <c:ptCount val="1"/>
                <c:pt idx="0">
                  <c:v>2014</c:v>
                </c:pt>
              </c:strCache>
            </c:strRef>
          </c:tx>
          <c:spPr>
            <a:solidFill>
              <a:schemeClr val="accent3">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'8'!$F$4:$F$8</c:f>
              <c:numCache>
                <c:formatCode>0.0%</c:formatCode>
                <c:ptCount val="5"/>
                <c:pt idx="0">
                  <c:v>0.44400000000000001</c:v>
                </c:pt>
                <c:pt idx="1">
                  <c:v>0.36799999999999999</c:v>
                </c:pt>
                <c:pt idx="2">
                  <c:v>0.62</c:v>
                </c:pt>
                <c:pt idx="3">
                  <c:v>0.318</c:v>
                </c:pt>
                <c:pt idx="4">
                  <c:v>0.23799999999999999</c:v>
                </c:pt>
              </c:numCache>
            </c:numRef>
          </c:val>
          <c:extLst>
            <c:ext xmlns:c16="http://schemas.microsoft.com/office/drawing/2014/chart" uri="{C3380CC4-5D6E-409C-BE32-E72D297353CC}">
              <c16:uniqueId val="{00000004-9527-4C10-BE51-5CC935D50BD7}"/>
            </c:ext>
          </c:extLst>
        </c:ser>
        <c:ser>
          <c:idx val="5"/>
          <c:order val="5"/>
          <c:tx>
            <c:strRef>
              <c:f>'8'!$G$3</c:f>
              <c:strCache>
                <c:ptCount val="1"/>
                <c:pt idx="0">
                  <c:v>2015</c:v>
                </c:pt>
              </c:strCache>
            </c:strRef>
          </c:tx>
          <c:spPr>
            <a:solidFill>
              <a:schemeClr val="accent5">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'8'!$G$4:$G$8</c:f>
              <c:numCache>
                <c:formatCode>0.0%</c:formatCode>
                <c:ptCount val="5"/>
                <c:pt idx="0">
                  <c:v>0.45775597792765177</c:v>
                </c:pt>
                <c:pt idx="1">
                  <c:v>0.38430410790925812</c:v>
                </c:pt>
                <c:pt idx="2">
                  <c:v>0.62795830778663397</c:v>
                </c:pt>
                <c:pt idx="3">
                  <c:v>0.3195585530349479</c:v>
                </c:pt>
                <c:pt idx="4">
                  <c:v>0.25689760882893931</c:v>
                </c:pt>
              </c:numCache>
            </c:numRef>
          </c:val>
          <c:extLst>
            <c:ext xmlns:c16="http://schemas.microsoft.com/office/drawing/2014/chart" uri="{C3380CC4-5D6E-409C-BE32-E72D297353CC}">
              <c16:uniqueId val="{00000005-9527-4C10-BE51-5CC935D50BD7}"/>
            </c:ext>
          </c:extLst>
        </c:ser>
        <c:ser>
          <c:idx val="6"/>
          <c:order val="6"/>
          <c:tx>
            <c:strRef>
              <c:f>'8'!$H$3</c:f>
              <c:strCache>
                <c:ptCount val="1"/>
                <c:pt idx="0">
                  <c:v>2016</c:v>
                </c:pt>
              </c:strCache>
            </c:strRef>
          </c:tx>
          <c:spPr>
            <a:solidFill>
              <a:schemeClr val="accent1">
                <a:lumMod val="80000"/>
                <a:lumOff val="20000"/>
              </a:schemeClr>
            </a:solidFill>
            <a:ln>
              <a:noFill/>
            </a:ln>
            <a:effectLst/>
          </c:spPr>
          <c:invertIfNegative val="0"/>
          <c:dLbls>
            <c:numFmt formatCode="0.0%"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'8'!$A$4:$A$8</c:f>
              <c:strCache>
                <c:ptCount val="5"/>
                <c:pt idx="0">
                  <c:v>Auxílio Funeral</c:v>
                </c:pt>
                <c:pt idx="1">
                  <c:v>Auxílio Natalidade</c:v>
                </c:pt>
                <c:pt idx="2">
                  <c:v>Auxílios relacionados à segurança alimentar</c:v>
                </c:pt>
                <c:pt idx="3">
                  <c:v>Passagens</c:v>
                </c:pt>
                <c:pt idx="4">
                  <c:v>Outros</c:v>
                </c:pt>
              </c:strCache>
            </c:strRef>
          </c:cat>
          <c:val>
            <c:numRef>
              <c:f>'8'!$H$4:$H$8</c:f>
              <c:numCache>
                <c:formatCode>0.0%</c:formatCode>
                <c:ptCount val="5"/>
                <c:pt idx="0">
                  <c:v>0.56662621359223297</c:v>
                </c:pt>
                <c:pt idx="1">
                  <c:v>0.44720873786407767</c:v>
                </c:pt>
                <c:pt idx="2">
                  <c:v>0.73628640776699028</c:v>
                </c:pt>
                <c:pt idx="3">
                  <c:v>0.3978155339805825</c:v>
                </c:pt>
                <c:pt idx="4">
                  <c:v>0.30449029126213595</c:v>
                </c:pt>
              </c:numCache>
            </c:numRef>
          </c:val>
          <c:extLst>
            <c:ext xmlns:c16="http://schemas.microsoft.com/office/drawing/2014/chart" uri="{C3380CC4-5D6E-409C-BE32-E72D297353CC}">
              <c16:uniqueId val="{0000000A-9527-4C10-BE51-5CC935D50BD7}"/>
            </c:ext>
          </c:extLst>
        </c:ser>
        <c:dLbls>
          <c:dLblPos val="outEnd"/>
          <c:showLegendKey val="0"/>
          <c:showVal val="1"/>
          <c:showCatName val="0"/>
          <c:showSerName val="0"/>
          <c:showPercent val="0"/>
          <c:showBubbleSize val="0"/>
        </c:dLbls>
        <c:gapWidth val="219"/>
        <c:overlap val="-27"/>
        <c:axId val="213952592"/>
        <c:axId val="213953152"/>
      </c:barChart>
      <c:catAx>
        <c:axId val="21395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3953152"/>
        <c:crosses val="autoZero"/>
        <c:auto val="1"/>
        <c:lblAlgn val="ctr"/>
        <c:lblOffset val="100"/>
        <c:noMultiLvlLbl val="0"/>
      </c:catAx>
      <c:valAx>
        <c:axId val="213953152"/>
        <c:scaling>
          <c:orientation val="minMax"/>
        </c:scaling>
        <c:delete val="1"/>
        <c:axPos val="l"/>
        <c:numFmt formatCode="0.0%" sourceLinked="1"/>
        <c:majorTickMark val="none"/>
        <c:minorTickMark val="none"/>
        <c:tickLblPos val="nextTo"/>
        <c:crossAx val="2139525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51600735387346E-2"/>
          <c:y val="0.103854513754133"/>
          <c:w val="0.96309855880985595"/>
          <c:h val="0.78585602185463699"/>
        </c:manualLayout>
      </c:layout>
      <c:barChart>
        <c:barDir val="col"/>
        <c:grouping val="clustered"/>
        <c:varyColors val="1"/>
        <c:dLbls>
          <c:dLblPos val="outEnd"/>
          <c:showLegendKey val="0"/>
          <c:showVal val="1"/>
          <c:showCatName val="0"/>
          <c:showSerName val="0"/>
          <c:showPercent val="0"/>
          <c:showBubbleSize val="0"/>
        </c:dLbls>
        <c:gapWidth val="150"/>
        <c:axId val="213955392"/>
        <c:axId val="213955952"/>
      </c:barChart>
      <c:catAx>
        <c:axId val="213955392"/>
        <c:scaling>
          <c:orientation val="minMax"/>
        </c:scaling>
        <c:delete val="0"/>
        <c:axPos val="b"/>
        <c:numFmt formatCode="General" sourceLinked="0"/>
        <c:majorTickMark val="out"/>
        <c:minorTickMark val="none"/>
        <c:tickLblPos val="nextTo"/>
        <c:spPr>
          <a:ln w="9360">
            <a:solidFill>
              <a:srgbClr val="878787"/>
            </a:solidFill>
            <a:round/>
          </a:ln>
        </c:spPr>
        <c:crossAx val="213955952"/>
        <c:crosses val="autoZero"/>
        <c:auto val="1"/>
        <c:lblAlgn val="ctr"/>
        <c:lblOffset val="100"/>
        <c:noMultiLvlLbl val="1"/>
      </c:catAx>
      <c:valAx>
        <c:axId val="213955952"/>
        <c:scaling>
          <c:orientation val="minMax"/>
        </c:scaling>
        <c:delete val="1"/>
        <c:axPos val="l"/>
        <c:numFmt formatCode="0.0%" sourceLinked="1"/>
        <c:majorTickMark val="out"/>
        <c:minorTickMark val="none"/>
        <c:tickLblPos val="nextTo"/>
        <c:crossAx val="213955392"/>
        <c:crossesAt val="0"/>
        <c:crossBetween val="between"/>
      </c:valAx>
      <c:spPr>
        <a:noFill/>
        <a:ln w="25400">
          <a:noFill/>
        </a:ln>
      </c:spPr>
    </c:plotArea>
    <c:plotVisOnly val="1"/>
    <c:dispBlanksAs val="zero"/>
    <c:showDLblsOverMax val="1"/>
  </c:chart>
  <c:spPr>
    <a:noFill/>
    <a:ln>
      <a:noFill/>
    </a:ln>
  </c:sp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'9'!$B$3</c:f>
              <c:strCache>
                <c:ptCount val="1"/>
                <c:pt idx="0">
                  <c:v>Norte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'9'!$A$4:$A$8</c:f>
              <c:strCache>
                <c:ptCount val="5"/>
                <c:pt idx="0">
                  <c:v>Auxílio Funeral</c:v>
                </c:pt>
                <c:pt idx="1">
                  <c:v>Auxílio Natalidade</c:v>
                </c:pt>
                <c:pt idx="2">
                  <c:v>Auxílios relacionados à segurança alimentar</c:v>
                </c:pt>
                <c:pt idx="3">
                  <c:v>Passagens</c:v>
                </c:pt>
                <c:pt idx="4">
                  <c:v>Outros</c:v>
                </c:pt>
              </c:strCache>
            </c:strRef>
          </c:cat>
          <c:val>
            <c:numRef>
              <c:f>'9'!$B$4:$B$8</c:f>
              <c:numCache>
                <c:formatCode>0.0%</c:formatCode>
                <c:ptCount val="5"/>
                <c:pt idx="0">
                  <c:v>0.65916398713826363</c:v>
                </c:pt>
                <c:pt idx="1">
                  <c:v>0.45819935691318325</c:v>
                </c:pt>
                <c:pt idx="2">
                  <c:v>0.80225080385852088</c:v>
                </c:pt>
                <c:pt idx="3">
                  <c:v>0.39710610932475882</c:v>
                </c:pt>
                <c:pt idx="4">
                  <c:v>0.19935691318327975</c:v>
                </c:pt>
              </c:numCache>
            </c:numRef>
          </c:val>
          <c:extLst>
            <c:ext xmlns:c16="http://schemas.microsoft.com/office/drawing/2014/chart" uri="{C3380CC4-5D6E-409C-BE32-E72D297353CC}">
              <c16:uniqueId val="{00000000-86EC-43F2-9FA5-529165379815}"/>
            </c:ext>
          </c:extLst>
        </c:ser>
        <c:ser>
          <c:idx val="1"/>
          <c:order val="1"/>
          <c:tx>
            <c:strRef>
              <c:f>'9'!$C$3</c:f>
              <c:strCache>
                <c:ptCount val="1"/>
                <c:pt idx="0">
                  <c:v>Nordeste</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'9'!$A$4:$A$8</c:f>
              <c:strCache>
                <c:ptCount val="5"/>
                <c:pt idx="0">
                  <c:v>Auxílio Funeral</c:v>
                </c:pt>
                <c:pt idx="1">
                  <c:v>Auxílio Natalidade</c:v>
                </c:pt>
                <c:pt idx="2">
                  <c:v>Auxílios relacionados à segurança alimentar</c:v>
                </c:pt>
                <c:pt idx="3">
                  <c:v>Passagens</c:v>
                </c:pt>
                <c:pt idx="4">
                  <c:v>Outros</c:v>
                </c:pt>
              </c:strCache>
            </c:strRef>
          </c:cat>
          <c:val>
            <c:numRef>
              <c:f>'9'!$C$4:$C$8</c:f>
              <c:numCache>
                <c:formatCode>0.0%</c:formatCode>
                <c:ptCount val="5"/>
                <c:pt idx="0">
                  <c:v>0.53688989784335983</c:v>
                </c:pt>
                <c:pt idx="1">
                  <c:v>0.58191449110858873</c:v>
                </c:pt>
                <c:pt idx="2">
                  <c:v>0.69163828982217179</c:v>
                </c:pt>
                <c:pt idx="3">
                  <c:v>0.3329549754067348</c:v>
                </c:pt>
                <c:pt idx="4">
                  <c:v>0.20582671206961786</c:v>
                </c:pt>
              </c:numCache>
            </c:numRef>
          </c:val>
          <c:extLst>
            <c:ext xmlns:c16="http://schemas.microsoft.com/office/drawing/2014/chart" uri="{C3380CC4-5D6E-409C-BE32-E72D297353CC}">
              <c16:uniqueId val="{00000001-86EC-43F2-9FA5-529165379815}"/>
            </c:ext>
          </c:extLst>
        </c:ser>
        <c:ser>
          <c:idx val="2"/>
          <c:order val="2"/>
          <c:tx>
            <c:strRef>
              <c:f>'9'!$D$3</c:f>
              <c:strCache>
                <c:ptCount val="1"/>
                <c:pt idx="0">
                  <c:v>Sudeste</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'9'!$A$4:$A$8</c:f>
              <c:strCache>
                <c:ptCount val="5"/>
                <c:pt idx="0">
                  <c:v>Auxílio Funeral</c:v>
                </c:pt>
                <c:pt idx="1">
                  <c:v>Auxílio Natalidade</c:v>
                </c:pt>
                <c:pt idx="2">
                  <c:v>Auxílios relacionados à segurança alimentar</c:v>
                </c:pt>
                <c:pt idx="3">
                  <c:v>Passagens</c:v>
                </c:pt>
                <c:pt idx="4">
                  <c:v>Outros</c:v>
                </c:pt>
              </c:strCache>
            </c:strRef>
          </c:cat>
          <c:val>
            <c:numRef>
              <c:f>'9'!$D$4:$D$8</c:f>
              <c:numCache>
                <c:formatCode>0.0%</c:formatCode>
                <c:ptCount val="5"/>
                <c:pt idx="0">
                  <c:v>0.49982400563181978</c:v>
                </c:pt>
                <c:pt idx="1">
                  <c:v>0.3020063357972545</c:v>
                </c:pt>
                <c:pt idx="2">
                  <c:v>0.7127771911298838</c:v>
                </c:pt>
                <c:pt idx="3">
                  <c:v>0.36571629707849351</c:v>
                </c:pt>
                <c:pt idx="4">
                  <c:v>0.36642027455121434</c:v>
                </c:pt>
              </c:numCache>
            </c:numRef>
          </c:val>
          <c:extLst>
            <c:ext xmlns:c16="http://schemas.microsoft.com/office/drawing/2014/chart" uri="{C3380CC4-5D6E-409C-BE32-E72D297353CC}">
              <c16:uniqueId val="{00000002-86EC-43F2-9FA5-529165379815}"/>
            </c:ext>
          </c:extLst>
        </c:ser>
        <c:ser>
          <c:idx val="3"/>
          <c:order val="3"/>
          <c:tx>
            <c:strRef>
              <c:f>'9'!$E$3</c:f>
              <c:strCache>
                <c:ptCount val="1"/>
                <c:pt idx="0">
                  <c:v>Sul</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'9'!$A$4:$A$8</c:f>
              <c:strCache>
                <c:ptCount val="5"/>
                <c:pt idx="0">
                  <c:v>Auxílio Funeral</c:v>
                </c:pt>
                <c:pt idx="1">
                  <c:v>Auxílio Natalidade</c:v>
                </c:pt>
                <c:pt idx="2">
                  <c:v>Auxílios relacionados à segurança alimentar</c:v>
                </c:pt>
                <c:pt idx="3">
                  <c:v>Passagens</c:v>
                </c:pt>
                <c:pt idx="4">
                  <c:v>Outros</c:v>
                </c:pt>
              </c:strCache>
            </c:strRef>
          </c:cat>
          <c:val>
            <c:numRef>
              <c:f>'9'!$E$4:$E$8</c:f>
              <c:numCache>
                <c:formatCode>0.0%</c:formatCode>
                <c:ptCount val="5"/>
                <c:pt idx="0">
                  <c:v>0.64469347396176668</c:v>
                </c:pt>
                <c:pt idx="1">
                  <c:v>0.40804218852999341</c:v>
                </c:pt>
                <c:pt idx="2">
                  <c:v>0.78444297956493081</c:v>
                </c:pt>
                <c:pt idx="3">
                  <c:v>0.50955833882663149</c:v>
                </c:pt>
                <c:pt idx="4">
                  <c:v>0.39090309822017139</c:v>
                </c:pt>
              </c:numCache>
            </c:numRef>
          </c:val>
          <c:extLst>
            <c:ext xmlns:c16="http://schemas.microsoft.com/office/drawing/2014/chart" uri="{C3380CC4-5D6E-409C-BE32-E72D297353CC}">
              <c16:uniqueId val="{00000003-86EC-43F2-9FA5-529165379815}"/>
            </c:ext>
          </c:extLst>
        </c:ser>
        <c:ser>
          <c:idx val="4"/>
          <c:order val="4"/>
          <c:tx>
            <c:strRef>
              <c:f>'9'!$F$3</c:f>
              <c:strCache>
                <c:ptCount val="1"/>
                <c:pt idx="0">
                  <c:v>Centro-Oeste</c:v>
                </c:pt>
              </c:strCache>
            </c:strRef>
          </c:tx>
          <c:spPr>
            <a:solidFill>
              <a:schemeClr val="accent3">
                <a:lumMod val="60000"/>
              </a:schemeClr>
            </a:solidFill>
            <a:ln>
              <a:noFill/>
            </a:ln>
            <a:effectLst/>
          </c:spPr>
          <c:invertIfNegative val="0"/>
          <c:dLbls>
            <c:numFmt formatCode="0.0%"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'9'!$A$4:$A$8</c:f>
              <c:strCache>
                <c:ptCount val="5"/>
                <c:pt idx="0">
                  <c:v>Auxílio Funeral</c:v>
                </c:pt>
                <c:pt idx="1">
                  <c:v>Auxílio Natalidade</c:v>
                </c:pt>
                <c:pt idx="2">
                  <c:v>Auxílios relacionados à segurança alimentar</c:v>
                </c:pt>
                <c:pt idx="3">
                  <c:v>Passagens</c:v>
                </c:pt>
                <c:pt idx="4">
                  <c:v>Outros</c:v>
                </c:pt>
              </c:strCache>
            </c:strRef>
          </c:cat>
          <c:val>
            <c:numRef>
              <c:f>'9'!$F$4:$F$8</c:f>
              <c:numCache>
                <c:formatCode>0.0%</c:formatCode>
                <c:ptCount val="5"/>
                <c:pt idx="0">
                  <c:v>0.71636952998379255</c:v>
                </c:pt>
                <c:pt idx="1">
                  <c:v>0.62398703403565636</c:v>
                </c:pt>
                <c:pt idx="2">
                  <c:v>0.85089141004862234</c:v>
                </c:pt>
                <c:pt idx="3">
                  <c:v>0.54943273905996759</c:v>
                </c:pt>
                <c:pt idx="4">
                  <c:v>0.3354943273905997</c:v>
                </c:pt>
              </c:numCache>
            </c:numRef>
          </c:val>
          <c:extLst>
            <c:ext xmlns:c16="http://schemas.microsoft.com/office/drawing/2014/chart" uri="{C3380CC4-5D6E-409C-BE32-E72D297353CC}">
              <c16:uniqueId val="{00000004-86EC-43F2-9FA5-529165379815}"/>
            </c:ext>
          </c:extLst>
        </c:ser>
        <c:dLbls>
          <c:dLblPos val="outEnd"/>
          <c:showLegendKey val="0"/>
          <c:showVal val="1"/>
          <c:showCatName val="0"/>
          <c:showSerName val="0"/>
          <c:showPercent val="0"/>
          <c:showBubbleSize val="0"/>
        </c:dLbls>
        <c:gapWidth val="219"/>
        <c:overlap val="-27"/>
        <c:axId val="213960432"/>
        <c:axId val="213960992"/>
      </c:barChart>
      <c:catAx>
        <c:axId val="21396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3960992"/>
        <c:crosses val="autoZero"/>
        <c:auto val="1"/>
        <c:lblAlgn val="ctr"/>
        <c:lblOffset val="100"/>
        <c:noMultiLvlLbl val="0"/>
      </c:catAx>
      <c:valAx>
        <c:axId val="213960992"/>
        <c:scaling>
          <c:orientation val="minMax"/>
          <c:max val="1"/>
        </c:scaling>
        <c:delete val="1"/>
        <c:axPos val="l"/>
        <c:numFmt formatCode="0.0%" sourceLinked="1"/>
        <c:majorTickMark val="out"/>
        <c:minorTickMark val="none"/>
        <c:tickLblPos val="nextTo"/>
        <c:crossAx val="2139604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'10'!$A$5</c:f>
              <c:strCache>
                <c:ptCount val="1"/>
                <c:pt idx="0">
                  <c:v>2011</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'10'!$B$4:$G$4</c:f>
              <c:strCache>
                <c:ptCount val="6"/>
                <c:pt idx="0">
                  <c:v>Norte</c:v>
                </c:pt>
                <c:pt idx="1">
                  <c:v>Nordeste</c:v>
                </c:pt>
                <c:pt idx="2">
                  <c:v>Sudeste</c:v>
                </c:pt>
                <c:pt idx="3">
                  <c:v>Sul</c:v>
                </c:pt>
                <c:pt idx="4">
                  <c:v>Centro-Oeste</c:v>
                </c:pt>
                <c:pt idx="5">
                  <c:v>Brasil</c:v>
                </c:pt>
              </c:strCache>
            </c:strRef>
          </c:cat>
          <c:val>
            <c:numRef>
              <c:f>'10'!$B$5:$G$5</c:f>
              <c:numCache>
                <c:formatCode>0.0%</c:formatCode>
                <c:ptCount val="6"/>
                <c:pt idx="0">
                  <c:v>0.10296684118673648</c:v>
                </c:pt>
                <c:pt idx="1">
                  <c:v>5.2373158756137482E-2</c:v>
                </c:pt>
                <c:pt idx="2">
                  <c:v>5.4339010543390104E-2</c:v>
                </c:pt>
                <c:pt idx="3">
                  <c:v>4.519368723098996E-2</c:v>
                </c:pt>
                <c:pt idx="4">
                  <c:v>5.6856187290969896E-2</c:v>
                </c:pt>
                <c:pt idx="5">
                  <c:v>5.5919732441471574E-2</c:v>
                </c:pt>
              </c:numCache>
            </c:numRef>
          </c:val>
          <c:extLst>
            <c:ext xmlns:c16="http://schemas.microsoft.com/office/drawing/2014/chart" uri="{C3380CC4-5D6E-409C-BE32-E72D297353CC}">
              <c16:uniqueId val="{00000000-8A79-4DF5-B24E-1F383EBCA830}"/>
            </c:ext>
          </c:extLst>
        </c:ser>
        <c:ser>
          <c:idx val="1"/>
          <c:order val="1"/>
          <c:tx>
            <c:strRef>
              <c:f>'10'!$A$6</c:f>
              <c:strCache>
                <c:ptCount val="1"/>
                <c:pt idx="0">
                  <c:v>2012</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'10'!$B$4:$G$4</c:f>
              <c:strCache>
                <c:ptCount val="6"/>
                <c:pt idx="0">
                  <c:v>Norte</c:v>
                </c:pt>
                <c:pt idx="1">
                  <c:v>Nordeste</c:v>
                </c:pt>
                <c:pt idx="2">
                  <c:v>Sudeste</c:v>
                </c:pt>
                <c:pt idx="3">
                  <c:v>Sul</c:v>
                </c:pt>
                <c:pt idx="4">
                  <c:v>Centro-Oeste</c:v>
                </c:pt>
                <c:pt idx="5">
                  <c:v>Brasil</c:v>
                </c:pt>
              </c:strCache>
            </c:strRef>
          </c:cat>
          <c:val>
            <c:numRef>
              <c:f>'10'!$B$6:$G$6</c:f>
              <c:numCache>
                <c:formatCode>0.0%</c:formatCode>
                <c:ptCount val="6"/>
                <c:pt idx="0">
                  <c:v>0.3082077051926298</c:v>
                </c:pt>
                <c:pt idx="1">
                  <c:v>0.20263262863980855</c:v>
                </c:pt>
                <c:pt idx="2">
                  <c:v>0.11990686845168801</c:v>
                </c:pt>
                <c:pt idx="3">
                  <c:v>8.5180055401662055E-2</c:v>
                </c:pt>
                <c:pt idx="4">
                  <c:v>0.27333333333333332</c:v>
                </c:pt>
                <c:pt idx="5">
                  <c:v>0.16673139158576053</c:v>
                </c:pt>
              </c:numCache>
            </c:numRef>
          </c:val>
          <c:extLst>
            <c:ext xmlns:c16="http://schemas.microsoft.com/office/drawing/2014/chart" uri="{C3380CC4-5D6E-409C-BE32-E72D297353CC}">
              <c16:uniqueId val="{00000001-8A79-4DF5-B24E-1F383EBCA830}"/>
            </c:ext>
          </c:extLst>
        </c:ser>
        <c:ser>
          <c:idx val="2"/>
          <c:order val="2"/>
          <c:tx>
            <c:strRef>
              <c:f>'10'!$A$7</c:f>
              <c:strCache>
                <c:ptCount val="1"/>
                <c:pt idx="0">
                  <c:v>2013</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'10'!$B$4:$G$4</c:f>
              <c:strCache>
                <c:ptCount val="6"/>
                <c:pt idx="0">
                  <c:v>Norte</c:v>
                </c:pt>
                <c:pt idx="1">
                  <c:v>Nordeste</c:v>
                </c:pt>
                <c:pt idx="2">
                  <c:v>Sudeste</c:v>
                </c:pt>
                <c:pt idx="3">
                  <c:v>Sul</c:v>
                </c:pt>
                <c:pt idx="4">
                  <c:v>Centro-Oeste</c:v>
                </c:pt>
                <c:pt idx="5">
                  <c:v>Brasil</c:v>
                </c:pt>
              </c:strCache>
            </c:strRef>
          </c:cat>
          <c:val>
            <c:numRef>
              <c:f>'10'!$B$7:$G$7</c:f>
              <c:numCache>
                <c:formatCode>0.0%</c:formatCode>
                <c:ptCount val="6"/>
                <c:pt idx="0">
                  <c:v>0.31107491856677527</c:v>
                </c:pt>
                <c:pt idx="1">
                  <c:v>0.21079389910050841</c:v>
                </c:pt>
                <c:pt idx="2">
                  <c:v>0.10442678774120318</c:v>
                </c:pt>
                <c:pt idx="3">
                  <c:v>8.5675119945167924E-2</c:v>
                </c:pt>
                <c:pt idx="4">
                  <c:v>0.29016393442622951</c:v>
                </c:pt>
                <c:pt idx="5">
                  <c:v>0.16592667766078903</c:v>
                </c:pt>
              </c:numCache>
            </c:numRef>
          </c:val>
          <c:extLst>
            <c:ext xmlns:c16="http://schemas.microsoft.com/office/drawing/2014/chart" uri="{C3380CC4-5D6E-409C-BE32-E72D297353CC}">
              <c16:uniqueId val="{00000002-8A79-4DF5-B24E-1F383EBCA830}"/>
            </c:ext>
          </c:extLst>
        </c:ser>
        <c:ser>
          <c:idx val="3"/>
          <c:order val="3"/>
          <c:tx>
            <c:strRef>
              <c:f>'10'!$A$8</c:f>
              <c:strCache>
                <c:ptCount val="1"/>
                <c:pt idx="0">
                  <c:v>2014</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'10'!$B$4:$G$4</c:f>
              <c:strCache>
                <c:ptCount val="6"/>
                <c:pt idx="0">
                  <c:v>Norte</c:v>
                </c:pt>
                <c:pt idx="1">
                  <c:v>Nordeste</c:v>
                </c:pt>
                <c:pt idx="2">
                  <c:v>Sudeste</c:v>
                </c:pt>
                <c:pt idx="3">
                  <c:v>Sul</c:v>
                </c:pt>
                <c:pt idx="4">
                  <c:v>Centro-Oeste</c:v>
                </c:pt>
                <c:pt idx="5">
                  <c:v>Brasil</c:v>
                </c:pt>
              </c:strCache>
            </c:strRef>
          </c:cat>
          <c:val>
            <c:numRef>
              <c:f>'10'!$B$8:$G$8</c:f>
              <c:numCache>
                <c:formatCode>0.0%</c:formatCode>
                <c:ptCount val="6"/>
                <c:pt idx="0">
                  <c:v>0.35876623376623379</c:v>
                </c:pt>
                <c:pt idx="1">
                  <c:v>0.21562619685944082</c:v>
                </c:pt>
                <c:pt idx="2">
                  <c:v>0.10596745027124774</c:v>
                </c:pt>
                <c:pt idx="3">
                  <c:v>8.0808080808080815E-2</c:v>
                </c:pt>
                <c:pt idx="4">
                  <c:v>0.30605564648117839</c:v>
                </c:pt>
                <c:pt idx="5">
                  <c:v>0.17111770524233433</c:v>
                </c:pt>
              </c:numCache>
            </c:numRef>
          </c:val>
          <c:extLst>
            <c:ext xmlns:c16="http://schemas.microsoft.com/office/drawing/2014/chart" uri="{C3380CC4-5D6E-409C-BE32-E72D297353CC}">
              <c16:uniqueId val="{00000003-8A79-4DF5-B24E-1F383EBCA830}"/>
            </c:ext>
          </c:extLst>
        </c:ser>
        <c:ser>
          <c:idx val="4"/>
          <c:order val="4"/>
          <c:tx>
            <c:strRef>
              <c:f>'10'!$A$9</c:f>
              <c:strCache>
                <c:ptCount val="1"/>
                <c:pt idx="0">
                  <c:v>2015</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'10'!$B$4:$G$4</c:f>
              <c:strCache>
                <c:ptCount val="6"/>
                <c:pt idx="0">
                  <c:v>Norte</c:v>
                </c:pt>
                <c:pt idx="1">
                  <c:v>Nordeste</c:v>
                </c:pt>
                <c:pt idx="2">
                  <c:v>Sudeste</c:v>
                </c:pt>
                <c:pt idx="3">
                  <c:v>Sul</c:v>
                </c:pt>
                <c:pt idx="4">
                  <c:v>Centro-Oeste</c:v>
                </c:pt>
                <c:pt idx="5">
                  <c:v>Brasil</c:v>
                </c:pt>
              </c:strCache>
            </c:strRef>
          </c:cat>
          <c:val>
            <c:numRef>
              <c:f>'10'!$B$9:$G$9</c:f>
              <c:numCache>
                <c:formatCode>0.0%</c:formatCode>
                <c:ptCount val="6"/>
                <c:pt idx="0">
                  <c:v>0.36952998379254459</c:v>
                </c:pt>
                <c:pt idx="1">
                  <c:v>0.20305927342256214</c:v>
                </c:pt>
                <c:pt idx="2">
                  <c:v>0.10445632798573976</c:v>
                </c:pt>
                <c:pt idx="3">
                  <c:v>6.933333333333333E-2</c:v>
                </c:pt>
                <c:pt idx="4">
                  <c:v>0.29449838187702265</c:v>
                </c:pt>
                <c:pt idx="5">
                  <c:v>0.16407112201103619</c:v>
                </c:pt>
              </c:numCache>
            </c:numRef>
          </c:val>
          <c:extLst>
            <c:ext xmlns:c16="http://schemas.microsoft.com/office/drawing/2014/chart" uri="{C3380CC4-5D6E-409C-BE32-E72D297353CC}">
              <c16:uniqueId val="{00000004-8A79-4DF5-B24E-1F383EBCA830}"/>
            </c:ext>
          </c:extLst>
        </c:ser>
        <c:ser>
          <c:idx val="5"/>
          <c:order val="5"/>
          <c:tx>
            <c:strRef>
              <c:f>'10'!$A$10</c:f>
              <c:strCache>
                <c:ptCount val="1"/>
                <c:pt idx="0">
                  <c:v>2016</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'10'!$B$4:$G$4</c:f>
              <c:strCache>
                <c:ptCount val="6"/>
                <c:pt idx="0">
                  <c:v>Norte</c:v>
                </c:pt>
                <c:pt idx="1">
                  <c:v>Nordeste</c:v>
                </c:pt>
                <c:pt idx="2">
                  <c:v>Sudeste</c:v>
                </c:pt>
                <c:pt idx="3">
                  <c:v>Sul</c:v>
                </c:pt>
                <c:pt idx="4">
                  <c:v>Centro-Oeste</c:v>
                </c:pt>
                <c:pt idx="5">
                  <c:v>Brasil</c:v>
                </c:pt>
              </c:strCache>
            </c:strRef>
          </c:cat>
          <c:val>
            <c:numRef>
              <c:f>'10'!$B$10:$G$10</c:f>
              <c:numCache>
                <c:formatCode>0.0%</c:formatCode>
                <c:ptCount val="6"/>
                <c:pt idx="0">
                  <c:v>0.35209003215434082</c:v>
                </c:pt>
                <c:pt idx="1">
                  <c:v>0.19901626939084374</c:v>
                </c:pt>
                <c:pt idx="2">
                  <c:v>8.9405139035550862E-2</c:v>
                </c:pt>
                <c:pt idx="3">
                  <c:v>6.0646011865524062E-2</c:v>
                </c:pt>
                <c:pt idx="4">
                  <c:v>0.28363047001620745</c:v>
                </c:pt>
                <c:pt idx="5">
                  <c:v>0.15364077669902912</c:v>
                </c:pt>
              </c:numCache>
            </c:numRef>
          </c:val>
          <c:extLst>
            <c:ext xmlns:c16="http://schemas.microsoft.com/office/drawing/2014/chart" uri="{C3380CC4-5D6E-409C-BE32-E72D297353CC}">
              <c16:uniqueId val="{00000005-8A79-4DF5-B24E-1F383EBCA830}"/>
            </c:ext>
          </c:extLst>
        </c:ser>
        <c:dLbls>
          <c:dLblPos val="outEnd"/>
          <c:showLegendKey val="0"/>
          <c:showVal val="1"/>
          <c:showCatName val="0"/>
          <c:showSerName val="0"/>
          <c:showPercent val="0"/>
          <c:showBubbleSize val="0"/>
        </c:dLbls>
        <c:gapWidth val="219"/>
        <c:overlap val="-27"/>
        <c:axId val="214141632"/>
        <c:axId val="214142192"/>
      </c:barChart>
      <c:catAx>
        <c:axId val="21414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4142192"/>
        <c:crosses val="autoZero"/>
        <c:auto val="1"/>
        <c:lblAlgn val="ctr"/>
        <c:lblOffset val="100"/>
        <c:noMultiLvlLbl val="0"/>
      </c:catAx>
      <c:valAx>
        <c:axId val="214142192"/>
        <c:scaling>
          <c:orientation val="minMax"/>
          <c:max val="0.45"/>
        </c:scaling>
        <c:delete val="1"/>
        <c:axPos val="l"/>
        <c:numFmt formatCode="0.0%" sourceLinked="1"/>
        <c:majorTickMark val="out"/>
        <c:minorTickMark val="none"/>
        <c:tickLblPos val="nextTo"/>
        <c:crossAx val="2141416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'11'!$B$3</c:f>
              <c:strCache>
                <c:ptCount val="1"/>
                <c:pt idx="0">
                  <c:v>Crianças e Adolescentes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'11'!$A$4:$A$18</c:f>
              <c:strCache>
                <c:ptCount val="15"/>
                <c:pt idx="0">
                  <c:v>Trabalho infantil</c:v>
                </c:pt>
                <c:pt idx="1">
                  <c:v>Famílias com adolescentes em Cumprimento de Medida Socioeducativa</c:v>
                </c:pt>
                <c:pt idx="2">
                  <c:v>Famílias com pessoas egressas do sistema prisional</c:v>
                </c:pt>
                <c:pt idx="3">
                  <c:v>Famílias com pessoas adultas em privação de liberdade</c:v>
                </c:pt>
                <c:pt idx="4">
                  <c:v>Tráfico de pessoas</c:v>
                </c:pt>
                <c:pt idx="5">
                  <c:v>Negligência ou abandono</c:v>
                </c:pt>
                <c:pt idx="6">
                  <c:v>Família/Indivíduos com pessoas em Serviços de Acolhimento</c:v>
                </c:pt>
                <c:pt idx="7">
                  <c:v>Exploração sexual</c:v>
                </c:pt>
                <c:pt idx="8">
                  <c:v>Discriminação em decorrência da raça/etnia</c:v>
                </c:pt>
                <c:pt idx="9">
                  <c:v>Discriminação em decorrência da orientação sexual</c:v>
                </c:pt>
                <c:pt idx="10">
                  <c:v>Situação de rua</c:v>
                </c:pt>
                <c:pt idx="11">
                  <c:v>Abuso sexual/ Violência Sexual</c:v>
                </c:pt>
                <c:pt idx="12">
                  <c:v>Pessoas com deficiência vítimas de violência/violação de direitos</c:v>
                </c:pt>
                <c:pt idx="13">
                  <c:v>Violência física</c:v>
                </c:pt>
                <c:pt idx="14">
                  <c:v>Violência psicológica</c:v>
                </c:pt>
              </c:strCache>
            </c:strRef>
          </c:cat>
          <c:val>
            <c:numRef>
              <c:f>'11'!$B$4:$B$18</c:f>
              <c:numCache>
                <c:formatCode>0</c:formatCode>
                <c:ptCount val="15"/>
                <c:pt idx="0">
                  <c:v>2122</c:v>
                </c:pt>
                <c:pt idx="1">
                  <c:v>2218</c:v>
                </c:pt>
                <c:pt idx="4">
                  <c:v>940</c:v>
                </c:pt>
                <c:pt idx="5">
                  <c:v>2409</c:v>
                </c:pt>
                <c:pt idx="6">
                  <c:v>1991</c:v>
                </c:pt>
                <c:pt idx="7">
                  <c:v>2242</c:v>
                </c:pt>
                <c:pt idx="8">
                  <c:v>1578</c:v>
                </c:pt>
                <c:pt idx="9">
                  <c:v>1680</c:v>
                </c:pt>
                <c:pt idx="10">
                  <c:v>1537</c:v>
                </c:pt>
                <c:pt idx="11">
                  <c:v>2464</c:v>
                </c:pt>
                <c:pt idx="12">
                  <c:v>2208</c:v>
                </c:pt>
                <c:pt idx="13">
                  <c:v>2428</c:v>
                </c:pt>
                <c:pt idx="14">
                  <c:v>2442</c:v>
                </c:pt>
              </c:numCache>
            </c:numRef>
          </c:val>
          <c:extLst>
            <c:ext xmlns:c16="http://schemas.microsoft.com/office/drawing/2014/chart" uri="{C3380CC4-5D6E-409C-BE32-E72D297353CC}">
              <c16:uniqueId val="{00000000-01C5-484F-99DA-849FBC2C7560}"/>
            </c:ext>
          </c:extLst>
        </c:ser>
        <c:ser>
          <c:idx val="1"/>
          <c:order val="1"/>
          <c:tx>
            <c:strRef>
              <c:f>'11'!$C$3</c:f>
              <c:strCache>
                <c:ptCount val="1"/>
                <c:pt idx="0">
                  <c:v>Mulheres adultas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'11'!$A$4:$A$18</c:f>
              <c:strCache>
                <c:ptCount val="15"/>
                <c:pt idx="0">
                  <c:v>Trabalho infantil</c:v>
                </c:pt>
                <c:pt idx="1">
                  <c:v>Famílias com adolescentes em Cumprimento de Medida Socioeducativa</c:v>
                </c:pt>
                <c:pt idx="2">
                  <c:v>Famílias com pessoas egressas do sistema prisional</c:v>
                </c:pt>
                <c:pt idx="3">
                  <c:v>Famílias com pessoas adultas em privação de liberdade</c:v>
                </c:pt>
                <c:pt idx="4">
                  <c:v>Tráfico de pessoas</c:v>
                </c:pt>
                <c:pt idx="5">
                  <c:v>Negligência ou abandono</c:v>
                </c:pt>
                <c:pt idx="6">
                  <c:v>Família/Indivíduos com pessoas em Serviços de Acolhimento</c:v>
                </c:pt>
                <c:pt idx="7">
                  <c:v>Exploração sexual</c:v>
                </c:pt>
                <c:pt idx="8">
                  <c:v>Discriminação em decorrência da raça/etnia</c:v>
                </c:pt>
                <c:pt idx="9">
                  <c:v>Discriminação em decorrência da orientação sexual</c:v>
                </c:pt>
                <c:pt idx="10">
                  <c:v>Situação de rua</c:v>
                </c:pt>
                <c:pt idx="11">
                  <c:v>Abuso sexual/ Violência Sexual</c:v>
                </c:pt>
                <c:pt idx="12">
                  <c:v>Pessoas com deficiência vítimas de violência/violação de direitos</c:v>
                </c:pt>
                <c:pt idx="13">
                  <c:v>Violência física</c:v>
                </c:pt>
                <c:pt idx="14">
                  <c:v>Violência psicológica</c:v>
                </c:pt>
              </c:strCache>
            </c:strRef>
          </c:cat>
          <c:val>
            <c:numRef>
              <c:f>'11'!$C$4:$C$18</c:f>
              <c:numCache>
                <c:formatCode>0</c:formatCode>
                <c:ptCount val="15"/>
                <c:pt idx="2">
                  <c:v>975</c:v>
                </c:pt>
                <c:pt idx="3">
                  <c:v>1043</c:v>
                </c:pt>
                <c:pt idx="4">
                  <c:v>819</c:v>
                </c:pt>
                <c:pt idx="6">
                  <c:v>1145</c:v>
                </c:pt>
                <c:pt idx="7">
                  <c:v>1416</c:v>
                </c:pt>
                <c:pt idx="8">
                  <c:v>1453</c:v>
                </c:pt>
                <c:pt idx="9">
                  <c:v>1504</c:v>
                </c:pt>
                <c:pt idx="10">
                  <c:v>1590</c:v>
                </c:pt>
                <c:pt idx="11">
                  <c:v>1934</c:v>
                </c:pt>
                <c:pt idx="12">
                  <c:v>2052</c:v>
                </c:pt>
                <c:pt idx="13">
                  <c:v>2332</c:v>
                </c:pt>
                <c:pt idx="14">
                  <c:v>2329</c:v>
                </c:pt>
              </c:numCache>
            </c:numRef>
          </c:val>
          <c:extLst>
            <c:ext xmlns:c16="http://schemas.microsoft.com/office/drawing/2014/chart" uri="{C3380CC4-5D6E-409C-BE32-E72D297353CC}">
              <c16:uniqueId val="{00000001-01C5-484F-99DA-849FBC2C7560}"/>
            </c:ext>
          </c:extLst>
        </c:ser>
        <c:ser>
          <c:idx val="2"/>
          <c:order val="2"/>
          <c:tx>
            <c:strRef>
              <c:f>'11'!$D$3</c:f>
              <c:strCache>
                <c:ptCount val="1"/>
                <c:pt idx="0">
                  <c:v>Homens adultos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'11'!$A$4:$A$18</c:f>
              <c:strCache>
                <c:ptCount val="15"/>
                <c:pt idx="0">
                  <c:v>Trabalho infantil</c:v>
                </c:pt>
                <c:pt idx="1">
                  <c:v>Famílias com adolescentes em Cumprimento de Medida Socioeducativa</c:v>
                </c:pt>
                <c:pt idx="2">
                  <c:v>Famílias com pessoas egressas do sistema prisional</c:v>
                </c:pt>
                <c:pt idx="3">
                  <c:v>Famílias com pessoas adultas em privação de liberdade</c:v>
                </c:pt>
                <c:pt idx="4">
                  <c:v>Tráfico de pessoas</c:v>
                </c:pt>
                <c:pt idx="5">
                  <c:v>Negligência ou abandono</c:v>
                </c:pt>
                <c:pt idx="6">
                  <c:v>Família/Indivíduos com pessoas em Serviços de Acolhimento</c:v>
                </c:pt>
                <c:pt idx="7">
                  <c:v>Exploração sexual</c:v>
                </c:pt>
                <c:pt idx="8">
                  <c:v>Discriminação em decorrência da raça/etnia</c:v>
                </c:pt>
                <c:pt idx="9">
                  <c:v>Discriminação em decorrência da orientação sexual</c:v>
                </c:pt>
                <c:pt idx="10">
                  <c:v>Situação de rua</c:v>
                </c:pt>
                <c:pt idx="11">
                  <c:v>Abuso sexual/ Violência Sexual</c:v>
                </c:pt>
                <c:pt idx="12">
                  <c:v>Pessoas com deficiência vítimas de violência/violação de direitos</c:v>
                </c:pt>
                <c:pt idx="13">
                  <c:v>Violência física</c:v>
                </c:pt>
                <c:pt idx="14">
                  <c:v>Violência psicológica</c:v>
                </c:pt>
              </c:strCache>
            </c:strRef>
          </c:cat>
          <c:val>
            <c:numRef>
              <c:f>'11'!$D$4:$D$18</c:f>
              <c:numCache>
                <c:formatCode>0</c:formatCode>
                <c:ptCount val="15"/>
                <c:pt idx="2">
                  <c:v>979</c:v>
                </c:pt>
                <c:pt idx="3">
                  <c:v>971</c:v>
                </c:pt>
                <c:pt idx="4">
                  <c:v>698</c:v>
                </c:pt>
                <c:pt idx="6">
                  <c:v>1012</c:v>
                </c:pt>
                <c:pt idx="7">
                  <c:v>857</c:v>
                </c:pt>
                <c:pt idx="8">
                  <c:v>1396</c:v>
                </c:pt>
                <c:pt idx="9">
                  <c:v>1507</c:v>
                </c:pt>
                <c:pt idx="10">
                  <c:v>1679</c:v>
                </c:pt>
                <c:pt idx="11">
                  <c:v>974</c:v>
                </c:pt>
                <c:pt idx="12">
                  <c:v>1903</c:v>
                </c:pt>
                <c:pt idx="13">
                  <c:v>1348</c:v>
                </c:pt>
                <c:pt idx="14">
                  <c:v>1431</c:v>
                </c:pt>
              </c:numCache>
            </c:numRef>
          </c:val>
          <c:extLst>
            <c:ext xmlns:c16="http://schemas.microsoft.com/office/drawing/2014/chart" uri="{C3380CC4-5D6E-409C-BE32-E72D297353CC}">
              <c16:uniqueId val="{00000002-01C5-484F-99DA-849FBC2C7560}"/>
            </c:ext>
          </c:extLst>
        </c:ser>
        <c:ser>
          <c:idx val="3"/>
          <c:order val="3"/>
          <c:tx>
            <c:strRef>
              <c:f>'11'!$E$3</c:f>
              <c:strCache>
                <c:ptCount val="1"/>
                <c:pt idx="0">
                  <c:v>Idosos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'11'!$A$4:$A$18</c:f>
              <c:strCache>
                <c:ptCount val="15"/>
                <c:pt idx="0">
                  <c:v>Trabalho infantil</c:v>
                </c:pt>
                <c:pt idx="1">
                  <c:v>Famílias com adolescentes em Cumprimento de Medida Socioeducativa</c:v>
                </c:pt>
                <c:pt idx="2">
                  <c:v>Famílias com pessoas egressas do sistema prisional</c:v>
                </c:pt>
                <c:pt idx="3">
                  <c:v>Famílias com pessoas adultas em privação de liberdade</c:v>
                </c:pt>
                <c:pt idx="4">
                  <c:v>Tráfico de pessoas</c:v>
                </c:pt>
                <c:pt idx="5">
                  <c:v>Negligência ou abandono</c:v>
                </c:pt>
                <c:pt idx="6">
                  <c:v>Família/Indivíduos com pessoas em Serviços de Acolhimento</c:v>
                </c:pt>
                <c:pt idx="7">
                  <c:v>Exploração sexual</c:v>
                </c:pt>
                <c:pt idx="8">
                  <c:v>Discriminação em decorrência da raça/etnia</c:v>
                </c:pt>
                <c:pt idx="9">
                  <c:v>Discriminação em decorrência da orientação sexual</c:v>
                </c:pt>
                <c:pt idx="10">
                  <c:v>Situação de rua</c:v>
                </c:pt>
                <c:pt idx="11">
                  <c:v>Abuso sexual/ Violência Sexual</c:v>
                </c:pt>
                <c:pt idx="12">
                  <c:v>Pessoas com deficiência vítimas de violência/violação de direitos</c:v>
                </c:pt>
                <c:pt idx="13">
                  <c:v>Violência física</c:v>
                </c:pt>
                <c:pt idx="14">
                  <c:v>Violência psicológica</c:v>
                </c:pt>
              </c:strCache>
            </c:strRef>
          </c:cat>
          <c:val>
            <c:numRef>
              <c:f>'11'!$E$4:$E$18</c:f>
              <c:numCache>
                <c:formatCode>0</c:formatCode>
                <c:ptCount val="15"/>
                <c:pt idx="2">
                  <c:v>670</c:v>
                </c:pt>
                <c:pt idx="3">
                  <c:v>790</c:v>
                </c:pt>
                <c:pt idx="4">
                  <c:v>717</c:v>
                </c:pt>
                <c:pt idx="5">
                  <c:v>2255</c:v>
                </c:pt>
                <c:pt idx="6">
                  <c:v>1392</c:v>
                </c:pt>
                <c:pt idx="7">
                  <c:v>1135</c:v>
                </c:pt>
                <c:pt idx="8">
                  <c:v>1335</c:v>
                </c:pt>
                <c:pt idx="9">
                  <c:v>1188</c:v>
                </c:pt>
                <c:pt idx="10">
                  <c:v>1509</c:v>
                </c:pt>
                <c:pt idx="11">
                  <c:v>1516</c:v>
                </c:pt>
                <c:pt idx="12">
                  <c:v>2081</c:v>
                </c:pt>
                <c:pt idx="13">
                  <c:v>2299</c:v>
                </c:pt>
                <c:pt idx="14">
                  <c:v>2314</c:v>
                </c:pt>
              </c:numCache>
            </c:numRef>
          </c:val>
          <c:extLst>
            <c:ext xmlns:c16="http://schemas.microsoft.com/office/drawing/2014/chart" uri="{C3380CC4-5D6E-409C-BE32-E72D297353CC}">
              <c16:uniqueId val="{00000003-01C5-484F-99DA-849FBC2C7560}"/>
            </c:ext>
          </c:extLst>
        </c:ser>
        <c:ser>
          <c:idx val="4"/>
          <c:order val="4"/>
          <c:tx>
            <c:strRef>
              <c:f>'11'!$F$3</c:f>
              <c:strCache>
                <c:ptCount val="1"/>
                <c:pt idx="0">
                  <c:v>Não atende este tipo de situação</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'11'!$A$4:$A$18</c:f>
              <c:strCache>
                <c:ptCount val="15"/>
                <c:pt idx="0">
                  <c:v>Trabalho infantil</c:v>
                </c:pt>
                <c:pt idx="1">
                  <c:v>Famílias com adolescentes em Cumprimento de Medida Socioeducativa</c:v>
                </c:pt>
                <c:pt idx="2">
                  <c:v>Famílias com pessoas egressas do sistema prisional</c:v>
                </c:pt>
                <c:pt idx="3">
                  <c:v>Famílias com pessoas adultas em privação de liberdade</c:v>
                </c:pt>
                <c:pt idx="4">
                  <c:v>Tráfico de pessoas</c:v>
                </c:pt>
                <c:pt idx="5">
                  <c:v>Negligência ou abandono</c:v>
                </c:pt>
                <c:pt idx="6">
                  <c:v>Família/Indivíduos com pessoas em Serviços de Acolhimento</c:v>
                </c:pt>
                <c:pt idx="7">
                  <c:v>Exploração sexual</c:v>
                </c:pt>
                <c:pt idx="8">
                  <c:v>Discriminação em decorrência da raça/etnia</c:v>
                </c:pt>
                <c:pt idx="9">
                  <c:v>Discriminação em decorrência da orientação sexual</c:v>
                </c:pt>
                <c:pt idx="10">
                  <c:v>Situação de rua</c:v>
                </c:pt>
                <c:pt idx="11">
                  <c:v>Abuso sexual/ Violência Sexual</c:v>
                </c:pt>
                <c:pt idx="12">
                  <c:v>Pessoas com deficiência vítimas de violência/violação de direitos</c:v>
                </c:pt>
                <c:pt idx="13">
                  <c:v>Violência física</c:v>
                </c:pt>
                <c:pt idx="14">
                  <c:v>Violência psicológica</c:v>
                </c:pt>
              </c:strCache>
            </c:strRef>
          </c:cat>
          <c:val>
            <c:numRef>
              <c:f>'11'!$F$4:$F$18</c:f>
              <c:numCache>
                <c:formatCode>0</c:formatCode>
                <c:ptCount val="15"/>
                <c:pt idx="0">
                  <c:v>399</c:v>
                </c:pt>
                <c:pt idx="1">
                  <c:v>303</c:v>
                </c:pt>
                <c:pt idx="2">
                  <c:v>1422</c:v>
                </c:pt>
                <c:pt idx="3">
                  <c:v>1363</c:v>
                </c:pt>
                <c:pt idx="4">
                  <c:v>1533</c:v>
                </c:pt>
                <c:pt idx="5">
                  <c:v>50</c:v>
                </c:pt>
                <c:pt idx="6">
                  <c:v>435</c:v>
                </c:pt>
                <c:pt idx="7">
                  <c:v>255</c:v>
                </c:pt>
                <c:pt idx="8">
                  <c:v>856</c:v>
                </c:pt>
                <c:pt idx="9">
                  <c:v>650</c:v>
                </c:pt>
                <c:pt idx="10">
                  <c:v>565</c:v>
                </c:pt>
                <c:pt idx="11">
                  <c:v>40</c:v>
                </c:pt>
                <c:pt idx="12">
                  <c:v>126</c:v>
                </c:pt>
                <c:pt idx="13">
                  <c:v>33</c:v>
                </c:pt>
                <c:pt idx="14">
                  <c:v>29</c:v>
                </c:pt>
              </c:numCache>
            </c:numRef>
          </c:val>
          <c:extLst>
            <c:ext xmlns:c16="http://schemas.microsoft.com/office/drawing/2014/chart" uri="{C3380CC4-5D6E-409C-BE32-E72D297353CC}">
              <c16:uniqueId val="{00000004-01C5-484F-99DA-849FBC2C7560}"/>
            </c:ext>
          </c:extLst>
        </c:ser>
        <c:dLbls>
          <c:dLblPos val="ctr"/>
          <c:showLegendKey val="0"/>
          <c:showVal val="1"/>
          <c:showCatName val="0"/>
          <c:showSerName val="0"/>
          <c:showPercent val="0"/>
          <c:showBubbleSize val="0"/>
        </c:dLbls>
        <c:gapWidth val="150"/>
        <c:overlap val="100"/>
        <c:axId val="214147232"/>
        <c:axId val="214147792"/>
      </c:barChart>
      <c:catAx>
        <c:axId val="214147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4147792"/>
        <c:crosses val="autoZero"/>
        <c:auto val="1"/>
        <c:lblAlgn val="ctr"/>
        <c:lblOffset val="100"/>
        <c:noMultiLvlLbl val="0"/>
      </c:catAx>
      <c:valAx>
        <c:axId val="214147792"/>
        <c:scaling>
          <c:orientation val="minMax"/>
        </c:scaling>
        <c:delete val="1"/>
        <c:axPos val="b"/>
        <c:numFmt formatCode="0" sourceLinked="1"/>
        <c:majorTickMark val="none"/>
        <c:minorTickMark val="none"/>
        <c:tickLblPos val="nextTo"/>
        <c:crossAx val="2141472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'12'!$A$3:$A$24</c:f>
              <c:strCache>
                <c:ptCount val="22"/>
                <c:pt idx="0">
                  <c:v>Outros.</c:v>
                </c:pt>
                <c:pt idx="1">
                  <c:v>Grupo/oficina com famílias ou indivíduos</c:v>
                </c:pt>
                <c:pt idx="2">
                  <c:v>Orientação jurídico-social</c:v>
                </c:pt>
                <c:pt idx="3">
                  <c:v>Elaboração do Plano de Acompanhamento Familiar</c:v>
                </c:pt>
                <c:pt idx="4">
                  <c:v>Orientação/acompanhamento para inserção no BPC</c:v>
                </c:pt>
                <c:pt idx="5">
                  <c:v>Apoio para obtenção de Documentação pessoal</c:v>
                </c:pt>
                <c:pt idx="6">
                  <c:v>Palestras</c:v>
                </c:pt>
                <c:pt idx="7">
                  <c:v>Ações de mobilização e sensibilização para o enfrentamento das situações de violação de direitos</c:v>
                </c:pt>
                <c:pt idx="8">
                  <c:v>Encaminhamento para obtenção de Benefícios Eventuais</c:v>
                </c:pt>
                <c:pt idx="9">
                  <c:v>Encaminhamento para inserção/atualização de famílias no Cadastro Único</c:v>
                </c:pt>
                <c:pt idx="10">
                  <c:v>Registro do acompanhamento individual/familiar em prontuário</c:v>
                </c:pt>
                <c:pt idx="11">
                  <c:v>Acolhida Particularizada realizada por técnico de nível superior</c:v>
                </c:pt>
                <c:pt idx="12">
                  <c:v>Encaminhamento de famílias ou indivíduos para outras políticas públicas (educação, habitação, trabalho, etc.)</c:v>
                </c:pt>
                <c:pt idx="13">
                  <c:v>Acompanhamento dos encaminhamentos realizados</c:v>
                </c:pt>
                <c:pt idx="14">
                  <c:v>Elaboração de relatórios técnicos sobre casos em acompanhamento</c:v>
                </c:pt>
                <c:pt idx="15">
                  <c:v>Encaminhamento para órgãos de defesa e responsabilização (Defensoria Pública, Promotoria, Ministério Público, etc.)</c:v>
                </c:pt>
                <c:pt idx="16">
                  <c:v>Encaminhamento para o Conselho Tutelar</c:v>
                </c:pt>
                <c:pt idx="17">
                  <c:v>Encaminhamento de famílias ou indivíduos para a rede de serviço socioassistencial</c:v>
                </c:pt>
                <c:pt idx="18">
                  <c:v>Encaminhamento para serviços da rede de saúde</c:v>
                </c:pt>
                <c:pt idx="19">
                  <c:v>Encaminhamento para o CRAS</c:v>
                </c:pt>
                <c:pt idx="20">
                  <c:v>Acompanhamento individual/familiar</c:v>
                </c:pt>
                <c:pt idx="21">
                  <c:v>Visitas domiciliares</c:v>
                </c:pt>
              </c:strCache>
            </c:strRef>
          </c:cat>
          <c:val>
            <c:numRef>
              <c:f>'12'!$C$3:$C$24</c:f>
              <c:numCache>
                <c:formatCode>0.0%</c:formatCode>
                <c:ptCount val="22"/>
                <c:pt idx="0">
                  <c:v>8.250694168980563E-2</c:v>
                </c:pt>
                <c:pt idx="1">
                  <c:v>0.72471241570805234</c:v>
                </c:pt>
                <c:pt idx="2">
                  <c:v>0.75247917493058314</c:v>
                </c:pt>
                <c:pt idx="3">
                  <c:v>0.79968266560888535</c:v>
                </c:pt>
                <c:pt idx="4">
                  <c:v>0.83895279650932175</c:v>
                </c:pt>
                <c:pt idx="5">
                  <c:v>0.86354621182070612</c:v>
                </c:pt>
                <c:pt idx="6">
                  <c:v>0.89289964299880997</c:v>
                </c:pt>
                <c:pt idx="7">
                  <c:v>0.91550971836572792</c:v>
                </c:pt>
                <c:pt idx="8">
                  <c:v>0.93454978183260606</c:v>
                </c:pt>
                <c:pt idx="9">
                  <c:v>0.93573978579928596</c:v>
                </c:pt>
                <c:pt idx="10">
                  <c:v>0.96548988496628319</c:v>
                </c:pt>
                <c:pt idx="11">
                  <c:v>0.97619992066640227</c:v>
                </c:pt>
                <c:pt idx="12">
                  <c:v>0.97699325664418879</c:v>
                </c:pt>
                <c:pt idx="13">
                  <c:v>0.98056326854422848</c:v>
                </c:pt>
                <c:pt idx="14">
                  <c:v>0.98095993653312175</c:v>
                </c:pt>
                <c:pt idx="15">
                  <c:v>0.98135660452201512</c:v>
                </c:pt>
                <c:pt idx="16">
                  <c:v>0.9849266164220547</c:v>
                </c:pt>
                <c:pt idx="17">
                  <c:v>0.99008330027766756</c:v>
                </c:pt>
                <c:pt idx="18">
                  <c:v>0.99087663625545419</c:v>
                </c:pt>
                <c:pt idx="19">
                  <c:v>0.99444664815549388</c:v>
                </c:pt>
                <c:pt idx="20">
                  <c:v>0.99523998413328041</c:v>
                </c:pt>
                <c:pt idx="21">
                  <c:v>0.99523998413328041</c:v>
                </c:pt>
              </c:numCache>
            </c:numRef>
          </c:val>
          <c:extLst>
            <c:ext xmlns:c16="http://schemas.microsoft.com/office/drawing/2014/chart" uri="{C3380CC4-5D6E-409C-BE32-E72D297353CC}">
              <c16:uniqueId val="{00000000-CC59-45F4-9020-B0B638BCEA02}"/>
            </c:ext>
          </c:extLst>
        </c:ser>
        <c:dLbls>
          <c:dLblPos val="inEnd"/>
          <c:showLegendKey val="0"/>
          <c:showVal val="1"/>
          <c:showCatName val="0"/>
          <c:showSerName val="0"/>
          <c:showPercent val="0"/>
          <c:showBubbleSize val="0"/>
        </c:dLbls>
        <c:gapWidth val="182"/>
        <c:axId val="214151152"/>
        <c:axId val="214151712"/>
      </c:barChart>
      <c:catAx>
        <c:axId val="214151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14151712"/>
        <c:crosses val="autoZero"/>
        <c:auto val="1"/>
        <c:lblAlgn val="ctr"/>
        <c:lblOffset val="100"/>
        <c:noMultiLvlLbl val="0"/>
      </c:catAx>
      <c:valAx>
        <c:axId val="214151712"/>
        <c:scaling>
          <c:orientation val="minMax"/>
          <c:max val="1"/>
        </c:scaling>
        <c:delete val="1"/>
        <c:axPos val="b"/>
        <c:numFmt formatCode="0.0%" sourceLinked="1"/>
        <c:majorTickMark val="out"/>
        <c:minorTickMark val="none"/>
        <c:tickLblPos val="nextTo"/>
        <c:crossAx val="214151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'13'!$A$3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'13'!$A$4:$A$9</c:f>
              <c:strCache>
                <c:ptCount val="6"/>
                <c:pt idx="0">
                  <c:v>Em Entidade Conveniada</c:v>
                </c:pt>
                <c:pt idx="1">
                  <c:v>Em outra unidade pública</c:v>
                </c:pt>
                <c:pt idx="2">
                  <c:v>No(s) Centro POP</c:v>
                </c:pt>
                <c:pt idx="3">
                  <c:v>Na sede/órgão gestor do município</c:v>
                </c:pt>
                <c:pt idx="4">
                  <c:v>No(s) CREAS</c:v>
                </c:pt>
                <c:pt idx="5">
                  <c:v>Não realiza</c:v>
                </c:pt>
              </c:strCache>
            </c:strRef>
          </c:cat>
          <c:val>
            <c:numRef>
              <c:f>'13'!$B$4:$B$9</c:f>
              <c:numCache>
                <c:formatCode>#,##0</c:formatCode>
                <c:ptCount val="6"/>
                <c:pt idx="0">
                  <c:v>58</c:v>
                </c:pt>
                <c:pt idx="1">
                  <c:v>77</c:v>
                </c:pt>
                <c:pt idx="2">
                  <c:v>161</c:v>
                </c:pt>
                <c:pt idx="3">
                  <c:v>421</c:v>
                </c:pt>
                <c:pt idx="4">
                  <c:v>1319</c:v>
                </c:pt>
                <c:pt idx="5">
                  <c:v>3663</c:v>
                </c:pt>
              </c:numCache>
            </c:numRef>
          </c:val>
          <c:extLst>
            <c:ext xmlns:c16="http://schemas.microsoft.com/office/drawing/2014/chart" uri="{C3380CC4-5D6E-409C-BE32-E72D297353CC}">
              <c16:uniqueId val="{00000000-8517-4FC3-BF6D-175C87F5FA60}"/>
            </c:ext>
          </c:extLst>
        </c:ser>
        <c:ser>
          <c:idx val="1"/>
          <c:order val="1"/>
          <c:tx>
            <c:strRef>
              <c:f>'13'!$A$12</c:f>
              <c:strCache>
                <c:ptCount val="1"/>
                <c:pt idx="0">
                  <c:v>2015</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'13'!$B$13:$B$18</c:f>
              <c:numCache>
                <c:formatCode>#,##0</c:formatCode>
                <c:ptCount val="6"/>
                <c:pt idx="0">
                  <c:v>152</c:v>
                </c:pt>
                <c:pt idx="1">
                  <c:v>161</c:v>
                </c:pt>
                <c:pt idx="2">
                  <c:v>186</c:v>
                </c:pt>
                <c:pt idx="3">
                  <c:v>955</c:v>
                </c:pt>
                <c:pt idx="4">
                  <c:v>1590</c:v>
                </c:pt>
                <c:pt idx="5">
                  <c:v>2831</c:v>
                </c:pt>
              </c:numCache>
            </c:numRef>
          </c:val>
          <c:extLst>
            <c:ext xmlns:c16="http://schemas.microsoft.com/office/drawing/2014/chart" uri="{C3380CC4-5D6E-409C-BE32-E72D297353CC}">
              <c16:uniqueId val="{00000000-4644-4858-B2F0-527E03459C7C}"/>
            </c:ext>
          </c:extLst>
        </c:ser>
        <c:dLbls>
          <c:dLblPos val="outEnd"/>
          <c:showLegendKey val="0"/>
          <c:showVal val="1"/>
          <c:showCatName val="0"/>
          <c:showSerName val="0"/>
          <c:showPercent val="0"/>
          <c:showBubbleSize val="0"/>
        </c:dLbls>
        <c:gapWidth val="182"/>
        <c:axId val="214153952"/>
        <c:axId val="214154512"/>
      </c:barChart>
      <c:catAx>
        <c:axId val="214153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crossAx val="214154512"/>
        <c:crosses val="autoZero"/>
        <c:auto val="1"/>
        <c:lblAlgn val="ctr"/>
        <c:lblOffset val="100"/>
        <c:noMultiLvlLbl val="0"/>
      </c:catAx>
      <c:valAx>
        <c:axId val="214154512"/>
        <c:scaling>
          <c:orientation val="minMax"/>
        </c:scaling>
        <c:delete val="1"/>
        <c:axPos val="b"/>
        <c:numFmt formatCode="#,##0" sourceLinked="1"/>
        <c:majorTickMark val="none"/>
        <c:minorTickMark val="none"/>
        <c:tickLblPos val="nextTo"/>
        <c:crossAx val="2141539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'15'!$A$3:$A$11</c:f>
              <c:strCache>
                <c:ptCount val="9"/>
                <c:pt idx="0">
                  <c:v>Atende em outra unidade pública (exceto CREAS) de acompanhamento de adolescentes em cumprimento de medida socioeducativa (LA) ou (PSC) do município.</c:v>
                </c:pt>
                <c:pt idx="1">
                  <c:v>Encaminha para o CREAS de outro município.</c:v>
                </c:pt>
                <c:pt idx="2">
                  <c:v>Encaminha para alguma entidade conveniada no município.</c:v>
                </c:pt>
                <c:pt idx="3">
                  <c:v>Encaminha para o CREAS Regional ao qual está vinculado.</c:v>
                </c:pt>
                <c:pt idx="4">
                  <c:v>Outro.</c:v>
                </c:pt>
                <c:pt idx="5">
                  <c:v>Não atende</c:v>
                </c:pt>
                <c:pt idx="6">
                  <c:v>É atendido pela equipe de referência da proteção social especial do município (órgão gestor).</c:v>
                </c:pt>
                <c:pt idx="7">
                  <c:v>Encaminha para o CRAS</c:v>
                </c:pt>
                <c:pt idx="8">
                  <c:v>Atende no CREAS do município.</c:v>
                </c:pt>
              </c:strCache>
            </c:strRef>
          </c:cat>
          <c:val>
            <c:numRef>
              <c:f>'15'!$C$3:$C$11</c:f>
              <c:numCache>
                <c:formatCode>0.0%</c:formatCode>
                <c:ptCount val="9"/>
                <c:pt idx="0">
                  <c:v>1.9521985039226419E-2</c:v>
                </c:pt>
                <c:pt idx="1">
                  <c:v>2.9556650246305417E-2</c:v>
                </c:pt>
                <c:pt idx="2">
                  <c:v>3.4665207079000185E-2</c:v>
                </c:pt>
                <c:pt idx="3">
                  <c:v>4.2510490786352856E-2</c:v>
                </c:pt>
                <c:pt idx="4">
                  <c:v>5.9295748950921365E-2</c:v>
                </c:pt>
                <c:pt idx="5">
                  <c:v>9.870461594599525E-2</c:v>
                </c:pt>
                <c:pt idx="6">
                  <c:v>0.1625615763546798</c:v>
                </c:pt>
                <c:pt idx="7">
                  <c:v>0.35668673599708084</c:v>
                </c:pt>
                <c:pt idx="8">
                  <c:v>0.37529647874475458</c:v>
                </c:pt>
              </c:numCache>
            </c:numRef>
          </c:val>
          <c:extLst>
            <c:ext xmlns:c16="http://schemas.microsoft.com/office/drawing/2014/chart" uri="{C3380CC4-5D6E-409C-BE32-E72D297353CC}">
              <c16:uniqueId val="{00000000-8E8D-4F11-91FD-98BE381C3C85}"/>
            </c:ext>
          </c:extLst>
        </c:ser>
        <c:dLbls>
          <c:dLblPos val="outEnd"/>
          <c:showLegendKey val="0"/>
          <c:showVal val="1"/>
          <c:showCatName val="0"/>
          <c:showSerName val="0"/>
          <c:showPercent val="0"/>
          <c:showBubbleSize val="0"/>
        </c:dLbls>
        <c:gapWidth val="182"/>
        <c:axId val="264006096"/>
        <c:axId val="264006656"/>
      </c:barChart>
      <c:catAx>
        <c:axId val="264006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006656"/>
        <c:crosses val="autoZero"/>
        <c:auto val="1"/>
        <c:lblAlgn val="ctr"/>
        <c:lblOffset val="100"/>
        <c:noMultiLvlLbl val="0"/>
      </c:catAx>
      <c:valAx>
        <c:axId val="264006656"/>
        <c:scaling>
          <c:orientation val="minMax"/>
          <c:max val="0.45"/>
        </c:scaling>
        <c:delete val="1"/>
        <c:axPos val="b"/>
        <c:numFmt formatCode="0.0%" sourceLinked="1"/>
        <c:majorTickMark val="out"/>
        <c:minorTickMark val="none"/>
        <c:tickLblPos val="nextTo"/>
        <c:crossAx val="26400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'16'!$B$2</c:f>
              <c:strCache>
                <c:ptCount val="1"/>
                <c:pt idx="0">
                  <c:v>Quantidade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'16'!$A$3:$A$9</c:f>
              <c:numCache>
                <c:formatCode>General</c:formatCode>
                <c:ptCount val="7"/>
                <c:pt idx="0">
                  <c:v>2010</c:v>
                </c:pt>
                <c:pt idx="1">
                  <c:v>2011</c:v>
                </c:pt>
                <c:pt idx="2">
                  <c:v>2012</c:v>
                </c:pt>
                <c:pt idx="3">
                  <c:v>2013</c:v>
                </c:pt>
                <c:pt idx="4">
                  <c:v>2014</c:v>
                </c:pt>
                <c:pt idx="5">
                  <c:v>2015</c:v>
                </c:pt>
                <c:pt idx="6">
                  <c:v>2016</c:v>
                </c:pt>
              </c:numCache>
            </c:numRef>
          </c:cat>
          <c:val>
            <c:numRef>
              <c:f>'16'!$B$3:$B$9</c:f>
              <c:numCache>
                <c:formatCode>General</c:formatCode>
                <c:ptCount val="7"/>
                <c:pt idx="0">
                  <c:v>1099</c:v>
                </c:pt>
                <c:pt idx="1">
                  <c:v>1431</c:v>
                </c:pt>
                <c:pt idx="2">
                  <c:v>1561</c:v>
                </c:pt>
                <c:pt idx="3">
                  <c:v>1650</c:v>
                </c:pt>
                <c:pt idx="4">
                  <c:v>1846</c:v>
                </c:pt>
                <c:pt idx="5">
                  <c:v>1973</c:v>
                </c:pt>
                <c:pt idx="6">
                  <c:v>2018</c:v>
                </c:pt>
              </c:numCache>
            </c:numRef>
          </c:val>
          <c:extLst>
            <c:ext xmlns:c16="http://schemas.microsoft.com/office/drawing/2014/chart" uri="{C3380CC4-5D6E-409C-BE32-E72D297353CC}">
              <c16:uniqueId val="{00000000-2A57-4605-BA6B-589D3AB32B6F}"/>
            </c:ext>
          </c:extLst>
        </c:ser>
        <c:dLbls>
          <c:dLblPos val="outEnd"/>
          <c:showLegendKey val="0"/>
          <c:showVal val="1"/>
          <c:showCatName val="0"/>
          <c:showSerName val="0"/>
          <c:showPercent val="0"/>
          <c:showBubbleSize val="0"/>
        </c:dLbls>
        <c:gapWidth val="219"/>
        <c:overlap val="-27"/>
        <c:axId val="264009456"/>
        <c:axId val="264010016"/>
      </c:barChart>
      <c:lineChart>
        <c:grouping val="standard"/>
        <c:varyColors val="0"/>
        <c:ser>
          <c:idx val="1"/>
          <c:order val="1"/>
          <c:tx>
            <c:strRef>
              <c:f>'16'!$D$2</c:f>
              <c:strCache>
                <c:ptCount val="1"/>
                <c:pt idx="0">
                  <c:v>Percentual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'16'!$A$3:$A$9</c:f>
              <c:numCache>
                <c:formatCode>General</c:formatCode>
                <c:ptCount val="7"/>
                <c:pt idx="0">
                  <c:v>2010</c:v>
                </c:pt>
                <c:pt idx="1">
                  <c:v>2011</c:v>
                </c:pt>
                <c:pt idx="2">
                  <c:v>2012</c:v>
                </c:pt>
                <c:pt idx="3">
                  <c:v>2013</c:v>
                </c:pt>
                <c:pt idx="4">
                  <c:v>2014</c:v>
                </c:pt>
                <c:pt idx="5">
                  <c:v>2015</c:v>
                </c:pt>
                <c:pt idx="6">
                  <c:v>2016</c:v>
                </c:pt>
              </c:numCache>
            </c:numRef>
          </c:cat>
          <c:val>
            <c:numRef>
              <c:f>'16'!$D$3:$D$9</c:f>
              <c:numCache>
                <c:formatCode>0.0%</c:formatCode>
                <c:ptCount val="7"/>
                <c:pt idx="0">
                  <c:v>0.69119496855345908</c:v>
                </c:pt>
                <c:pt idx="1">
                  <c:v>0.67852062588904694</c:v>
                </c:pt>
                <c:pt idx="2">
                  <c:v>0.72035071527457317</c:v>
                </c:pt>
                <c:pt idx="3">
                  <c:v>0.73365940417963538</c:v>
                </c:pt>
                <c:pt idx="4">
                  <c:v>0.77824620573355818</c:v>
                </c:pt>
                <c:pt idx="5">
                  <c:v>0.81026694045174541</c:v>
                </c:pt>
                <c:pt idx="6">
                  <c:v>0.80047600158667198</c:v>
                </c:pt>
              </c:numCache>
            </c:numRef>
          </c:val>
          <c:smooth val="0"/>
          <c:extLst>
            <c:ext xmlns:c16="http://schemas.microsoft.com/office/drawing/2014/chart" uri="{C3380CC4-5D6E-409C-BE32-E72D297353CC}">
              <c16:uniqueId val="{00000001-2A57-4605-BA6B-589D3AB32B6F}"/>
            </c:ext>
          </c:extLst>
        </c:ser>
        <c:dLbls>
          <c:showLegendKey val="0"/>
          <c:showVal val="1"/>
          <c:showCatName val="0"/>
          <c:showSerName val="0"/>
          <c:showPercent val="0"/>
          <c:showBubbleSize val="0"/>
        </c:dLbls>
        <c:marker val="1"/>
        <c:smooth val="0"/>
        <c:axId val="264011136"/>
        <c:axId val="264010576"/>
      </c:lineChart>
      <c:catAx>
        <c:axId val="26400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010016"/>
        <c:crosses val="autoZero"/>
        <c:auto val="1"/>
        <c:lblAlgn val="ctr"/>
        <c:lblOffset val="100"/>
        <c:noMultiLvlLbl val="0"/>
      </c:catAx>
      <c:valAx>
        <c:axId val="26401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009456"/>
        <c:crosses val="autoZero"/>
        <c:crossBetween val="between"/>
      </c:valAx>
      <c:valAx>
        <c:axId val="264010576"/>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011136"/>
        <c:crosses val="max"/>
        <c:crossBetween val="between"/>
      </c:valAx>
      <c:catAx>
        <c:axId val="264011136"/>
        <c:scaling>
          <c:orientation val="minMax"/>
        </c:scaling>
        <c:delete val="1"/>
        <c:axPos val="b"/>
        <c:numFmt formatCode="General" sourceLinked="1"/>
        <c:majorTickMark val="none"/>
        <c:minorTickMark val="none"/>
        <c:tickLblPos val="nextTo"/>
        <c:crossAx val="264010576"/>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'17'!$A$3:$A$26</c:f>
              <c:strCache>
                <c:ptCount val="24"/>
                <c:pt idx="0">
                  <c:v>Provisão de órteses e próteses</c:v>
                </c:pt>
                <c:pt idx="1">
                  <c:v>Provimento de bens materiais</c:v>
                </c:pt>
                <c:pt idx="2">
                  <c:v>Orientação sobre tecnologias assistivas</c:v>
                </c:pt>
                <c:pt idx="3">
                  <c:v>Palestras e Oficinas envolvendo a comunidade</c:v>
                </c:pt>
                <c:pt idx="4">
                  <c:v>Mobilização dos usuários para acesso ao serviço</c:v>
                </c:pt>
                <c:pt idx="5">
                  <c:v>Elaboração de Plano de Acompanhamento Individual e/ou Familiar</c:v>
                </c:pt>
                <c:pt idx="6">
                  <c:v>Orientação para realização de cadastro no Cadúnico</c:v>
                </c:pt>
                <c:pt idx="7">
                  <c:v>Encaminhamento para política de educação</c:v>
                </c:pt>
                <c:pt idx="8">
                  <c:v>Acompanhamento dos usuários encaminhados para a rede</c:v>
                </c:pt>
                <c:pt idx="9">
                  <c:v>Orientação e apoio nos autocuidados</c:v>
                </c:pt>
                <c:pt idx="10">
                  <c:v>Estudo social</c:v>
                </c:pt>
                <c:pt idx="11">
                  <c:v>Encaminhamento para serviços/Unidades das demais políticas públicas</c:v>
                </c:pt>
                <c:pt idx="12">
                  <c:v>Apoio e orientação aos cuidadores familiares</c:v>
                </c:pt>
                <c:pt idx="13">
                  <c:v>Atividades com a família do usuário</c:v>
                </c:pt>
                <c:pt idx="14">
                  <c:v>Registro de informações em prontuário</c:v>
                </c:pt>
                <c:pt idx="15">
                  <c:v>Orientação e apoio para obtenção de documentação pessoal</c:v>
                </c:pt>
                <c:pt idx="16">
                  <c:v>Elaboração de relatórios sobre casos em acompanhamento</c:v>
                </c:pt>
                <c:pt idx="17">
                  <c:v>Encaminhamento para órgãos de defesa de direitos (Defensoria Pública, Ministério Público, Conselho Tutelar etc.)</c:v>
                </c:pt>
                <c:pt idx="18">
                  <c:v>Visitas Domiciliares</c:v>
                </c:pt>
                <c:pt idx="19">
                  <c:v>Oficinas e atividades coletivas de convívio e socialização</c:v>
                </c:pt>
                <c:pt idx="20">
                  <c:v>Orientação sobre acesso ao BPC e outros benefícios</c:v>
                </c:pt>
                <c:pt idx="21">
                  <c:v>Encaminhamento para a rede de serviços socioassistenciais</c:v>
                </c:pt>
                <c:pt idx="22">
                  <c:v>Encaminhamento para os serviços da rede de saúde</c:v>
                </c:pt>
                <c:pt idx="23">
                  <c:v>Acolhida e escuta inicial</c:v>
                </c:pt>
              </c:strCache>
            </c:strRef>
          </c:cat>
          <c:val>
            <c:numRef>
              <c:f>'17'!$C$3:$C$26</c:f>
              <c:numCache>
                <c:formatCode>0.0%</c:formatCode>
                <c:ptCount val="24"/>
                <c:pt idx="0">
                  <c:v>0.22801788375558868</c:v>
                </c:pt>
                <c:pt idx="1">
                  <c:v>0.23695976154992549</c:v>
                </c:pt>
                <c:pt idx="2">
                  <c:v>0.5275707898658718</c:v>
                </c:pt>
                <c:pt idx="3">
                  <c:v>0.64828614008941876</c:v>
                </c:pt>
                <c:pt idx="4">
                  <c:v>0.71013412816691501</c:v>
                </c:pt>
                <c:pt idx="5">
                  <c:v>0.73248882265275705</c:v>
                </c:pt>
                <c:pt idx="6">
                  <c:v>0.76005961251862886</c:v>
                </c:pt>
                <c:pt idx="7">
                  <c:v>0.7764530551415797</c:v>
                </c:pt>
                <c:pt idx="8">
                  <c:v>0.80104321907600595</c:v>
                </c:pt>
                <c:pt idx="9">
                  <c:v>0.82637853949329354</c:v>
                </c:pt>
                <c:pt idx="10">
                  <c:v>0.856929955290611</c:v>
                </c:pt>
                <c:pt idx="11">
                  <c:v>0.85767511177347244</c:v>
                </c:pt>
                <c:pt idx="12">
                  <c:v>0.8763040238450075</c:v>
                </c:pt>
                <c:pt idx="13">
                  <c:v>0.88077496274217582</c:v>
                </c:pt>
                <c:pt idx="14">
                  <c:v>0.88375558867362147</c:v>
                </c:pt>
                <c:pt idx="15">
                  <c:v>0.89195230998509689</c:v>
                </c:pt>
                <c:pt idx="16">
                  <c:v>0.89493293591654244</c:v>
                </c:pt>
                <c:pt idx="17">
                  <c:v>0.89567809239940388</c:v>
                </c:pt>
                <c:pt idx="18">
                  <c:v>0.89865871833084943</c:v>
                </c:pt>
                <c:pt idx="19">
                  <c:v>0.90163934426229508</c:v>
                </c:pt>
                <c:pt idx="20">
                  <c:v>0.93964232488822652</c:v>
                </c:pt>
                <c:pt idx="21">
                  <c:v>0.9470938897168405</c:v>
                </c:pt>
                <c:pt idx="22">
                  <c:v>0.95827123695976157</c:v>
                </c:pt>
                <c:pt idx="23">
                  <c:v>0.96646795827123699</c:v>
                </c:pt>
              </c:numCache>
            </c:numRef>
          </c:val>
          <c:extLst>
            <c:ext xmlns:c16="http://schemas.microsoft.com/office/drawing/2014/chart" uri="{C3380CC4-5D6E-409C-BE32-E72D297353CC}">
              <c16:uniqueId val="{00000000-73F0-4303-9196-7A68661AE92D}"/>
            </c:ext>
          </c:extLst>
        </c:ser>
        <c:dLbls>
          <c:dLblPos val="outEnd"/>
          <c:showLegendKey val="0"/>
          <c:showVal val="1"/>
          <c:showCatName val="0"/>
          <c:showSerName val="0"/>
          <c:showPercent val="0"/>
          <c:showBubbleSize val="0"/>
        </c:dLbls>
        <c:gapWidth val="182"/>
        <c:axId val="264013936"/>
        <c:axId val="264014496"/>
      </c:barChart>
      <c:catAx>
        <c:axId val="26401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014496"/>
        <c:crosses val="autoZero"/>
        <c:auto val="1"/>
        <c:lblAlgn val="ctr"/>
        <c:lblOffset val="100"/>
        <c:noMultiLvlLbl val="0"/>
      </c:catAx>
      <c:valAx>
        <c:axId val="264014496"/>
        <c:scaling>
          <c:orientation val="minMax"/>
          <c:max val="1.1000000000000001"/>
        </c:scaling>
        <c:delete val="1"/>
        <c:axPos val="b"/>
        <c:numFmt formatCode="0.0%" sourceLinked="1"/>
        <c:majorTickMark val="out"/>
        <c:minorTickMark val="none"/>
        <c:tickLblPos val="nextTo"/>
        <c:crossAx val="264013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'18'!$A$3:$A$8</c:f>
              <c:strCache>
                <c:ptCount val="6"/>
                <c:pt idx="0">
                  <c:v>Crianças de 0 a 6 anos, com deficiência</c:v>
                </c:pt>
                <c:pt idx="1">
                  <c:v>Crianças de 7 a 14 anos, com deficiência</c:v>
                </c:pt>
                <c:pt idx="2">
                  <c:v>Adolescentes de 15 a 17 anos, com deficiência</c:v>
                </c:pt>
                <c:pt idx="3">
                  <c:v>Adultos (18 a 59 anos) com deficiência</c:v>
                </c:pt>
                <c:pt idx="4">
                  <c:v>Idosos (60 anos ou mais) com deficiência</c:v>
                </c:pt>
                <c:pt idx="5">
                  <c:v>Idosos (60 anos ou mais) dependentes pela idade, sem deficiência</c:v>
                </c:pt>
              </c:strCache>
            </c:strRef>
          </c:cat>
          <c:val>
            <c:numRef>
              <c:f>'18'!$D$3:$D$8</c:f>
              <c:numCache>
                <c:formatCode>#,##0</c:formatCode>
                <c:ptCount val="6"/>
                <c:pt idx="0">
                  <c:v>25911</c:v>
                </c:pt>
                <c:pt idx="1">
                  <c:v>45021</c:v>
                </c:pt>
                <c:pt idx="2">
                  <c:v>18754</c:v>
                </c:pt>
                <c:pt idx="3">
                  <c:v>66251</c:v>
                </c:pt>
                <c:pt idx="4">
                  <c:v>7883</c:v>
                </c:pt>
                <c:pt idx="5">
                  <c:v>5268</c:v>
                </c:pt>
              </c:numCache>
            </c:numRef>
          </c:val>
          <c:extLst>
            <c:ext xmlns:c16="http://schemas.microsoft.com/office/drawing/2014/chart" uri="{C3380CC4-5D6E-409C-BE32-E72D297353CC}">
              <c16:uniqueId val="{00000000-586C-42D9-B92D-9E4D480A9381}"/>
            </c:ext>
          </c:extLst>
        </c:ser>
        <c:dLbls>
          <c:dLblPos val="outEnd"/>
          <c:showLegendKey val="0"/>
          <c:showVal val="1"/>
          <c:showCatName val="0"/>
          <c:showSerName val="0"/>
          <c:showPercent val="0"/>
          <c:showBubbleSize val="0"/>
        </c:dLbls>
        <c:gapWidth val="182"/>
        <c:axId val="264016736"/>
        <c:axId val="264017296"/>
      </c:barChart>
      <c:catAx>
        <c:axId val="264016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017296"/>
        <c:crosses val="autoZero"/>
        <c:auto val="1"/>
        <c:lblAlgn val="ctr"/>
        <c:lblOffset val="100"/>
        <c:noMultiLvlLbl val="0"/>
      </c:catAx>
      <c:valAx>
        <c:axId val="264017296"/>
        <c:scaling>
          <c:orientation val="minMax"/>
          <c:max val="80000"/>
        </c:scaling>
        <c:delete val="1"/>
        <c:axPos val="b"/>
        <c:numFmt formatCode="#,##0" sourceLinked="1"/>
        <c:majorTickMark val="out"/>
        <c:minorTickMark val="none"/>
        <c:tickLblPos val="nextTo"/>
        <c:crossAx val="264016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9202746111959883"/>
          <c:y val="1.3126491646778043E-2"/>
          <c:w val="0.48376855878089864"/>
          <c:h val="0.95919061131678351"/>
        </c:manualLayout>
      </c:layout>
      <c:barChart>
        <c:barDir val="bar"/>
        <c:grouping val="clustered"/>
        <c:varyColors val="0"/>
        <c:ser>
          <c:idx val="0"/>
          <c:order val="0"/>
          <c:tx>
            <c:strRef>
              <c:f>'19'!$C$2</c:f>
              <c:strCache>
                <c:ptCount val="1"/>
                <c:pt idx="0">
                  <c:v>%</c:v>
                </c:pt>
              </c:strCache>
            </c:strRef>
          </c:tx>
          <c:spPr>
            <a:solidFill>
              <a:schemeClr val="accent1"/>
            </a:solidFill>
            <a:ln>
              <a:noFill/>
            </a:ln>
            <a:effectLst/>
          </c:spPr>
          <c:invertIfNegative val="0"/>
          <c:dLbls>
            <c:numFmt formatCode="0.0%" sourceLinked="0"/>
            <c:spPr>
              <a:no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dk1"/>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'19'!$A$3:$A$25</c:f>
              <c:strCache>
                <c:ptCount val="23"/>
                <c:pt idx="0">
                  <c:v>Outras</c:v>
                </c:pt>
                <c:pt idx="1">
                  <c:v>Avaliação para concessão de aluguel social</c:v>
                </c:pt>
                <c:pt idx="2">
                  <c:v>Orientação sociojurídica</c:v>
                </c:pt>
                <c:pt idx="3">
                  <c:v>Mobilização de família extensa ou ampliada</c:v>
                </c:pt>
                <c:pt idx="4">
                  <c:v>Acolhida em Grupo realizada por profissional de nível superior</c:v>
                </c:pt>
                <c:pt idx="5">
                  <c:v>Ações de mobilização e participação social</c:v>
                </c:pt>
                <c:pt idx="6">
                  <c:v>Palestras</c:v>
                </c:pt>
                <c:pt idx="7">
                  <c:v>Encaminhamento de famílias ou indivíduos para políticas de educação (jovens e adultos, etc.)</c:v>
                </c:pt>
                <c:pt idx="8">
                  <c:v>Elaboração de Plano de Acompanhamento Individual e/ou Familiar</c:v>
                </c:pt>
                <c:pt idx="9">
                  <c:v>Mobilização e fortalecimento do convívio e de redes sociais de apoio</c:v>
                </c:pt>
                <c:pt idx="10">
                  <c:v>Acompanhamento dos usuários encaminhados para a rede</c:v>
                </c:pt>
                <c:pt idx="11">
                  <c:v>Orientação/acompanhamento para inserção no BPC</c:v>
                </c:pt>
                <c:pt idx="12">
                  <c:v>Encaminhamento de famílias ou indivíduos para demais políticas (trabalho, habitação, etc.)</c:v>
                </c:pt>
                <c:pt idx="13">
                  <c:v>Registro das informações em prontuário</c:v>
                </c:pt>
                <c:pt idx="14">
                  <c:v>Acolhida Particularizada realizada por técnico de nível superior</c:v>
                </c:pt>
                <c:pt idx="15">
                  <c:v>Atendimento particularizado de famílias ou indivíduos</c:v>
                </c:pt>
                <c:pt idx="16">
                  <c:v>Estudo de Caso/Discussão de casos em equipe</c:v>
                </c:pt>
                <c:pt idx="17">
                  <c:v>Encaminhamento para órgãos de defesa de direitos (Defensoria Pública, Poder Judiciário, Ministério Público, Conselho Tutelar, etc.)</c:v>
                </c:pt>
                <c:pt idx="18">
                  <c:v>Elaboração de relatórios técnicos sobre casos em atendimento</c:v>
                </c:pt>
                <c:pt idx="19">
                  <c:v>Encaminhamento de famílias ou indivíduos para a rede de serviço socioassistencial</c:v>
                </c:pt>
                <c:pt idx="20">
                  <c:v>Encaminhamento para outros serviços da rede de saúde</c:v>
                </c:pt>
                <c:pt idx="21">
                  <c:v>Encaminhamento de usuários/dependentes de substâncias psicoativas para serviços da rede de saúde</c:v>
                </c:pt>
                <c:pt idx="22">
                  <c:v>Apoio para obtenção de documentação pessoal</c:v>
                </c:pt>
              </c:strCache>
            </c:strRef>
          </c:cat>
          <c:val>
            <c:numRef>
              <c:f>'19'!$C$3:$C$25</c:f>
              <c:numCache>
                <c:formatCode>0.0%</c:formatCode>
                <c:ptCount val="23"/>
                <c:pt idx="0">
                  <c:v>0.2565217391304348</c:v>
                </c:pt>
                <c:pt idx="1">
                  <c:v>0.33478260869565218</c:v>
                </c:pt>
                <c:pt idx="2">
                  <c:v>0.44347826086956521</c:v>
                </c:pt>
                <c:pt idx="3">
                  <c:v>0.7</c:v>
                </c:pt>
                <c:pt idx="4">
                  <c:v>0.7</c:v>
                </c:pt>
                <c:pt idx="5">
                  <c:v>0.76956521739130435</c:v>
                </c:pt>
                <c:pt idx="6">
                  <c:v>0.77391304347826084</c:v>
                </c:pt>
                <c:pt idx="7">
                  <c:v>0.83913043478260874</c:v>
                </c:pt>
                <c:pt idx="8">
                  <c:v>0.85217391304347823</c:v>
                </c:pt>
                <c:pt idx="9">
                  <c:v>0.87826086956521743</c:v>
                </c:pt>
                <c:pt idx="10">
                  <c:v>0.94782608695652171</c:v>
                </c:pt>
                <c:pt idx="11">
                  <c:v>0.94782608695652171</c:v>
                </c:pt>
                <c:pt idx="12">
                  <c:v>0.96086956521739131</c:v>
                </c:pt>
                <c:pt idx="13">
                  <c:v>0.96086956521739131</c:v>
                </c:pt>
                <c:pt idx="14">
                  <c:v>0.9652173913043478</c:v>
                </c:pt>
                <c:pt idx="15">
                  <c:v>0.9695652173913043</c:v>
                </c:pt>
                <c:pt idx="16">
                  <c:v>0.9695652173913043</c:v>
                </c:pt>
                <c:pt idx="17">
                  <c:v>0.97391304347826091</c:v>
                </c:pt>
                <c:pt idx="18">
                  <c:v>0.97391304347826091</c:v>
                </c:pt>
                <c:pt idx="19">
                  <c:v>0.97826086956521741</c:v>
                </c:pt>
                <c:pt idx="20">
                  <c:v>0.9869565217391304</c:v>
                </c:pt>
                <c:pt idx="21">
                  <c:v>0.9956521739130435</c:v>
                </c:pt>
                <c:pt idx="22">
                  <c:v>1</c:v>
                </c:pt>
              </c:numCache>
            </c:numRef>
          </c:val>
          <c:extLst>
            <c:ext xmlns:c16="http://schemas.microsoft.com/office/drawing/2014/chart" uri="{C3380CC4-5D6E-409C-BE32-E72D297353CC}">
              <c16:uniqueId val="{00000000-C5DB-4877-BD1B-CFFF228A6CCF}"/>
            </c:ext>
          </c:extLst>
        </c:ser>
        <c:dLbls>
          <c:dLblPos val="outEnd"/>
          <c:showLegendKey val="0"/>
          <c:showVal val="1"/>
          <c:showCatName val="0"/>
          <c:showSerName val="0"/>
          <c:showPercent val="0"/>
          <c:showBubbleSize val="0"/>
        </c:dLbls>
        <c:gapWidth val="182"/>
        <c:axId val="264982928"/>
        <c:axId val="264983488"/>
      </c:barChart>
      <c:catAx>
        <c:axId val="264982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264983488"/>
        <c:crosses val="autoZero"/>
        <c:auto val="1"/>
        <c:lblAlgn val="ctr"/>
        <c:lblOffset val="100"/>
        <c:noMultiLvlLbl val="0"/>
      </c:catAx>
      <c:valAx>
        <c:axId val="264983488"/>
        <c:scaling>
          <c:orientation val="minMax"/>
        </c:scaling>
        <c:delete val="1"/>
        <c:axPos val="b"/>
        <c:numFmt formatCode="0.0%" sourceLinked="1"/>
        <c:majorTickMark val="out"/>
        <c:minorTickMark val="none"/>
        <c:tickLblPos val="nextTo"/>
        <c:crossAx val="264982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'20'!$A$5</c:f>
              <c:strCache>
                <c:ptCount val="1"/>
                <c:pt idx="0">
                  <c:v>Unidades de acolhimento que fazem PIA de cada pessoa acolhida</c:v>
                </c:pt>
              </c:strCache>
            </c:strRef>
          </c:tx>
          <c:spPr>
            <a:solidFill>
              <a:schemeClr val="accent1"/>
            </a:solidFill>
            <a:ln>
              <a:noFill/>
            </a:ln>
            <a:effectLst/>
          </c:spPr>
          <c:invertIfNegative val="0"/>
          <c:dLbls>
            <c:delete val="1"/>
          </c:dLbls>
          <c:cat>
            <c:strRef>
              <c:f>'20'!$B$2:$H$2</c:f>
              <c:strCache>
                <c:ptCount val="7"/>
                <c:pt idx="0">
                  <c:v>Crianças/adolescentes</c:v>
                </c:pt>
                <c:pt idx="1">
                  <c:v>Jovens egressos de serviços de acolhimento</c:v>
                </c:pt>
                <c:pt idx="2">
                  <c:v>Exclusivamente crianças/adolescentes com deficiência</c:v>
                </c:pt>
                <c:pt idx="3">
                  <c:v>Exclusivamente para pessoas adultas com deficiência</c:v>
                </c:pt>
                <c:pt idx="4">
                  <c:v>Adultos e famílias</c:v>
                </c:pt>
                <c:pt idx="5">
                  <c:v>Mulheres em situação de violência doméstica ou familiar</c:v>
                </c:pt>
                <c:pt idx="6">
                  <c:v>Pessoas idosas</c:v>
                </c:pt>
              </c:strCache>
            </c:strRef>
          </c:cat>
          <c:val>
            <c:numRef>
              <c:f>'20'!$B$5:$H$5</c:f>
              <c:numCache>
                <c:formatCode>#,##0</c:formatCode>
                <c:ptCount val="7"/>
                <c:pt idx="0">
                  <c:v>2931</c:v>
                </c:pt>
                <c:pt idx="1">
                  <c:v>22</c:v>
                </c:pt>
                <c:pt idx="2">
                  <c:v>33</c:v>
                </c:pt>
                <c:pt idx="3">
                  <c:v>219</c:v>
                </c:pt>
                <c:pt idx="4">
                  <c:v>514</c:v>
                </c:pt>
                <c:pt idx="5">
                  <c:v>72</c:v>
                </c:pt>
                <c:pt idx="6">
                  <c:v>1138</c:v>
                </c:pt>
              </c:numCache>
            </c:numRef>
          </c:val>
          <c:extLst>
            <c:ext xmlns:c16="http://schemas.microsoft.com/office/drawing/2014/chart" uri="{C3380CC4-5D6E-409C-BE32-E72D297353CC}">
              <c16:uniqueId val="{00000000-D5AC-454E-80F6-70155EFE1A49}"/>
            </c:ext>
          </c:extLst>
        </c:ser>
        <c:ser>
          <c:idx val="1"/>
          <c:order val="1"/>
          <c:tx>
            <c:strRef>
              <c:f>'20'!$A$7</c:f>
              <c:strCache>
                <c:ptCount val="1"/>
                <c:pt idx="0">
                  <c:v>Unidades de acolhimento que não fazem PIA de cada pessoa acolhida</c:v>
                </c:pt>
              </c:strCache>
            </c:strRef>
          </c:tx>
          <c:spPr>
            <a:solidFill>
              <a:schemeClr val="accent2"/>
            </a:solidFill>
            <a:ln>
              <a:noFill/>
            </a:ln>
            <a:effectLst/>
          </c:spPr>
          <c:invertIfNegative val="0"/>
          <c:dLbls>
            <c:delete val="1"/>
          </c:dLbls>
          <c:cat>
            <c:strRef>
              <c:f>'20'!$B$2:$H$2</c:f>
              <c:strCache>
                <c:ptCount val="7"/>
                <c:pt idx="0">
                  <c:v>Crianças/adolescentes</c:v>
                </c:pt>
                <c:pt idx="1">
                  <c:v>Jovens egressos de serviços de acolhimento</c:v>
                </c:pt>
                <c:pt idx="2">
                  <c:v>Exclusivamente crianças/adolescentes com deficiência</c:v>
                </c:pt>
                <c:pt idx="3">
                  <c:v>Exclusivamente para pessoas adultas com deficiência</c:v>
                </c:pt>
                <c:pt idx="4">
                  <c:v>Adultos e famílias</c:v>
                </c:pt>
                <c:pt idx="5">
                  <c:v>Mulheres em situação de violência doméstica ou familiar</c:v>
                </c:pt>
                <c:pt idx="6">
                  <c:v>Pessoas idosas</c:v>
                </c:pt>
              </c:strCache>
            </c:strRef>
          </c:cat>
          <c:val>
            <c:numRef>
              <c:f>'20'!$B$7:$H$7</c:f>
              <c:numCache>
                <c:formatCode>#,##0</c:formatCode>
                <c:ptCount val="7"/>
                <c:pt idx="0">
                  <c:v>34</c:v>
                </c:pt>
                <c:pt idx="1">
                  <c:v>3</c:v>
                </c:pt>
                <c:pt idx="2">
                  <c:v>0</c:v>
                </c:pt>
                <c:pt idx="3">
                  <c:v>21</c:v>
                </c:pt>
                <c:pt idx="4">
                  <c:v>96</c:v>
                </c:pt>
                <c:pt idx="5">
                  <c:v>11</c:v>
                </c:pt>
                <c:pt idx="6">
                  <c:v>279</c:v>
                </c:pt>
              </c:numCache>
            </c:numRef>
          </c:val>
          <c:extLst>
            <c:ext xmlns:c16="http://schemas.microsoft.com/office/drawing/2014/chart" uri="{C3380CC4-5D6E-409C-BE32-E72D297353CC}">
              <c16:uniqueId val="{00000001-D5AC-454E-80F6-70155EFE1A49}"/>
            </c:ext>
          </c:extLst>
        </c:ser>
        <c:ser>
          <c:idx val="2"/>
          <c:order val="2"/>
          <c:tx>
            <c:v/>
          </c:tx>
          <c:spPr>
            <a:no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'20'!$B$6:$H$6</c:f>
              <c:numCache>
                <c:formatCode>0.0%</c:formatCode>
                <c:ptCount val="7"/>
                <c:pt idx="0">
                  <c:v>0.98853288364249581</c:v>
                </c:pt>
                <c:pt idx="1">
                  <c:v>0.88</c:v>
                </c:pt>
                <c:pt idx="2">
                  <c:v>1</c:v>
                </c:pt>
                <c:pt idx="3">
                  <c:v>0.91249999999999998</c:v>
                </c:pt>
                <c:pt idx="4">
                  <c:v>0.84262295081967209</c:v>
                </c:pt>
                <c:pt idx="5">
                  <c:v>0.86746987951807231</c:v>
                </c:pt>
                <c:pt idx="6">
                  <c:v>0.80310515172900498</c:v>
                </c:pt>
              </c:numCache>
            </c:numRef>
          </c:val>
          <c:extLst>
            <c:ext xmlns:c16="http://schemas.microsoft.com/office/drawing/2014/chart" uri="{C3380CC4-5D6E-409C-BE32-E72D297353CC}">
              <c16:uniqueId val="{00000002-D5AC-454E-80F6-70155EFE1A49}"/>
            </c:ext>
          </c:extLst>
        </c:ser>
        <c:dLbls>
          <c:showLegendKey val="0"/>
          <c:showVal val="1"/>
          <c:showCatName val="0"/>
          <c:showSerName val="0"/>
          <c:showPercent val="0"/>
          <c:showBubbleSize val="0"/>
        </c:dLbls>
        <c:gapWidth val="150"/>
        <c:overlap val="100"/>
        <c:axId val="264986288"/>
        <c:axId val="264986848"/>
      </c:barChart>
      <c:catAx>
        <c:axId val="26498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986848"/>
        <c:crosses val="autoZero"/>
        <c:auto val="1"/>
        <c:lblAlgn val="ctr"/>
        <c:lblOffset val="100"/>
        <c:noMultiLvlLbl val="0"/>
      </c:catAx>
      <c:valAx>
        <c:axId val="2649868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9862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'21'!$A$3:$A$19</c:f>
              <c:strCache>
                <c:ptCount val="17"/>
                <c:pt idx="0">
                  <c:v>Não realiza nenhuma das atividades listadas</c:v>
                </c:pt>
                <c:pt idx="1">
                  <c:v>Reuniões com grupos de famílias dos usuários</c:v>
                </c:pt>
                <c:pt idx="2">
                  <c:v>Envio de relatório semestral para o Judiciário (exclusivo para acolhimento de criança/adolescente)</c:v>
                </c:pt>
                <c:pt idx="3">
                  <c:v>Acompanhamento escolar</c:v>
                </c:pt>
                <c:pt idx="4">
                  <c:v>Palestras / oficinas</c:v>
                </c:pt>
                <c:pt idx="5">
                  <c:v>Atendimento psicossocial em grupos</c:v>
                </c:pt>
                <c:pt idx="6">
                  <c:v>Atendimento psicossocial das famílias das pessoas acolhidas (orientação familiar)</c:v>
                </c:pt>
                <c:pt idx="7">
                  <c:v>Promove contato e a participação da família na vida do usuário</c:v>
                </c:pt>
                <c:pt idx="8">
                  <c:v>Visitas domiciliares da equipe técnica da Unidade à família do usuário</c:v>
                </c:pt>
                <c:pt idx="9">
                  <c:v>Organização e discussão das rotinas das Unidades com os acolhidos</c:v>
                </c:pt>
                <c:pt idx="10">
                  <c:v>Promove atividades com participação da Comunidade</c:v>
                </c:pt>
                <c:pt idx="11">
                  <c:v>Promove a participação das pessoas acolhidas em serviços, projetos ou atividades existentes na comunidade</c:v>
                </c:pt>
                <c:pt idx="12">
                  <c:v>Atendimento psicossocial individualizado</c:v>
                </c:pt>
                <c:pt idx="13">
                  <c:v>Passeios com usuários</c:v>
                </c:pt>
                <c:pt idx="14">
                  <c:v>Encaminhamento para retirada de documentos</c:v>
                </c:pt>
                <c:pt idx="15">
                  <c:v>Discussão de casos com outros profissionais da rede</c:v>
                </c:pt>
                <c:pt idx="16">
                  <c:v>Elaboração de relatórios técnicos sobre casos em acompanhamento</c:v>
                </c:pt>
              </c:strCache>
            </c:strRef>
          </c:cat>
          <c:val>
            <c:numRef>
              <c:f>'21'!$C$3:$C$19</c:f>
              <c:numCache>
                <c:formatCode>0.0%</c:formatCode>
                <c:ptCount val="17"/>
                <c:pt idx="0">
                  <c:v>9.1679640200657327E-3</c:v>
                </c:pt>
                <c:pt idx="1">
                  <c:v>0.45147898287493515</c:v>
                </c:pt>
                <c:pt idx="2">
                  <c:v>0.48970766303407715</c:v>
                </c:pt>
                <c:pt idx="3">
                  <c:v>0.57516000691921809</c:v>
                </c:pt>
                <c:pt idx="4">
                  <c:v>0.5819062445943608</c:v>
                </c:pt>
                <c:pt idx="5">
                  <c:v>0.60698841030963502</c:v>
                </c:pt>
                <c:pt idx="6">
                  <c:v>0.61805915931499744</c:v>
                </c:pt>
                <c:pt idx="7">
                  <c:v>0.65179034769071098</c:v>
                </c:pt>
                <c:pt idx="8">
                  <c:v>0.70921985815602839</c:v>
                </c:pt>
                <c:pt idx="9">
                  <c:v>0.71856080262930289</c:v>
                </c:pt>
                <c:pt idx="10">
                  <c:v>0.76734129043418098</c:v>
                </c:pt>
                <c:pt idx="11">
                  <c:v>0.78723404255319152</c:v>
                </c:pt>
                <c:pt idx="12">
                  <c:v>0.78775298391281789</c:v>
                </c:pt>
                <c:pt idx="13">
                  <c:v>0.8245978204462896</c:v>
                </c:pt>
                <c:pt idx="14">
                  <c:v>0.82926829268292679</c:v>
                </c:pt>
                <c:pt idx="15">
                  <c:v>0.85158277114686043</c:v>
                </c:pt>
                <c:pt idx="16">
                  <c:v>0.85936689154125578</c:v>
                </c:pt>
              </c:numCache>
            </c:numRef>
          </c:val>
          <c:extLst>
            <c:ext xmlns:c16="http://schemas.microsoft.com/office/drawing/2014/chart" uri="{C3380CC4-5D6E-409C-BE32-E72D297353CC}">
              <c16:uniqueId val="{00000000-626B-4C5F-99FC-DB43E3FA41B6}"/>
            </c:ext>
          </c:extLst>
        </c:ser>
        <c:dLbls>
          <c:dLblPos val="outEnd"/>
          <c:showLegendKey val="0"/>
          <c:showVal val="1"/>
          <c:showCatName val="0"/>
          <c:showSerName val="0"/>
          <c:showPercent val="0"/>
          <c:showBubbleSize val="0"/>
        </c:dLbls>
        <c:gapWidth val="182"/>
        <c:axId val="264989648"/>
        <c:axId val="264990208"/>
      </c:barChart>
      <c:catAx>
        <c:axId val="264989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990208"/>
        <c:crosses val="autoZero"/>
        <c:auto val="1"/>
        <c:lblAlgn val="ctr"/>
        <c:lblOffset val="100"/>
        <c:noMultiLvlLbl val="0"/>
      </c:catAx>
      <c:valAx>
        <c:axId val="264990208"/>
        <c:scaling>
          <c:orientation val="minMax"/>
        </c:scaling>
        <c:delete val="1"/>
        <c:axPos val="b"/>
        <c:numFmt formatCode="0.0%" sourceLinked="1"/>
        <c:majorTickMark val="none"/>
        <c:minorTickMark val="none"/>
        <c:tickLblPos val="nextTo"/>
        <c:crossAx val="264989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'22'!$B$2:$C$2</c:f>
              <c:strCache>
                <c:ptCount val="1"/>
                <c:pt idx="0">
                  <c:v>Percentual de municípios que possuem Serviço de Acolhimento em Família Acolhedora para Criança e Adolescente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'22'!$A$3:$A$8</c:f>
              <c:strCache>
                <c:ptCount val="6"/>
                <c:pt idx="0">
                  <c:v>Norte</c:v>
                </c:pt>
                <c:pt idx="1">
                  <c:v>Nordeste</c:v>
                </c:pt>
                <c:pt idx="2">
                  <c:v>Sudeste</c:v>
                </c:pt>
                <c:pt idx="3">
                  <c:v>Sul</c:v>
                </c:pt>
                <c:pt idx="4">
                  <c:v>Centro-Oeste</c:v>
                </c:pt>
                <c:pt idx="5">
                  <c:v>Brasil</c:v>
                </c:pt>
              </c:strCache>
            </c:strRef>
          </c:cat>
          <c:val>
            <c:numRef>
              <c:f>'22'!$C$3:$C$8</c:f>
              <c:numCache>
                <c:formatCode>0.0%</c:formatCode>
                <c:ptCount val="6"/>
                <c:pt idx="0">
                  <c:v>9.2550790067720087E-2</c:v>
                </c:pt>
                <c:pt idx="1">
                  <c:v>3.7225042301184431E-2</c:v>
                </c:pt>
                <c:pt idx="2">
                  <c:v>0.12545899632802937</c:v>
                </c:pt>
                <c:pt idx="3">
                  <c:v>0.1598639455782313</c:v>
                </c:pt>
                <c:pt idx="4">
                  <c:v>4.8351648351648353E-2</c:v>
                </c:pt>
                <c:pt idx="5">
                  <c:v>9.5238095238095233E-2</c:v>
                </c:pt>
              </c:numCache>
            </c:numRef>
          </c:val>
          <c:extLst>
            <c:ext xmlns:c16="http://schemas.microsoft.com/office/drawing/2014/chart" uri="{C3380CC4-5D6E-409C-BE32-E72D297353CC}">
              <c16:uniqueId val="{00000000-BA34-4CD6-8992-B360570B4367}"/>
            </c:ext>
          </c:extLst>
        </c:ser>
        <c:ser>
          <c:idx val="1"/>
          <c:order val="1"/>
          <c:tx>
            <c:strRef>
              <c:f>'22'!$D$2:$E$2</c:f>
              <c:strCache>
                <c:ptCount val="1"/>
                <c:pt idx="0">
                  <c:v>Percentual de municípios que possuem o Serviço de Acolhimento em Família Acolhedora, e ele é regulamentado por lei municipal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'22'!$A$3:$A$8</c:f>
              <c:strCache>
                <c:ptCount val="6"/>
                <c:pt idx="0">
                  <c:v>Norte</c:v>
                </c:pt>
                <c:pt idx="1">
                  <c:v>Nordeste</c:v>
                </c:pt>
                <c:pt idx="2">
                  <c:v>Sudeste</c:v>
                </c:pt>
                <c:pt idx="3">
                  <c:v>Sul</c:v>
                </c:pt>
                <c:pt idx="4">
                  <c:v>Centro-Oeste</c:v>
                </c:pt>
                <c:pt idx="5">
                  <c:v>Brasil</c:v>
                </c:pt>
              </c:strCache>
            </c:strRef>
          </c:cat>
          <c:val>
            <c:numRef>
              <c:f>'22'!$E$3:$E$8</c:f>
              <c:numCache>
                <c:formatCode>0.0%</c:formatCode>
                <c:ptCount val="6"/>
                <c:pt idx="0">
                  <c:v>5.6433408577878104E-2</c:v>
                </c:pt>
                <c:pt idx="1">
                  <c:v>2.4252679075014102E-2</c:v>
                </c:pt>
                <c:pt idx="2">
                  <c:v>0.10771113831089352</c:v>
                </c:pt>
                <c:pt idx="3">
                  <c:v>0.14965986394557823</c:v>
                </c:pt>
                <c:pt idx="4">
                  <c:v>2.4175824175824177E-2</c:v>
                </c:pt>
                <c:pt idx="5">
                  <c:v>7.8635285531837254E-2</c:v>
                </c:pt>
              </c:numCache>
            </c:numRef>
          </c:val>
          <c:extLst>
            <c:ext xmlns:c16="http://schemas.microsoft.com/office/drawing/2014/chart" uri="{C3380CC4-5D6E-409C-BE32-E72D297353CC}">
              <c16:uniqueId val="{00000001-BA34-4CD6-8992-B360570B4367}"/>
            </c:ext>
          </c:extLst>
        </c:ser>
        <c:dLbls>
          <c:dLblPos val="outEnd"/>
          <c:showLegendKey val="0"/>
          <c:showVal val="1"/>
          <c:showCatName val="0"/>
          <c:showSerName val="0"/>
          <c:showPercent val="0"/>
          <c:showBubbleSize val="0"/>
        </c:dLbls>
        <c:gapWidth val="219"/>
        <c:overlap val="-27"/>
        <c:axId val="264993008"/>
        <c:axId val="264993568"/>
      </c:barChart>
      <c:catAx>
        <c:axId val="26499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993568"/>
        <c:crosses val="autoZero"/>
        <c:auto val="1"/>
        <c:lblAlgn val="ctr"/>
        <c:lblOffset val="100"/>
        <c:noMultiLvlLbl val="0"/>
      </c:catAx>
      <c:valAx>
        <c:axId val="264993568"/>
        <c:scaling>
          <c:orientation val="minMax"/>
        </c:scaling>
        <c:delete val="1"/>
        <c:axPos val="l"/>
        <c:numFmt formatCode="0.0%" sourceLinked="1"/>
        <c:majorTickMark val="none"/>
        <c:minorTickMark val="none"/>
        <c:tickLblPos val="nextTo"/>
        <c:crossAx val="2649930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'23'!$A$4</c:f>
              <c:strCache>
                <c:ptCount val="1"/>
                <c:pt idx="0">
                  <c:v>Percentual de municípios por quantidade de famílias cadastradas pelo Serviço e aptas a receber as crianças/adolescentes com medidas protetivas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'23'!$B$3:$G$3</c:f>
              <c:strCache>
                <c:ptCount val="6"/>
                <c:pt idx="0">
                  <c:v>Nenhuma</c:v>
                </c:pt>
                <c:pt idx="1">
                  <c:v>1 a 5</c:v>
                </c:pt>
                <c:pt idx="2">
                  <c:v>6 a 15</c:v>
                </c:pt>
                <c:pt idx="3">
                  <c:v>16 a 30</c:v>
                </c:pt>
                <c:pt idx="4">
                  <c:v>31 a 50</c:v>
                </c:pt>
                <c:pt idx="5">
                  <c:v>Mais de 50</c:v>
                </c:pt>
              </c:strCache>
            </c:strRef>
          </c:cat>
          <c:val>
            <c:numRef>
              <c:f>'23'!$B$4:$G$4</c:f>
              <c:numCache>
                <c:formatCode>0.0%</c:formatCode>
                <c:ptCount val="6"/>
                <c:pt idx="0">
                  <c:v>0.33333333333333331</c:v>
                </c:pt>
                <c:pt idx="1">
                  <c:v>0.49616858237547895</c:v>
                </c:pt>
                <c:pt idx="2">
                  <c:v>0.12452107279693486</c:v>
                </c:pt>
                <c:pt idx="3">
                  <c:v>2.681992337164751E-2</c:v>
                </c:pt>
                <c:pt idx="4">
                  <c:v>1.3409961685823755E-2</c:v>
                </c:pt>
                <c:pt idx="5">
                  <c:v>5.7471264367816091E-3</c:v>
                </c:pt>
              </c:numCache>
            </c:numRef>
          </c:val>
          <c:extLst>
            <c:ext xmlns:c16="http://schemas.microsoft.com/office/drawing/2014/chart" uri="{C3380CC4-5D6E-409C-BE32-E72D297353CC}">
              <c16:uniqueId val="{00000000-87AF-4D2E-9D94-79D2D69C91F3}"/>
            </c:ext>
          </c:extLst>
        </c:ser>
        <c:dLbls>
          <c:dLblPos val="outEnd"/>
          <c:showLegendKey val="0"/>
          <c:showVal val="1"/>
          <c:showCatName val="0"/>
          <c:showSerName val="0"/>
          <c:showPercent val="0"/>
          <c:showBubbleSize val="0"/>
        </c:dLbls>
        <c:gapWidth val="219"/>
        <c:overlap val="-27"/>
        <c:axId val="264996928"/>
        <c:axId val="264997488"/>
        <c:extLst>
          <c:ext xmlns:c15="http://schemas.microsoft.com/office/drawing/2012/chart" uri="{02D57815-91ED-43cb-92C2-25804820EDAC}">
            <c15:filteredBarSeries>
              <c15:ser>
                <c:idx val="1"/>
                <c:order val="1"/>
                <c:tx>
                  <c:strRef>
                    <c:extLst>
                      <c:ext uri="{02D57815-91ED-43cb-92C2-25804820EDAC}">
                        <c15:formulaRef>
                          <c15:sqref>'23'!$A$5</c15:sqref>
                        </c15:formulaRef>
                      </c:ext>
                    </c:extLst>
                    <c:strCache>
                      <c:ptCount val="1"/>
                      <c:pt idx="0">
                        <c:v>Percentual de municípios por quantidade de crianças/adolescentes que estão sendo acolhidas por meio do Serviço de Família Acolhedora no município</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'23'!$B$3:$G$3</c15:sqref>
                        </c15:formulaRef>
                      </c:ext>
                    </c:extLst>
                    <c:strCache>
                      <c:ptCount val="6"/>
                      <c:pt idx="0">
                        <c:v>Nenhuma</c:v>
                      </c:pt>
                      <c:pt idx="1">
                        <c:v>1 a 5</c:v>
                      </c:pt>
                      <c:pt idx="2">
                        <c:v>6 a 15</c:v>
                      </c:pt>
                      <c:pt idx="3">
                        <c:v>16 a 30</c:v>
                      </c:pt>
                      <c:pt idx="4">
                        <c:v>31 a 50</c:v>
                      </c:pt>
                      <c:pt idx="5">
                        <c:v>Mais de 50</c:v>
                      </c:pt>
                    </c:strCache>
                  </c:strRef>
                </c:cat>
                <c:val>
                  <c:numRef>
                    <c:extLst>
                      <c:ext uri="{02D57815-91ED-43cb-92C2-25804820EDAC}">
                        <c15:formulaRef>
                          <c15:sqref>'23'!$B$5:$G$5</c15:sqref>
                        </c15:formulaRef>
                      </c:ext>
                    </c:extLst>
                    <c:numCache>
                      <c:formatCode>0.0%</c:formatCode>
                      <c:ptCount val="6"/>
                      <c:pt idx="0">
                        <c:v>0.54980842911877392</c:v>
                      </c:pt>
                      <c:pt idx="1">
                        <c:v>0.31992337164750956</c:v>
                      </c:pt>
                      <c:pt idx="2">
                        <c:v>9.3869731800766285E-2</c:v>
                      </c:pt>
                      <c:pt idx="3">
                        <c:v>2.2988505747126436E-2</c:v>
                      </c:pt>
                      <c:pt idx="4">
                        <c:v>5.7471264367816091E-3</c:v>
                      </c:pt>
                      <c:pt idx="5">
                        <c:v>7.6628352490421452E-3</c:v>
                      </c:pt>
                    </c:numCache>
                  </c:numRef>
                </c:val>
                <c:extLst>
                  <c:ext xmlns:c16="http://schemas.microsoft.com/office/drawing/2014/chart" uri="{C3380CC4-5D6E-409C-BE32-E72D297353CC}">
                    <c16:uniqueId val="{00000001-87AF-4D2E-9D94-79D2D69C91F3}"/>
                  </c:ext>
                </c:extLst>
              </c15:ser>
            </c15:filteredBarSeries>
          </c:ext>
        </c:extLst>
      </c:barChart>
      <c:catAx>
        <c:axId val="26499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997488"/>
        <c:crosses val="autoZero"/>
        <c:auto val="1"/>
        <c:lblAlgn val="ctr"/>
        <c:lblOffset val="100"/>
        <c:noMultiLvlLbl val="0"/>
      </c:catAx>
      <c:valAx>
        <c:axId val="264997488"/>
        <c:scaling>
          <c:orientation val="minMax"/>
        </c:scaling>
        <c:delete val="1"/>
        <c:axPos val="l"/>
        <c:numFmt formatCode="0.0%" sourceLinked="1"/>
        <c:majorTickMark val="none"/>
        <c:minorTickMark val="none"/>
        <c:tickLblPos val="nextTo"/>
        <c:crossAx val="264996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'23'!$A$5</c:f>
              <c:strCache>
                <c:ptCount val="1"/>
                <c:pt idx="0">
                  <c:v>Percentual de municípios por quantidade de crianças/adolescentes que estão sendo acolhidas por meio do Serviço de Família Acolhedora no município</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'23'!$B$3:$G$3</c:f>
              <c:strCache>
                <c:ptCount val="6"/>
                <c:pt idx="0">
                  <c:v>Nenhuma</c:v>
                </c:pt>
                <c:pt idx="1">
                  <c:v>1 a 5</c:v>
                </c:pt>
                <c:pt idx="2">
                  <c:v>6 a 15</c:v>
                </c:pt>
                <c:pt idx="3">
                  <c:v>16 a 30</c:v>
                </c:pt>
                <c:pt idx="4">
                  <c:v>31 a 50</c:v>
                </c:pt>
                <c:pt idx="5">
                  <c:v>Mais de 50</c:v>
                </c:pt>
              </c:strCache>
            </c:strRef>
          </c:cat>
          <c:val>
            <c:numRef>
              <c:f>'23'!$B$5:$G$5</c:f>
              <c:numCache>
                <c:formatCode>0.0%</c:formatCode>
                <c:ptCount val="6"/>
                <c:pt idx="0">
                  <c:v>0.54980842911877392</c:v>
                </c:pt>
                <c:pt idx="1">
                  <c:v>0.31992337164750956</c:v>
                </c:pt>
                <c:pt idx="2">
                  <c:v>9.3869731800766285E-2</c:v>
                </c:pt>
                <c:pt idx="3">
                  <c:v>2.2988505747126436E-2</c:v>
                </c:pt>
                <c:pt idx="4">
                  <c:v>5.7471264367816091E-3</c:v>
                </c:pt>
                <c:pt idx="5">
                  <c:v>7.6628352490421452E-3</c:v>
                </c:pt>
              </c:numCache>
            </c:numRef>
          </c:val>
          <c:extLst>
            <c:ext xmlns:c16="http://schemas.microsoft.com/office/drawing/2014/chart" uri="{C3380CC4-5D6E-409C-BE32-E72D297353CC}">
              <c16:uniqueId val="{00000001-3AE0-4A7A-9F9B-77C24AB967C0}"/>
            </c:ext>
          </c:extLst>
        </c:ser>
        <c:dLbls>
          <c:dLblPos val="outEnd"/>
          <c:showLegendKey val="0"/>
          <c:showVal val="1"/>
          <c:showCatName val="0"/>
          <c:showSerName val="0"/>
          <c:showPercent val="0"/>
          <c:showBubbleSize val="0"/>
        </c:dLbls>
        <c:gapWidth val="219"/>
        <c:overlap val="-27"/>
        <c:axId val="264996928"/>
        <c:axId val="264997488"/>
        <c:extLst>
          <c:ext xmlns:c15="http://schemas.microsoft.com/office/drawing/2012/chart" uri="{02D57815-91ED-43cb-92C2-25804820EDAC}">
            <c15:filteredBarSeries>
              <c15:ser>
                <c:idx val="0"/>
                <c:order val="0"/>
                <c:tx>
                  <c:strRef>
                    <c:extLst>
                      <c:ext uri="{02D57815-91ED-43cb-92C2-25804820EDAC}">
                        <c15:formulaRef>
                          <c15:sqref>'23'!$A$4</c15:sqref>
                        </c15:formulaRef>
                      </c:ext>
                    </c:extLst>
                    <c:strCache>
                      <c:ptCount val="1"/>
                      <c:pt idx="0">
                        <c:v>Percentual de municípios por quantidade de famílias cadastradas pelo Serviço e aptas a receber as crianças/adolescentes com medidas protetivas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'23'!$B$3:$G$3</c15:sqref>
                        </c15:formulaRef>
                      </c:ext>
                    </c:extLst>
                    <c:strCache>
                      <c:ptCount val="6"/>
                      <c:pt idx="0">
                        <c:v>Nenhuma</c:v>
                      </c:pt>
                      <c:pt idx="1">
                        <c:v>1 a 5</c:v>
                      </c:pt>
                      <c:pt idx="2">
                        <c:v>6 a 15</c:v>
                      </c:pt>
                      <c:pt idx="3">
                        <c:v>16 a 30</c:v>
                      </c:pt>
                      <c:pt idx="4">
                        <c:v>31 a 50</c:v>
                      </c:pt>
                      <c:pt idx="5">
                        <c:v>Mais de 50</c:v>
                      </c:pt>
                    </c:strCache>
                  </c:strRef>
                </c:cat>
                <c:val>
                  <c:numRef>
                    <c:extLst>
                      <c:ext uri="{02D57815-91ED-43cb-92C2-25804820EDAC}">
                        <c15:formulaRef>
                          <c15:sqref>'23'!$B$4:$G$4</c15:sqref>
                        </c15:formulaRef>
                      </c:ext>
                    </c:extLst>
                    <c:numCache>
                      <c:formatCode>0.0%</c:formatCode>
                      <c:ptCount val="6"/>
                      <c:pt idx="0">
                        <c:v>0.33333333333333331</c:v>
                      </c:pt>
                      <c:pt idx="1">
                        <c:v>0.49616858237547895</c:v>
                      </c:pt>
                      <c:pt idx="2">
                        <c:v>0.12452107279693486</c:v>
                      </c:pt>
                      <c:pt idx="3">
                        <c:v>2.681992337164751E-2</c:v>
                      </c:pt>
                      <c:pt idx="4">
                        <c:v>1.3409961685823755E-2</c:v>
                      </c:pt>
                      <c:pt idx="5">
                        <c:v>5.7471264367816091E-3</c:v>
                      </c:pt>
                    </c:numCache>
                  </c:numRef>
                </c:val>
                <c:extLst>
                  <c:ext xmlns:c16="http://schemas.microsoft.com/office/drawing/2014/chart" uri="{C3380CC4-5D6E-409C-BE32-E72D297353CC}">
                    <c16:uniqueId val="{00000000-3AE0-4A7A-9F9B-77C24AB967C0}"/>
                  </c:ext>
                </c:extLst>
              </c15:ser>
            </c15:filteredBarSeries>
          </c:ext>
        </c:extLst>
      </c:barChart>
      <c:catAx>
        <c:axId val="26499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64997488"/>
        <c:crosses val="autoZero"/>
        <c:auto val="1"/>
        <c:lblAlgn val="ctr"/>
        <c:lblOffset val="100"/>
        <c:noMultiLvlLbl val="0"/>
      </c:catAx>
      <c:valAx>
        <c:axId val="264997488"/>
        <c:scaling>
          <c:orientation val="minMax"/>
        </c:scaling>
        <c:delete val="1"/>
        <c:axPos val="l"/>
        <c:numFmt formatCode="0.0%" sourceLinked="1"/>
        <c:majorTickMark val="none"/>
        <c:minorTickMark val="none"/>
        <c:tickLblPos val="nextTo"/>
        <c:crossAx val="264996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2.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3</xdr:col>
      <xdr:colOff>180960</xdr:colOff>
      <xdr:row>1</xdr:row>
      <xdr:rowOff>180970</xdr:rowOff>
    </xdr:from>
    <xdr:to>
      <xdr:col>20</xdr:col>
      <xdr:colOff>576589</xdr:colOff>
      <xdr:row>12</xdr:row>
      <xdr:rowOff>182128</xdr:rowOff>
    </xdr:to>
    <xdr:graphicFrame macro="">
      <xdr:nvGraphicFramePr>
        <xdr:cNvPr id="3" name="Gráfico 2"/>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142875</xdr:colOff>
      <xdr:row>2</xdr:row>
      <xdr:rowOff>104775</xdr:rowOff>
    </xdr:from>
    <xdr:to>
      <xdr:col>17</xdr:col>
      <xdr:colOff>581025</xdr:colOff>
      <xdr:row>17</xdr:row>
      <xdr:rowOff>114300</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133350</xdr:colOff>
      <xdr:row>17</xdr:row>
      <xdr:rowOff>180975</xdr:rowOff>
    </xdr:from>
    <xdr:to>
      <xdr:col>17</xdr:col>
      <xdr:colOff>571500</xdr:colOff>
      <xdr:row>32</xdr:row>
      <xdr:rowOff>38100</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57149</xdr:colOff>
      <xdr:row>1</xdr:row>
      <xdr:rowOff>185736</xdr:rowOff>
    </xdr:from>
    <xdr:to>
      <xdr:col>17</xdr:col>
      <xdr:colOff>390524</xdr:colOff>
      <xdr:row>21</xdr:row>
      <xdr:rowOff>95249</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2</xdr:row>
      <xdr:rowOff>0</xdr:rowOff>
    </xdr:from>
    <xdr:to>
      <xdr:col>15</xdr:col>
      <xdr:colOff>438150</xdr:colOff>
      <xdr:row>16</xdr:row>
      <xdr:rowOff>38100</xdr:rowOff>
    </xdr:to>
    <xdr:graphicFrame macro="">
      <xdr:nvGraphicFramePr>
        <xdr:cNvPr id="4" name="Grá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28574</xdr:colOff>
      <xdr:row>2</xdr:row>
      <xdr:rowOff>4762</xdr:rowOff>
    </xdr:from>
    <xdr:to>
      <xdr:col>16</xdr:col>
      <xdr:colOff>466724</xdr:colOff>
      <xdr:row>16</xdr:row>
      <xdr:rowOff>33337</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95250</xdr:colOff>
      <xdr:row>1</xdr:row>
      <xdr:rowOff>161925</xdr:rowOff>
    </xdr:from>
    <xdr:to>
      <xdr:col>12</xdr:col>
      <xdr:colOff>156210</xdr:colOff>
      <xdr:row>11</xdr:row>
      <xdr:rowOff>76581</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9525</xdr:colOff>
      <xdr:row>1</xdr:row>
      <xdr:rowOff>180975</xdr:rowOff>
    </xdr:from>
    <xdr:to>
      <xdr:col>11</xdr:col>
      <xdr:colOff>314325</xdr:colOff>
      <xdr:row>12</xdr:row>
      <xdr:rowOff>66675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47625</xdr:colOff>
      <xdr:row>0</xdr:row>
      <xdr:rowOff>157161</xdr:rowOff>
    </xdr:from>
    <xdr:to>
      <xdr:col>21</xdr:col>
      <xdr:colOff>66675</xdr:colOff>
      <xdr:row>16</xdr:row>
      <xdr:rowOff>9525</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2425575</xdr:colOff>
      <xdr:row>22</xdr:row>
      <xdr:rowOff>158505</xdr:rowOff>
    </xdr:from>
    <xdr:ext cx="7571520" cy="4290165"/>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0</xdr:col>
      <xdr:colOff>790575</xdr:colOff>
      <xdr:row>22</xdr:row>
      <xdr:rowOff>176211</xdr:rowOff>
    </xdr:from>
    <xdr:to>
      <xdr:col>9</xdr:col>
      <xdr:colOff>409575</xdr:colOff>
      <xdr:row>41</xdr:row>
      <xdr:rowOff>152399</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11</xdr:row>
      <xdr:rowOff>9525</xdr:rowOff>
    </xdr:from>
    <xdr:to>
      <xdr:col>5</xdr:col>
      <xdr:colOff>847725</xdr:colOff>
      <xdr:row>25</xdr:row>
      <xdr:rowOff>85725</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228600</xdr:colOff>
      <xdr:row>1</xdr:row>
      <xdr:rowOff>295275</xdr:rowOff>
    </xdr:from>
    <xdr:to>
      <xdr:col>18</xdr:col>
      <xdr:colOff>0</xdr:colOff>
      <xdr:row>19</xdr:row>
      <xdr:rowOff>165735</xdr:rowOff>
    </xdr:to>
    <xdr:graphicFrame macro="">
      <xdr:nvGraphicFramePr>
        <xdr:cNvPr id="3" name="Gráfico 2"/>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123801</xdr:colOff>
      <xdr:row>26</xdr:row>
      <xdr:rowOff>85700</xdr:rowOff>
    </xdr:from>
    <xdr:to>
      <xdr:col>6</xdr:col>
      <xdr:colOff>591441</xdr:colOff>
      <xdr:row>60</xdr:row>
      <xdr:rowOff>38629</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250825</xdr:colOff>
      <xdr:row>1</xdr:row>
      <xdr:rowOff>171450</xdr:rowOff>
    </xdr:from>
    <xdr:to>
      <xdr:col>11</xdr:col>
      <xdr:colOff>530225</xdr:colOff>
      <xdr:row>18</xdr:row>
      <xdr:rowOff>76200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276225</xdr:colOff>
      <xdr:row>13</xdr:row>
      <xdr:rowOff>76201</xdr:rowOff>
    </xdr:from>
    <xdr:to>
      <xdr:col>0</xdr:col>
      <xdr:colOff>7042785</xdr:colOff>
      <xdr:row>34</xdr:row>
      <xdr:rowOff>135637</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200025</xdr:colOff>
      <xdr:row>1</xdr:row>
      <xdr:rowOff>76200</xdr:rowOff>
    </xdr:from>
    <xdr:to>
      <xdr:col>13</xdr:col>
      <xdr:colOff>504825</xdr:colOff>
      <xdr:row>12</xdr:row>
      <xdr:rowOff>152400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19050</xdr:colOff>
      <xdr:row>28</xdr:row>
      <xdr:rowOff>19050</xdr:rowOff>
    </xdr:from>
    <xdr:to>
      <xdr:col>8</xdr:col>
      <xdr:colOff>127635</xdr:colOff>
      <xdr:row>62</xdr:row>
      <xdr:rowOff>70866</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571500</xdr:colOff>
      <xdr:row>1</xdr:row>
      <xdr:rowOff>257175</xdr:rowOff>
    </xdr:from>
    <xdr:to>
      <xdr:col>12</xdr:col>
      <xdr:colOff>266700</xdr:colOff>
      <xdr:row>5</xdr:row>
      <xdr:rowOff>142875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358775</xdr:colOff>
      <xdr:row>2</xdr:row>
      <xdr:rowOff>63500</xdr:rowOff>
    </xdr:from>
    <xdr:to>
      <xdr:col>16</xdr:col>
      <xdr:colOff>663575</xdr:colOff>
      <xdr:row>58</xdr:row>
      <xdr:rowOff>38100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142875</xdr:colOff>
      <xdr:row>7</xdr:row>
      <xdr:rowOff>76200</xdr:rowOff>
    </xdr:from>
    <xdr:to>
      <xdr:col>1</xdr:col>
      <xdr:colOff>1003935</xdr:colOff>
      <xdr:row>23</xdr:row>
      <xdr:rowOff>128016</xdr:rowOff>
    </xdr:to>
    <xdr:graphicFrame macro="">
      <xdr:nvGraphicFramePr>
        <xdr:cNvPr id="6" name="Gráfico 5"/>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85726</xdr:colOff>
      <xdr:row>0</xdr:row>
      <xdr:rowOff>114301</xdr:rowOff>
    </xdr:from>
    <xdr:to>
      <xdr:col>16</xdr:col>
      <xdr:colOff>542770</xdr:colOff>
      <xdr:row>26</xdr:row>
      <xdr:rowOff>190410</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6</xdr:col>
      <xdr:colOff>123817</xdr:colOff>
      <xdr:row>0</xdr:row>
      <xdr:rowOff>190494</xdr:rowOff>
    </xdr:from>
    <xdr:to>
      <xdr:col>17</xdr:col>
      <xdr:colOff>331080</xdr:colOff>
      <xdr:row>15</xdr:row>
      <xdr:rowOff>147212</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9</xdr:col>
      <xdr:colOff>38086</xdr:colOff>
      <xdr:row>1</xdr:row>
      <xdr:rowOff>190492</xdr:rowOff>
    </xdr:from>
    <xdr:to>
      <xdr:col>22</xdr:col>
      <xdr:colOff>78588</xdr:colOff>
      <xdr:row>21</xdr:row>
      <xdr:rowOff>28107</xdr:rowOff>
    </xdr:to>
    <xdr:graphicFrame macro="">
      <xdr:nvGraphicFramePr>
        <xdr:cNvPr id="2" name="Gráfico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24</xdr:row>
      <xdr:rowOff>0</xdr:rowOff>
    </xdr:from>
    <xdr:to>
      <xdr:col>22</xdr:col>
      <xdr:colOff>40502</xdr:colOff>
      <xdr:row>50</xdr:row>
      <xdr:rowOff>28115</xdr:rowOff>
    </xdr:to>
    <xdr:graphicFrame macro="">
      <xdr:nvGraphicFramePr>
        <xdr:cNvPr id="3" name="Gráfico 2"/>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5.xml"/><Relationship Id="rId1" Type="http://schemas.openxmlformats.org/officeDocument/2006/relationships/printerSettings" Target="../printerSettings/printerSettings13.bin"/><Relationship Id="rId4" Type="http://schemas.openxmlformats.org/officeDocument/2006/relationships/comments" Target="../comments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0.xml"/><Relationship Id="rId1" Type="http://schemas.openxmlformats.org/officeDocument/2006/relationships/printerSettings" Target="../printerSettings/printerSettings15.bin"/><Relationship Id="rId4" Type="http://schemas.openxmlformats.org/officeDocument/2006/relationships/comments" Target="../comments6.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1.xml"/><Relationship Id="rId1" Type="http://schemas.openxmlformats.org/officeDocument/2006/relationships/printerSettings" Target="../printerSettings/printerSettings16.bin"/><Relationship Id="rId4" Type="http://schemas.openxmlformats.org/officeDocument/2006/relationships/comments" Target="../comments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zoomScaleNormal="100" workbookViewId="0">
      <selection activeCell="B1" sqref="B1"/>
    </sheetView>
  </sheetViews>
  <sheetFormatPr defaultRowHeight="15" x14ac:dyDescent="0.25"/>
  <cols>
    <col min="2" max="2" width="4.85546875" customWidth="1"/>
  </cols>
  <sheetData>
    <row r="3" spans="1:3" x14ac:dyDescent="0.25">
      <c r="B3" s="1" t="s">
        <v>0</v>
      </c>
    </row>
    <row r="4" spans="1:3" x14ac:dyDescent="0.25">
      <c r="B4" s="1" t="s">
        <v>1</v>
      </c>
    </row>
    <row r="5" spans="1:3" x14ac:dyDescent="0.25">
      <c r="A5">
        <v>1</v>
      </c>
      <c r="B5" s="1"/>
      <c r="C5" t="s">
        <v>17</v>
      </c>
    </row>
    <row r="6" spans="1:3" x14ac:dyDescent="0.25">
      <c r="B6" s="1" t="s">
        <v>2</v>
      </c>
    </row>
    <row r="7" spans="1:3" x14ac:dyDescent="0.25">
      <c r="A7">
        <v>2</v>
      </c>
      <c r="B7" s="1"/>
      <c r="C7" s="2" t="s">
        <v>11</v>
      </c>
    </row>
    <row r="8" spans="1:3" x14ac:dyDescent="0.25">
      <c r="A8">
        <v>3</v>
      </c>
      <c r="B8" s="1"/>
      <c r="C8" s="2" t="s">
        <v>12</v>
      </c>
    </row>
    <row r="9" spans="1:3" x14ac:dyDescent="0.25">
      <c r="A9">
        <v>4</v>
      </c>
      <c r="B9" s="1"/>
      <c r="C9" s="2" t="s">
        <v>227</v>
      </c>
    </row>
    <row r="10" spans="1:3" x14ac:dyDescent="0.25">
      <c r="A10">
        <v>5</v>
      </c>
      <c r="B10" s="1"/>
      <c r="C10" s="2" t="s">
        <v>19</v>
      </c>
    </row>
    <row r="11" spans="1:3" x14ac:dyDescent="0.25">
      <c r="A11">
        <v>6</v>
      </c>
      <c r="B11" s="1"/>
      <c r="C11" s="2" t="s">
        <v>20</v>
      </c>
    </row>
    <row r="12" spans="1:3" x14ac:dyDescent="0.25">
      <c r="B12" s="1" t="s">
        <v>240</v>
      </c>
    </row>
    <row r="13" spans="1:3" x14ac:dyDescent="0.25">
      <c r="A13">
        <v>7</v>
      </c>
      <c r="B13" s="1"/>
      <c r="C13" s="2" t="s">
        <v>21</v>
      </c>
    </row>
    <row r="14" spans="1:3" x14ac:dyDescent="0.25">
      <c r="A14">
        <v>8</v>
      </c>
      <c r="B14" s="1"/>
      <c r="C14" s="2" t="s">
        <v>13</v>
      </c>
    </row>
    <row r="15" spans="1:3" x14ac:dyDescent="0.25">
      <c r="A15">
        <v>9</v>
      </c>
      <c r="B15" s="1"/>
      <c r="C15" s="2" t="s">
        <v>14</v>
      </c>
    </row>
    <row r="16" spans="1:3" x14ac:dyDescent="0.25">
      <c r="B16" s="1" t="s">
        <v>241</v>
      </c>
      <c r="C16" s="2"/>
    </row>
    <row r="17" spans="1:3" x14ac:dyDescent="0.25">
      <c r="A17">
        <v>10</v>
      </c>
      <c r="B17" s="1"/>
      <c r="C17" s="2" t="s">
        <v>18</v>
      </c>
    </row>
    <row r="18" spans="1:3" x14ac:dyDescent="0.25">
      <c r="B18" s="1"/>
      <c r="C18" s="2"/>
    </row>
    <row r="19" spans="1:3" x14ac:dyDescent="0.25">
      <c r="B19" s="1" t="s">
        <v>3</v>
      </c>
    </row>
    <row r="20" spans="1:3" x14ac:dyDescent="0.25">
      <c r="B20" s="1" t="s">
        <v>4</v>
      </c>
    </row>
    <row r="21" spans="1:3" x14ac:dyDescent="0.25">
      <c r="A21">
        <v>11</v>
      </c>
      <c r="B21" s="1"/>
      <c r="C21" t="s">
        <v>23</v>
      </c>
    </row>
    <row r="22" spans="1:3" x14ac:dyDescent="0.25">
      <c r="A22">
        <v>12</v>
      </c>
      <c r="B22" s="1"/>
      <c r="C22" t="s">
        <v>22</v>
      </c>
    </row>
    <row r="23" spans="1:3" x14ac:dyDescent="0.25">
      <c r="B23" s="1"/>
    </row>
    <row r="24" spans="1:3" x14ac:dyDescent="0.25">
      <c r="B24" s="1" t="s">
        <v>5</v>
      </c>
    </row>
    <row r="25" spans="1:3" x14ac:dyDescent="0.25">
      <c r="A25">
        <v>13</v>
      </c>
      <c r="C25" s="2" t="s">
        <v>8</v>
      </c>
    </row>
    <row r="26" spans="1:3" x14ac:dyDescent="0.25">
      <c r="A26">
        <v>14</v>
      </c>
      <c r="B26" s="1"/>
      <c r="C26" s="2" t="s">
        <v>15</v>
      </c>
    </row>
    <row r="27" spans="1:3" x14ac:dyDescent="0.25">
      <c r="B27" s="1"/>
    </row>
    <row r="28" spans="1:3" x14ac:dyDescent="0.25">
      <c r="B28" s="1" t="s">
        <v>6</v>
      </c>
    </row>
    <row r="29" spans="1:3" x14ac:dyDescent="0.25">
      <c r="A29">
        <v>15</v>
      </c>
      <c r="B29" s="1"/>
      <c r="C29" t="s">
        <v>25</v>
      </c>
    </row>
    <row r="30" spans="1:3" x14ac:dyDescent="0.25">
      <c r="A30">
        <v>16</v>
      </c>
      <c r="B30" s="1"/>
      <c r="C30" t="s">
        <v>24</v>
      </c>
    </row>
    <row r="31" spans="1:3" x14ac:dyDescent="0.25">
      <c r="B31" s="1"/>
    </row>
    <row r="32" spans="1:3" x14ac:dyDescent="0.25">
      <c r="B32" s="1" t="s">
        <v>9</v>
      </c>
    </row>
    <row r="33" spans="1:3" x14ac:dyDescent="0.25">
      <c r="A33">
        <v>17</v>
      </c>
      <c r="B33" s="1"/>
      <c r="C33" t="s">
        <v>26</v>
      </c>
    </row>
    <row r="34" spans="1:3" x14ac:dyDescent="0.25">
      <c r="A34">
        <v>18</v>
      </c>
      <c r="B34" s="1"/>
      <c r="C34" t="s">
        <v>27</v>
      </c>
    </row>
    <row r="35" spans="1:3" x14ac:dyDescent="0.25">
      <c r="B35" s="1"/>
    </row>
    <row r="36" spans="1:3" x14ac:dyDescent="0.25">
      <c r="B36" s="1" t="s">
        <v>10</v>
      </c>
    </row>
    <row r="37" spans="1:3" x14ac:dyDescent="0.25">
      <c r="A37">
        <v>19</v>
      </c>
      <c r="B37" s="1"/>
      <c r="C37" s="2" t="s">
        <v>16</v>
      </c>
    </row>
    <row r="38" spans="1:3" x14ac:dyDescent="0.25">
      <c r="B38" s="1"/>
    </row>
    <row r="39" spans="1:3" x14ac:dyDescent="0.25">
      <c r="B39" s="1" t="s">
        <v>7</v>
      </c>
    </row>
    <row r="40" spans="1:3" x14ac:dyDescent="0.25">
      <c r="B40" s="1" t="s">
        <v>31</v>
      </c>
    </row>
    <row r="41" spans="1:3" x14ac:dyDescent="0.25">
      <c r="A41">
        <v>20</v>
      </c>
      <c r="B41" s="1"/>
      <c r="C41" t="s">
        <v>228</v>
      </c>
    </row>
    <row r="42" spans="1:3" x14ac:dyDescent="0.25">
      <c r="A42">
        <v>21</v>
      </c>
      <c r="B42" s="1"/>
      <c r="C42" t="s">
        <v>30</v>
      </c>
    </row>
    <row r="43" spans="1:3" x14ac:dyDescent="0.25">
      <c r="B43" s="1" t="s">
        <v>242</v>
      </c>
    </row>
    <row r="44" spans="1:3" x14ac:dyDescent="0.25">
      <c r="A44">
        <v>22</v>
      </c>
      <c r="B44" s="1"/>
      <c r="C44" t="s">
        <v>28</v>
      </c>
    </row>
    <row r="45" spans="1:3" x14ac:dyDescent="0.25">
      <c r="A45">
        <v>23</v>
      </c>
      <c r="B45" s="1"/>
      <c r="C45" t="s">
        <v>29</v>
      </c>
    </row>
  </sheetData>
  <pageMargins left="0.511811024" right="0.511811024" top="0.78740157499999996" bottom="0.78740157499999996" header="0.31496062000000002" footer="0.31496062000000002"/>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37"/>
  <sheetViews>
    <sheetView tabSelected="1" workbookViewId="0">
      <selection activeCell="C18" sqref="C18"/>
    </sheetView>
  </sheetViews>
  <sheetFormatPr defaultRowHeight="15" x14ac:dyDescent="0.25"/>
  <cols>
    <col min="1" max="1" width="27.28515625" style="4" customWidth="1"/>
    <col min="2" max="2" width="9.140625" style="6" customWidth="1"/>
    <col min="3" max="3" width="13.42578125" style="7" customWidth="1"/>
    <col min="4" max="18" width="9.140625" style="4" customWidth="1"/>
    <col min="19" max="16384" width="9.140625" style="4"/>
  </cols>
  <sheetData>
    <row r="1" spans="1:20" x14ac:dyDescent="0.25">
      <c r="A1" s="136" t="s">
        <v>285</v>
      </c>
      <c r="B1" s="136"/>
      <c r="C1" s="136"/>
      <c r="D1" s="136"/>
      <c r="E1" s="136"/>
      <c r="F1" s="136"/>
      <c r="G1" s="136"/>
      <c r="H1" s="136"/>
      <c r="I1" s="136"/>
      <c r="J1" s="136"/>
      <c r="K1" s="136"/>
      <c r="L1" s="136"/>
      <c r="M1" s="136"/>
      <c r="N1" s="136"/>
      <c r="O1" s="136"/>
      <c r="P1" s="136"/>
      <c r="Q1" s="136"/>
      <c r="R1" s="136"/>
      <c r="S1" s="136"/>
      <c r="T1" s="136"/>
    </row>
    <row r="2" spans="1:20" ht="30" x14ac:dyDescent="0.25">
      <c r="A2" s="3" t="s">
        <v>38</v>
      </c>
      <c r="B2" s="6">
        <v>5653</v>
      </c>
      <c r="C2" s="7">
        <f t="shared" ref="C2:C18" si="0">B2/B$19</f>
        <v>0.68604368932038839</v>
      </c>
    </row>
    <row r="3" spans="1:20" ht="30" x14ac:dyDescent="0.25">
      <c r="A3" s="3" t="s">
        <v>42</v>
      </c>
      <c r="B3" s="6">
        <v>7050</v>
      </c>
      <c r="C3" s="7">
        <f t="shared" si="0"/>
        <v>0.85558252427184467</v>
      </c>
    </row>
    <row r="4" spans="1:20" ht="45" x14ac:dyDescent="0.25">
      <c r="A4" s="3" t="s">
        <v>32</v>
      </c>
      <c r="B4" s="6">
        <v>7175</v>
      </c>
      <c r="C4" s="7">
        <f t="shared" si="0"/>
        <v>0.87075242718446599</v>
      </c>
    </row>
    <row r="5" spans="1:20" ht="45" x14ac:dyDescent="0.25">
      <c r="A5" s="3" t="s">
        <v>37</v>
      </c>
      <c r="B5" s="6">
        <v>7533</v>
      </c>
      <c r="C5" s="7">
        <f t="shared" si="0"/>
        <v>0.91419902912621365</v>
      </c>
    </row>
    <row r="6" spans="1:20" ht="30" x14ac:dyDescent="0.25">
      <c r="A6" s="3" t="s">
        <v>43</v>
      </c>
      <c r="B6" s="6">
        <v>7535</v>
      </c>
      <c r="C6" s="7">
        <f t="shared" si="0"/>
        <v>0.91444174757281549</v>
      </c>
    </row>
    <row r="7" spans="1:20" x14ac:dyDescent="0.25">
      <c r="A7" s="3" t="s">
        <v>39</v>
      </c>
      <c r="B7" s="6">
        <v>7659</v>
      </c>
      <c r="C7" s="7">
        <f t="shared" si="0"/>
        <v>0.92949029126213589</v>
      </c>
    </row>
    <row r="8" spans="1:20" ht="45" x14ac:dyDescent="0.25">
      <c r="A8" s="3" t="s">
        <v>35</v>
      </c>
      <c r="B8" s="6">
        <v>7747</v>
      </c>
      <c r="C8" s="7">
        <f t="shared" si="0"/>
        <v>0.94016990291262137</v>
      </c>
    </row>
    <row r="9" spans="1:20" x14ac:dyDescent="0.25">
      <c r="A9" s="3" t="s">
        <v>41</v>
      </c>
      <c r="B9" s="6">
        <v>7772</v>
      </c>
      <c r="C9" s="7">
        <f t="shared" si="0"/>
        <v>0.94320388349514561</v>
      </c>
    </row>
    <row r="10" spans="1:20" ht="45" x14ac:dyDescent="0.25">
      <c r="A10" s="3" t="s">
        <v>33</v>
      </c>
      <c r="B10" s="6">
        <v>7847</v>
      </c>
      <c r="C10" s="7">
        <f t="shared" si="0"/>
        <v>0.95230582524271845</v>
      </c>
    </row>
    <row r="11" spans="1:20" ht="45" x14ac:dyDescent="0.25">
      <c r="A11" s="3" t="s">
        <v>47</v>
      </c>
      <c r="B11" s="6">
        <v>7870</v>
      </c>
      <c r="C11" s="7">
        <f t="shared" si="0"/>
        <v>0.95509708737864074</v>
      </c>
    </row>
    <row r="12" spans="1:20" ht="30" x14ac:dyDescent="0.25">
      <c r="A12" s="3" t="s">
        <v>36</v>
      </c>
      <c r="B12" s="6">
        <v>7965</v>
      </c>
      <c r="C12" s="7">
        <f t="shared" si="0"/>
        <v>0.966626213592233</v>
      </c>
    </row>
    <row r="13" spans="1:20" ht="45" x14ac:dyDescent="0.25">
      <c r="A13" s="3" t="s">
        <v>45</v>
      </c>
      <c r="B13" s="6">
        <v>8037</v>
      </c>
      <c r="C13" s="7">
        <f t="shared" si="0"/>
        <v>0.97536407766990296</v>
      </c>
    </row>
    <row r="14" spans="1:20" ht="60" x14ac:dyDescent="0.25">
      <c r="A14" s="3" t="s">
        <v>46</v>
      </c>
      <c r="B14" s="6">
        <v>8058</v>
      </c>
      <c r="C14" s="7">
        <f t="shared" si="0"/>
        <v>0.9779126213592233</v>
      </c>
    </row>
    <row r="15" spans="1:20" ht="30" x14ac:dyDescent="0.25">
      <c r="A15" s="3" t="s">
        <v>44</v>
      </c>
      <c r="B15" s="6">
        <v>8082</v>
      </c>
      <c r="C15" s="7">
        <f t="shared" si="0"/>
        <v>0.98082524271844662</v>
      </c>
    </row>
    <row r="16" spans="1:20" ht="45" x14ac:dyDescent="0.25">
      <c r="A16" s="3" t="s">
        <v>48</v>
      </c>
      <c r="B16" s="6">
        <v>8110</v>
      </c>
      <c r="C16" s="7">
        <f t="shared" si="0"/>
        <v>0.98422330097087374</v>
      </c>
    </row>
    <row r="17" spans="1:9" ht="30" x14ac:dyDescent="0.25">
      <c r="A17" s="3" t="s">
        <v>34</v>
      </c>
      <c r="B17" s="6">
        <v>8162</v>
      </c>
      <c r="C17" s="7">
        <f t="shared" si="0"/>
        <v>0.99053398058252429</v>
      </c>
    </row>
    <row r="18" spans="1:9" x14ac:dyDescent="0.25">
      <c r="A18" s="3" t="s">
        <v>40</v>
      </c>
      <c r="B18" s="6">
        <v>8190</v>
      </c>
      <c r="C18" s="7">
        <f t="shared" si="0"/>
        <v>0.9939320388349514</v>
      </c>
    </row>
    <row r="19" spans="1:9" x14ac:dyDescent="0.25">
      <c r="A19" s="4" t="s">
        <v>49</v>
      </c>
      <c r="B19" s="6">
        <v>8240</v>
      </c>
    </row>
    <row r="21" spans="1:9" x14ac:dyDescent="0.25">
      <c r="A21" s="137" t="s">
        <v>266</v>
      </c>
      <c r="B21" s="137"/>
      <c r="C21" s="137"/>
      <c r="D21" s="137"/>
      <c r="E21" s="137"/>
      <c r="F21" s="137"/>
      <c r="G21" s="137"/>
      <c r="H21" s="137"/>
      <c r="I21" s="137"/>
    </row>
    <row r="22" spans="1:9" x14ac:dyDescent="0.25">
      <c r="A22" s="137"/>
      <c r="B22" s="137"/>
      <c r="C22" s="137"/>
      <c r="D22" s="137"/>
      <c r="E22" s="137"/>
      <c r="F22" s="137"/>
      <c r="G22" s="137"/>
      <c r="H22" s="137"/>
      <c r="I22" s="137"/>
    </row>
    <row r="23" spans="1:9" x14ac:dyDescent="0.25">
      <c r="A23" s="137"/>
      <c r="B23" s="137"/>
      <c r="C23" s="137"/>
      <c r="D23" s="137"/>
      <c r="E23" s="137"/>
      <c r="F23" s="137"/>
      <c r="G23" s="137"/>
      <c r="H23" s="137"/>
      <c r="I23" s="137"/>
    </row>
    <row r="24" spans="1:9" x14ac:dyDescent="0.25">
      <c r="A24" s="137"/>
      <c r="B24" s="137"/>
      <c r="C24" s="137"/>
      <c r="D24" s="137"/>
      <c r="E24" s="137"/>
      <c r="F24" s="137"/>
      <c r="G24" s="137"/>
      <c r="H24" s="137"/>
      <c r="I24" s="137"/>
    </row>
    <row r="25" spans="1:9" x14ac:dyDescent="0.25">
      <c r="A25" s="137"/>
      <c r="B25" s="137"/>
      <c r="C25" s="137"/>
      <c r="D25" s="137"/>
      <c r="E25" s="137"/>
      <c r="F25" s="137"/>
      <c r="G25" s="137"/>
      <c r="H25" s="137"/>
      <c r="I25" s="137"/>
    </row>
    <row r="26" spans="1:9" x14ac:dyDescent="0.25">
      <c r="A26" s="137"/>
      <c r="B26" s="137"/>
      <c r="C26" s="137"/>
      <c r="D26" s="137"/>
      <c r="E26" s="137"/>
      <c r="F26" s="137"/>
      <c r="G26" s="137"/>
      <c r="H26" s="137"/>
      <c r="I26" s="137"/>
    </row>
    <row r="27" spans="1:9" x14ac:dyDescent="0.25">
      <c r="A27" s="137"/>
      <c r="B27" s="137"/>
      <c r="C27" s="137"/>
      <c r="D27" s="137"/>
      <c r="E27" s="137"/>
      <c r="F27" s="137"/>
      <c r="G27" s="137"/>
      <c r="H27" s="137"/>
      <c r="I27" s="137"/>
    </row>
    <row r="28" spans="1:9" x14ac:dyDescent="0.25">
      <c r="A28" s="137"/>
      <c r="B28" s="137"/>
      <c r="C28" s="137"/>
      <c r="D28" s="137"/>
      <c r="E28" s="137"/>
      <c r="F28" s="137"/>
      <c r="G28" s="137"/>
      <c r="H28" s="137"/>
      <c r="I28" s="137"/>
    </row>
    <row r="29" spans="1:9" x14ac:dyDescent="0.25">
      <c r="A29" s="137"/>
      <c r="B29" s="137"/>
      <c r="C29" s="137"/>
      <c r="D29" s="137"/>
      <c r="E29" s="137"/>
      <c r="F29" s="137"/>
      <c r="G29" s="137"/>
      <c r="H29" s="137"/>
      <c r="I29" s="137"/>
    </row>
    <row r="30" spans="1:9" x14ac:dyDescent="0.25">
      <c r="A30" s="137"/>
      <c r="B30" s="137"/>
      <c r="C30" s="137"/>
      <c r="D30" s="137"/>
      <c r="E30" s="137"/>
      <c r="F30" s="137"/>
      <c r="G30" s="137"/>
      <c r="H30" s="137"/>
      <c r="I30" s="137"/>
    </row>
    <row r="31" spans="1:9" x14ac:dyDescent="0.25">
      <c r="A31" s="137"/>
      <c r="B31" s="137"/>
      <c r="C31" s="137"/>
      <c r="D31" s="137"/>
      <c r="E31" s="137"/>
      <c r="F31" s="137"/>
      <c r="G31" s="137"/>
      <c r="H31" s="137"/>
      <c r="I31" s="137"/>
    </row>
    <row r="32" spans="1:9" x14ac:dyDescent="0.25">
      <c r="A32" s="137"/>
      <c r="B32" s="137"/>
      <c r="C32" s="137"/>
      <c r="D32" s="137"/>
      <c r="E32" s="137"/>
      <c r="F32" s="137"/>
      <c r="G32" s="137"/>
      <c r="H32" s="137"/>
      <c r="I32" s="137"/>
    </row>
    <row r="33" spans="1:9" x14ac:dyDescent="0.25">
      <c r="A33" s="137"/>
      <c r="B33" s="137"/>
      <c r="C33" s="137"/>
      <c r="D33" s="137"/>
      <c r="E33" s="137"/>
      <c r="F33" s="137"/>
      <c r="G33" s="137"/>
      <c r="H33" s="137"/>
      <c r="I33" s="137"/>
    </row>
    <row r="34" spans="1:9" x14ac:dyDescent="0.25">
      <c r="A34" s="137"/>
      <c r="B34" s="137"/>
      <c r="C34" s="137"/>
      <c r="D34" s="137"/>
      <c r="E34" s="137"/>
      <c r="F34" s="137"/>
      <c r="G34" s="137"/>
      <c r="H34" s="137"/>
      <c r="I34" s="137"/>
    </row>
    <row r="37" spans="1:9" x14ac:dyDescent="0.25">
      <c r="A37" s="133"/>
      <c r="B37" s="134" t="s">
        <v>297</v>
      </c>
    </row>
  </sheetData>
  <mergeCells count="2">
    <mergeCell ref="A1:T1"/>
    <mergeCell ref="A21:I34"/>
  </mergeCells>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P43"/>
  <sheetViews>
    <sheetView topLeftCell="F1" zoomScale="80" zoomScaleNormal="80" workbookViewId="0">
      <selection activeCell="U14" sqref="U14"/>
    </sheetView>
  </sheetViews>
  <sheetFormatPr defaultColWidth="8.85546875" defaultRowHeight="15" x14ac:dyDescent="0.25"/>
  <cols>
    <col min="1" max="1" width="11.85546875" customWidth="1"/>
    <col min="3" max="3" width="11.42578125" customWidth="1"/>
    <col min="4" max="4" width="17.85546875" customWidth="1"/>
    <col min="5" max="8" width="13" customWidth="1"/>
    <col min="10" max="10" width="6" bestFit="1" customWidth="1"/>
  </cols>
  <sheetData>
    <row r="1" spans="1:16" ht="17.25" x14ac:dyDescent="0.25">
      <c r="A1" s="138" t="s">
        <v>245</v>
      </c>
      <c r="B1" s="138"/>
      <c r="C1" s="138"/>
      <c r="D1" s="138"/>
      <c r="E1" s="138"/>
      <c r="F1" s="138"/>
      <c r="G1" s="138"/>
      <c r="H1" s="138"/>
      <c r="I1" s="138"/>
      <c r="J1" s="138"/>
      <c r="K1" s="138"/>
      <c r="L1" s="138"/>
      <c r="M1" s="138"/>
      <c r="N1" s="138"/>
      <c r="O1" s="138"/>
    </row>
    <row r="2" spans="1:16" ht="17.25" customHeight="1" x14ac:dyDescent="0.25">
      <c r="A2" s="138" t="s">
        <v>246</v>
      </c>
      <c r="B2" s="138"/>
      <c r="C2" s="138"/>
      <c r="D2" s="138"/>
      <c r="E2" s="138"/>
      <c r="F2" s="138"/>
      <c r="G2" s="138"/>
      <c r="H2" s="138"/>
      <c r="I2" s="138"/>
      <c r="J2" s="138"/>
      <c r="K2" s="138"/>
      <c r="L2" s="138"/>
      <c r="M2" s="138"/>
      <c r="N2" s="138"/>
      <c r="O2" s="138"/>
      <c r="P2" s="138"/>
    </row>
    <row r="3" spans="1:16" x14ac:dyDescent="0.25">
      <c r="A3" t="s">
        <v>60</v>
      </c>
    </row>
    <row r="4" spans="1:16" ht="15.75" x14ac:dyDescent="0.25">
      <c r="A4" s="8" t="s">
        <v>50</v>
      </c>
      <c r="B4" s="9" t="s">
        <v>51</v>
      </c>
      <c r="C4" s="9" t="s">
        <v>52</v>
      </c>
      <c r="D4" s="10" t="s">
        <v>53</v>
      </c>
      <c r="E4" s="9" t="s">
        <v>54</v>
      </c>
      <c r="F4" s="9" t="s">
        <v>57</v>
      </c>
      <c r="G4" s="9" t="s">
        <v>243</v>
      </c>
      <c r="H4" s="9" t="s">
        <v>58</v>
      </c>
      <c r="I4" s="9" t="s">
        <v>55</v>
      </c>
      <c r="J4" s="16" t="s">
        <v>56</v>
      </c>
    </row>
    <row r="5" spans="1:16" ht="15.75" x14ac:dyDescent="0.25">
      <c r="A5" s="9">
        <v>2008</v>
      </c>
      <c r="B5" s="14">
        <f>4482/$J5</f>
        <v>0.8716452742123687</v>
      </c>
      <c r="C5" s="14">
        <f>1600/$J5</f>
        <v>0.31116297160637885</v>
      </c>
      <c r="D5" s="15">
        <f>2953/$J5</f>
        <v>0.57429015947102291</v>
      </c>
      <c r="E5" s="14">
        <f>2378/$J5</f>
        <v>0.46246596654998057</v>
      </c>
      <c r="F5" s="14">
        <f>1433/$J5</f>
        <v>0.27868533644496307</v>
      </c>
      <c r="G5" s="14"/>
      <c r="H5" s="15"/>
      <c r="I5" s="15">
        <f>3444/$J5</f>
        <v>0.66977829638273045</v>
      </c>
      <c r="J5">
        <v>5142</v>
      </c>
    </row>
    <row r="6" spans="1:16" ht="15.75" x14ac:dyDescent="0.25">
      <c r="A6" s="9">
        <v>2009</v>
      </c>
      <c r="B6" s="14">
        <f>4927/$J6</f>
        <v>0.84977578475336324</v>
      </c>
      <c r="C6" s="14">
        <f>2007/$J6</f>
        <v>0.34615384615384615</v>
      </c>
      <c r="D6" s="15">
        <f>3101/$J6</f>
        <v>0.53483959986202134</v>
      </c>
      <c r="E6" s="15">
        <f>2153/$J6</f>
        <v>0.37133494308382203</v>
      </c>
      <c r="F6" s="15"/>
      <c r="G6" s="15"/>
      <c r="H6" s="15"/>
      <c r="I6" s="15">
        <f>4002/$J6</f>
        <v>0.69023801310796828</v>
      </c>
      <c r="J6">
        <v>5798</v>
      </c>
    </row>
    <row r="7" spans="1:16" ht="15.75" x14ac:dyDescent="0.25">
      <c r="A7" s="9">
        <v>2010</v>
      </c>
      <c r="B7" s="14">
        <f>5721/$J7</f>
        <v>0.84119982355535949</v>
      </c>
      <c r="C7" s="14">
        <f>2548/$J7</f>
        <v>0.37465078664902218</v>
      </c>
      <c r="D7" s="14">
        <f>3620/$J7</f>
        <v>0.53227466549036906</v>
      </c>
      <c r="E7" s="14">
        <f>4256/$J7</f>
        <v>0.62579032495221287</v>
      </c>
      <c r="F7" s="14"/>
      <c r="G7" s="14"/>
      <c r="H7" s="14"/>
      <c r="I7" s="14">
        <f>4788/$J7</f>
        <v>0.7040141155712395</v>
      </c>
      <c r="J7">
        <v>6801</v>
      </c>
    </row>
    <row r="8" spans="1:16" ht="15.75" x14ac:dyDescent="0.25">
      <c r="A8" s="9">
        <v>2011</v>
      </c>
      <c r="B8" s="15">
        <f>6795/$J8</f>
        <v>0.9090301003344482</v>
      </c>
      <c r="C8" s="15">
        <f>3151/$J8</f>
        <v>0.42153846153846153</v>
      </c>
      <c r="D8" s="15">
        <f>4461/$J8</f>
        <v>0.59678929765886291</v>
      </c>
      <c r="E8" s="15">
        <f>4792/$J8</f>
        <v>0.64107023411371233</v>
      </c>
      <c r="F8" s="15"/>
      <c r="G8" s="15"/>
      <c r="H8" s="15"/>
      <c r="I8" s="15">
        <f>5434/$J8</f>
        <v>0.72695652173913039</v>
      </c>
      <c r="J8">
        <v>7475</v>
      </c>
    </row>
    <row r="9" spans="1:16" ht="15.75" x14ac:dyDescent="0.25">
      <c r="A9" s="9">
        <v>2012</v>
      </c>
      <c r="B9" s="11">
        <f>7048/$J9</f>
        <v>0.91236245954692552</v>
      </c>
      <c r="C9" s="11">
        <f>3556/$J9</f>
        <v>0.46032362459546927</v>
      </c>
      <c r="D9" s="11">
        <f>5307/$J9</f>
        <v>0.68699029126213595</v>
      </c>
      <c r="E9" s="11">
        <f>5367/$J9</f>
        <v>0.69475728155339811</v>
      </c>
      <c r="F9" s="11"/>
      <c r="G9" s="11"/>
      <c r="H9" s="11"/>
      <c r="I9" s="11">
        <f>6045/$J9</f>
        <v>0.78252427184466022</v>
      </c>
      <c r="J9">
        <v>7725</v>
      </c>
    </row>
    <row r="10" spans="1:16" ht="15.75" x14ac:dyDescent="0.25">
      <c r="A10" s="9">
        <v>2013</v>
      </c>
      <c r="B10" s="11">
        <f>7300/$J10</f>
        <v>0.92604338449828749</v>
      </c>
      <c r="C10" s="11">
        <f>3502/$J10</f>
        <v>0.44424711404287709</v>
      </c>
      <c r="D10" s="11">
        <f>5953/$J10</f>
        <v>0.75516935176963085</v>
      </c>
      <c r="E10" s="11">
        <f>5689/$J10</f>
        <v>0.72167956361791197</v>
      </c>
      <c r="F10" s="11"/>
      <c r="G10" s="11"/>
      <c r="H10" s="11"/>
      <c r="I10" s="11">
        <f>6472/$J10</f>
        <v>0.8210072307497146</v>
      </c>
      <c r="J10">
        <v>7883</v>
      </c>
    </row>
    <row r="11" spans="1:16" ht="15.75" x14ac:dyDescent="0.25">
      <c r="A11" s="9">
        <v>2014</v>
      </c>
      <c r="B11" s="11">
        <f>7189/$J11</f>
        <v>0.88884767556874378</v>
      </c>
      <c r="C11" s="11">
        <f>4066/$J11</f>
        <v>0.50272007912957473</v>
      </c>
      <c r="D11" s="11">
        <f>6236/$J11</f>
        <v>0.77101879327398615</v>
      </c>
      <c r="E11" s="11">
        <f>5962/$J11</f>
        <v>0.73714144411473792</v>
      </c>
      <c r="G11" s="97">
        <f>3487/$J11</f>
        <v>0.43113254203758655</v>
      </c>
      <c r="H11" s="96"/>
      <c r="I11" s="11">
        <f>6468/$J11</f>
        <v>0.79970326409495551</v>
      </c>
      <c r="J11">
        <v>8088</v>
      </c>
    </row>
    <row r="12" spans="1:16" ht="15.75" x14ac:dyDescent="0.25">
      <c r="A12" s="9">
        <v>2015</v>
      </c>
      <c r="B12" s="11">
        <f>7266/$J12</f>
        <v>0.89098712446351935</v>
      </c>
      <c r="C12" s="11">
        <f>4074/$J12</f>
        <v>0.4995708154506438</v>
      </c>
      <c r="D12" s="11">
        <f>6423/$J12</f>
        <v>0.78761496014714893</v>
      </c>
      <c r="E12" s="11">
        <f>6155/$J12</f>
        <v>0.75475168608215815</v>
      </c>
      <c r="F12" s="11">
        <f>3274/$J12</f>
        <v>0.40147148988350706</v>
      </c>
      <c r="G12" s="11"/>
      <c r="H12" s="11">
        <f>4102/$J12</f>
        <v>0.50300429184549356</v>
      </c>
      <c r="I12" s="11">
        <f>6660/$J12</f>
        <v>0.81667688534641325</v>
      </c>
      <c r="J12">
        <v>8155</v>
      </c>
    </row>
    <row r="13" spans="1:16" ht="15.75" x14ac:dyDescent="0.25">
      <c r="A13" s="9">
        <v>2016</v>
      </c>
      <c r="B13" s="11">
        <f>7080/$J13</f>
        <v>0.85922330097087374</v>
      </c>
      <c r="C13" s="11">
        <f>3938/$J13</f>
        <v>0.4779126213592233</v>
      </c>
      <c r="D13" s="11">
        <f>6315/$J13</f>
        <v>0.76638349514563109</v>
      </c>
      <c r="E13" s="11">
        <f>5990/$J13</f>
        <v>0.72694174757281549</v>
      </c>
      <c r="F13" s="11">
        <f>3056/$J13</f>
        <v>0.37087378640776697</v>
      </c>
      <c r="G13" s="11"/>
      <c r="H13" s="11">
        <f>3935/$J13</f>
        <v>0.47754854368932037</v>
      </c>
      <c r="I13" s="11">
        <f>6502/$J13</f>
        <v>0.78907766990291262</v>
      </c>
      <c r="J13">
        <v>8240</v>
      </c>
    </row>
    <row r="15" spans="1:16" ht="15" customHeight="1" x14ac:dyDescent="0.25">
      <c r="A15" s="137" t="s">
        <v>286</v>
      </c>
      <c r="B15" s="137"/>
      <c r="C15" s="137"/>
      <c r="D15" s="137"/>
      <c r="E15" s="137"/>
      <c r="F15" s="137"/>
      <c r="G15" s="137"/>
      <c r="H15" s="137"/>
      <c r="I15" s="137"/>
    </row>
    <row r="16" spans="1:16" x14ac:dyDescent="0.25">
      <c r="A16" s="137"/>
      <c r="B16" s="137"/>
      <c r="C16" s="137"/>
      <c r="D16" s="137"/>
      <c r="E16" s="137"/>
      <c r="F16" s="137"/>
      <c r="G16" s="137"/>
      <c r="H16" s="137"/>
      <c r="I16" s="137"/>
    </row>
    <row r="17" spans="1:11" x14ac:dyDescent="0.25">
      <c r="A17" s="137"/>
      <c r="B17" s="137"/>
      <c r="C17" s="137"/>
      <c r="D17" s="137"/>
      <c r="E17" s="137"/>
      <c r="F17" s="137"/>
      <c r="G17" s="137"/>
      <c r="H17" s="137"/>
      <c r="I17" s="137"/>
    </row>
    <row r="18" spans="1:11" x14ac:dyDescent="0.25">
      <c r="A18" s="137"/>
      <c r="B18" s="137"/>
      <c r="C18" s="137"/>
      <c r="D18" s="137"/>
      <c r="E18" s="137"/>
      <c r="F18" s="137"/>
      <c r="G18" s="137"/>
      <c r="H18" s="137"/>
      <c r="I18" s="137"/>
    </row>
    <row r="19" spans="1:11" x14ac:dyDescent="0.25">
      <c r="A19" s="137"/>
      <c r="B19" s="137"/>
      <c r="C19" s="137"/>
      <c r="D19" s="137"/>
      <c r="E19" s="137"/>
      <c r="F19" s="137"/>
      <c r="G19" s="137"/>
      <c r="H19" s="137"/>
      <c r="I19" s="137"/>
    </row>
    <row r="20" spans="1:11" x14ac:dyDescent="0.25">
      <c r="A20" s="137"/>
      <c r="B20" s="137"/>
      <c r="C20" s="137"/>
      <c r="D20" s="137"/>
      <c r="E20" s="137"/>
      <c r="F20" s="137"/>
      <c r="G20" s="137"/>
      <c r="H20" s="137"/>
      <c r="I20" s="137"/>
    </row>
    <row r="21" spans="1:11" x14ac:dyDescent="0.25">
      <c r="A21" s="137"/>
      <c r="B21" s="137"/>
      <c r="C21" s="137"/>
      <c r="D21" s="137"/>
      <c r="E21" s="137"/>
      <c r="F21" s="137"/>
      <c r="G21" s="137"/>
      <c r="H21" s="137"/>
      <c r="I21" s="137"/>
    </row>
    <row r="22" spans="1:11" ht="15.75" x14ac:dyDescent="0.25">
      <c r="A22" s="137"/>
      <c r="B22" s="137"/>
      <c r="C22" s="137"/>
      <c r="D22" s="137"/>
      <c r="E22" s="137"/>
      <c r="F22" s="137"/>
      <c r="G22" s="137"/>
      <c r="H22" s="137"/>
      <c r="I22" s="137"/>
      <c r="K22" s="17"/>
    </row>
    <row r="23" spans="1:11" x14ac:dyDescent="0.25">
      <c r="A23" s="137"/>
      <c r="B23" s="137"/>
      <c r="C23" s="137"/>
      <c r="D23" s="137"/>
      <c r="E23" s="137"/>
      <c r="F23" s="137"/>
      <c r="G23" s="137"/>
      <c r="H23" s="137"/>
      <c r="I23" s="137"/>
    </row>
    <row r="24" spans="1:11" x14ac:dyDescent="0.25">
      <c r="A24" s="137"/>
      <c r="B24" s="137"/>
      <c r="C24" s="137"/>
      <c r="D24" s="137"/>
      <c r="E24" s="137"/>
      <c r="F24" s="137"/>
      <c r="G24" s="137"/>
      <c r="H24" s="137"/>
      <c r="I24" s="137"/>
    </row>
    <row r="25" spans="1:11" x14ac:dyDescent="0.25">
      <c r="A25" s="137"/>
      <c r="B25" s="137"/>
      <c r="C25" s="137"/>
      <c r="D25" s="137"/>
      <c r="E25" s="137"/>
      <c r="F25" s="137"/>
      <c r="G25" s="137"/>
      <c r="H25" s="137"/>
      <c r="I25" s="137"/>
    </row>
    <row r="26" spans="1:11" x14ac:dyDescent="0.25">
      <c r="A26" s="137"/>
      <c r="B26" s="137"/>
      <c r="C26" s="137"/>
      <c r="D26" s="137"/>
      <c r="E26" s="137"/>
      <c r="F26" s="137"/>
      <c r="G26" s="137"/>
      <c r="H26" s="137"/>
      <c r="I26" s="137"/>
    </row>
    <row r="27" spans="1:11" x14ac:dyDescent="0.25">
      <c r="A27" s="137"/>
      <c r="B27" s="137"/>
      <c r="C27" s="137"/>
      <c r="D27" s="137"/>
      <c r="E27" s="137"/>
      <c r="F27" s="137"/>
      <c r="G27" s="137"/>
      <c r="H27" s="137"/>
      <c r="I27" s="137"/>
    </row>
    <row r="28" spans="1:11" x14ac:dyDescent="0.25">
      <c r="A28" s="137"/>
      <c r="B28" s="137"/>
      <c r="C28" s="137"/>
      <c r="D28" s="137"/>
      <c r="E28" s="137"/>
      <c r="F28" s="137"/>
      <c r="G28" s="137"/>
      <c r="H28" s="137"/>
      <c r="I28" s="137"/>
    </row>
    <row r="30" spans="1:11" x14ac:dyDescent="0.25">
      <c r="A30" t="s">
        <v>59</v>
      </c>
    </row>
    <row r="31" spans="1:11" ht="15.75" x14ac:dyDescent="0.25">
      <c r="A31" s="8" t="s">
        <v>50</v>
      </c>
      <c r="B31" s="9" t="s">
        <v>51</v>
      </c>
      <c r="C31" s="9" t="s">
        <v>52</v>
      </c>
      <c r="D31" s="10" t="s">
        <v>53</v>
      </c>
      <c r="E31" s="9" t="s">
        <v>54</v>
      </c>
      <c r="F31" s="9"/>
      <c r="G31" s="9"/>
      <c r="H31" s="9"/>
      <c r="I31" s="9" t="s">
        <v>55</v>
      </c>
    </row>
    <row r="32" spans="1:11" ht="15.75" x14ac:dyDescent="0.25">
      <c r="A32" s="9">
        <v>2008</v>
      </c>
      <c r="B32" s="11">
        <v>0.72699999999999998</v>
      </c>
      <c r="C32" s="11">
        <v>0.31</v>
      </c>
      <c r="D32" s="11">
        <v>0.57399999999999995</v>
      </c>
      <c r="E32" s="11">
        <v>0.46300000000000002</v>
      </c>
      <c r="F32" s="11"/>
      <c r="G32" s="11"/>
      <c r="H32" s="11"/>
      <c r="I32" s="11">
        <v>0.67</v>
      </c>
    </row>
    <row r="33" spans="1:9" ht="15.75" x14ac:dyDescent="0.25">
      <c r="A33" s="9">
        <v>2009</v>
      </c>
      <c r="B33" s="11">
        <v>0.86299999999999999</v>
      </c>
      <c r="C33" s="11">
        <v>0.34799999999999998</v>
      </c>
      <c r="D33" s="11">
        <v>0.53500000000000003</v>
      </c>
      <c r="E33" s="11">
        <v>0.371</v>
      </c>
      <c r="F33" s="11"/>
      <c r="G33" s="11"/>
      <c r="H33" s="11"/>
      <c r="I33" s="11">
        <v>0.69</v>
      </c>
    </row>
    <row r="34" spans="1:9" ht="15.75" x14ac:dyDescent="0.25">
      <c r="A34" s="9">
        <v>2010</v>
      </c>
      <c r="B34" s="11">
        <v>0.86099999999999999</v>
      </c>
      <c r="C34" s="11">
        <v>0.37</v>
      </c>
      <c r="D34" s="11">
        <v>0.52</v>
      </c>
      <c r="E34" s="11">
        <v>0.62</v>
      </c>
      <c r="F34" s="11"/>
      <c r="G34" s="11"/>
      <c r="H34" s="11"/>
      <c r="I34" s="11">
        <v>0.7</v>
      </c>
    </row>
    <row r="35" spans="1:9" ht="15.75" x14ac:dyDescent="0.25">
      <c r="A35" s="9">
        <v>2011</v>
      </c>
      <c r="B35" s="11">
        <v>0.90900000000000003</v>
      </c>
      <c r="C35" s="11">
        <v>0.42199999999999999</v>
      </c>
      <c r="D35" s="11">
        <v>0.59699999999999998</v>
      </c>
      <c r="E35" s="11">
        <v>0.64100000000000001</v>
      </c>
      <c r="F35" s="11"/>
      <c r="G35" s="11"/>
      <c r="H35" s="11"/>
      <c r="I35" s="11">
        <v>0.72699999999999998</v>
      </c>
    </row>
    <row r="36" spans="1:9" ht="15.75" x14ac:dyDescent="0.25">
      <c r="A36" s="9">
        <v>2012</v>
      </c>
      <c r="B36" s="11">
        <v>0.91200000000000003</v>
      </c>
      <c r="C36" s="11">
        <v>0.46</v>
      </c>
      <c r="D36" s="11">
        <v>0.68700000000000006</v>
      </c>
      <c r="E36" s="11">
        <v>0.69499999999999995</v>
      </c>
      <c r="F36" s="11"/>
      <c r="G36" s="11"/>
      <c r="H36" s="11"/>
      <c r="I36" s="11">
        <v>0.78300000000000003</v>
      </c>
    </row>
    <row r="37" spans="1:9" ht="15.75" x14ac:dyDescent="0.25">
      <c r="A37" s="9">
        <v>2013</v>
      </c>
      <c r="B37" s="11">
        <v>0.92599999999999993</v>
      </c>
      <c r="C37" s="11">
        <v>0.44420000000000004</v>
      </c>
      <c r="D37" s="11">
        <v>0.755</v>
      </c>
      <c r="E37" s="11">
        <v>0.72199999999999998</v>
      </c>
      <c r="F37" s="11"/>
      <c r="G37" s="11"/>
      <c r="H37" s="11"/>
      <c r="I37" s="11">
        <v>0.82099999999999995</v>
      </c>
    </row>
    <row r="38" spans="1:9" ht="15.75" x14ac:dyDescent="0.25">
      <c r="A38" s="9">
        <v>2014</v>
      </c>
      <c r="B38" s="11">
        <v>0.88900000000000001</v>
      </c>
      <c r="C38" s="11">
        <v>0.503</v>
      </c>
      <c r="D38" s="11">
        <v>0.77099999999999991</v>
      </c>
      <c r="E38" s="11">
        <v>0.73699999999999999</v>
      </c>
      <c r="F38" s="11"/>
      <c r="G38" s="11"/>
      <c r="H38" s="11"/>
      <c r="I38" s="11">
        <v>0.8</v>
      </c>
    </row>
    <row r="39" spans="1:9" ht="15.75" x14ac:dyDescent="0.25">
      <c r="A39" s="9">
        <v>2015</v>
      </c>
      <c r="B39" s="12">
        <v>0.89098712446351935</v>
      </c>
      <c r="C39" s="12">
        <v>0.4995708154506438</v>
      </c>
      <c r="D39" s="12">
        <v>0.78761496014714893</v>
      </c>
      <c r="E39" s="12">
        <v>0.75475168608215815</v>
      </c>
      <c r="F39" s="12"/>
      <c r="G39" s="12"/>
      <c r="H39" s="12"/>
      <c r="I39" s="12">
        <v>0.81667688534641325</v>
      </c>
    </row>
    <row r="43" spans="1:9" x14ac:dyDescent="0.25">
      <c r="C43" s="135" t="s">
        <v>298</v>
      </c>
    </row>
  </sheetData>
  <mergeCells count="3">
    <mergeCell ref="A1:O1"/>
    <mergeCell ref="A15:I28"/>
    <mergeCell ref="A2:P2"/>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54"/>
  <sheetViews>
    <sheetView workbookViewId="0">
      <selection activeCell="K25" sqref="K25"/>
    </sheetView>
  </sheetViews>
  <sheetFormatPr defaultColWidth="8.85546875" defaultRowHeight="15" x14ac:dyDescent="0.25"/>
  <cols>
    <col min="1" max="1" width="13.140625" customWidth="1"/>
    <col min="6" max="6" width="13.140625" customWidth="1"/>
    <col min="9" max="9" width="9.140625" bestFit="1" customWidth="1"/>
  </cols>
  <sheetData>
    <row r="1" spans="1:17" ht="15.75" x14ac:dyDescent="0.25">
      <c r="A1" s="139" t="s">
        <v>247</v>
      </c>
      <c r="B1" s="139"/>
      <c r="C1" s="139"/>
      <c r="D1" s="139"/>
      <c r="E1" s="139"/>
      <c r="F1" s="139"/>
      <c r="G1" s="139"/>
      <c r="H1" s="139"/>
      <c r="I1" s="139"/>
      <c r="J1" s="139"/>
      <c r="K1" s="139"/>
      <c r="L1" s="139"/>
      <c r="M1" s="139"/>
      <c r="N1" s="139"/>
      <c r="O1" s="139"/>
      <c r="P1" s="139"/>
      <c r="Q1" s="139"/>
    </row>
    <row r="3" spans="1:17" ht="15.75" x14ac:dyDescent="0.25">
      <c r="A3" s="19">
        <v>2016</v>
      </c>
      <c r="B3" s="19" t="s">
        <v>61</v>
      </c>
      <c r="C3" s="19" t="s">
        <v>62</v>
      </c>
      <c r="D3" s="19" t="s">
        <v>63</v>
      </c>
      <c r="E3" s="19" t="s">
        <v>64</v>
      </c>
      <c r="F3" s="19" t="s">
        <v>65</v>
      </c>
      <c r="H3" s="26"/>
      <c r="I3" s="26"/>
      <c r="J3" s="26"/>
      <c r="K3" s="26"/>
      <c r="L3" s="26"/>
      <c r="M3" s="26"/>
    </row>
    <row r="4" spans="1:17" ht="15.75" x14ac:dyDescent="0.25">
      <c r="A4" s="19" t="s">
        <v>51</v>
      </c>
      <c r="B4" s="20">
        <f>602/B11</f>
        <v>0.96784565916398713</v>
      </c>
      <c r="C4" s="20">
        <f>2345/C11</f>
        <v>0.88724933787362847</v>
      </c>
      <c r="D4" s="20">
        <f>2411/D11</f>
        <v>0.84864484336501234</v>
      </c>
      <c r="E4" s="20">
        <f>1288/E11</f>
        <v>0.8490441661173368</v>
      </c>
      <c r="F4" s="20">
        <f>541/F11</f>
        <v>0.87682333873581852</v>
      </c>
      <c r="H4" s="26"/>
      <c r="I4" s="27"/>
      <c r="J4" s="27"/>
      <c r="K4" s="27"/>
      <c r="L4" s="27"/>
      <c r="M4" s="27"/>
    </row>
    <row r="5" spans="1:17" ht="15.75" x14ac:dyDescent="0.25">
      <c r="A5" s="19" t="s">
        <v>52</v>
      </c>
      <c r="B5" s="20">
        <f>355/B11</f>
        <v>0.57073954983922826</v>
      </c>
      <c r="C5" s="20">
        <f>1438/C11</f>
        <v>0.54407869844873247</v>
      </c>
      <c r="D5" s="20">
        <f>1250/D11</f>
        <v>0.43998592045054558</v>
      </c>
      <c r="E5" s="20">
        <f>629/E11</f>
        <v>0.41463414634146339</v>
      </c>
      <c r="F5" s="20">
        <f>316/F11</f>
        <v>0.5121555915721232</v>
      </c>
      <c r="H5" s="26"/>
      <c r="I5" s="27"/>
      <c r="J5" s="27"/>
      <c r="K5" s="27"/>
      <c r="L5" s="27"/>
      <c r="M5" s="27"/>
    </row>
    <row r="6" spans="1:17" ht="15.75" x14ac:dyDescent="0.25">
      <c r="A6" s="19" t="s">
        <v>53</v>
      </c>
      <c r="B6" s="20">
        <f>579/B11</f>
        <v>0.93086816720257237</v>
      </c>
      <c r="C6" s="20">
        <f>2140/C11</f>
        <v>0.80968596292092321</v>
      </c>
      <c r="D6" s="20">
        <f>2071/D11</f>
        <v>0.72896867300246393</v>
      </c>
      <c r="E6" s="20">
        <f>1132/E11</f>
        <v>0.74620962425840476</v>
      </c>
      <c r="F6" s="20">
        <f>483/F11</f>
        <v>0.78282009724473256</v>
      </c>
      <c r="H6" s="26"/>
      <c r="I6" s="27"/>
      <c r="J6" s="27"/>
      <c r="K6" s="27"/>
      <c r="L6" s="27"/>
      <c r="M6" s="27"/>
    </row>
    <row r="7" spans="1:17" ht="15.75" x14ac:dyDescent="0.25">
      <c r="A7" s="19" t="s">
        <v>54</v>
      </c>
      <c r="B7" s="20">
        <f>558/B11</f>
        <v>0.89710610932475887</v>
      </c>
      <c r="C7" s="20">
        <f>2018/C11</f>
        <v>0.7635262958758986</v>
      </c>
      <c r="D7" s="20">
        <f>2059/D11</f>
        <v>0.72474480816613873</v>
      </c>
      <c r="E7" s="20">
        <f>995/E11</f>
        <v>0.65589980224126565</v>
      </c>
      <c r="F7" s="20">
        <f>453/F11</f>
        <v>0.73419773095623986</v>
      </c>
      <c r="H7" s="26"/>
      <c r="I7" s="27"/>
      <c r="J7" s="27"/>
      <c r="K7" s="27"/>
      <c r="L7" s="27"/>
      <c r="M7" s="27"/>
    </row>
    <row r="8" spans="1:17" ht="15.75" x14ac:dyDescent="0.25">
      <c r="A8" s="23" t="s">
        <v>57</v>
      </c>
      <c r="B8" s="20">
        <f>217/B11</f>
        <v>0.34887459807073956</v>
      </c>
      <c r="C8" s="20">
        <f>760/C11</f>
        <v>0.28755202421490728</v>
      </c>
      <c r="D8" s="20">
        <f>1299/D11</f>
        <v>0.45723336853220697</v>
      </c>
      <c r="E8" s="20">
        <f>587/E11</f>
        <v>0.38694792353328938</v>
      </c>
      <c r="F8" s="20">
        <f>237/F11</f>
        <v>0.3841166936790924</v>
      </c>
      <c r="H8" s="24"/>
      <c r="I8" s="27"/>
      <c r="J8" s="27"/>
      <c r="K8" s="27"/>
      <c r="L8" s="27"/>
      <c r="M8" s="27"/>
    </row>
    <row r="9" spans="1:17" ht="15.75" x14ac:dyDescent="0.25">
      <c r="A9" s="23" t="s">
        <v>58</v>
      </c>
      <c r="B9" s="20">
        <f>295/B11</f>
        <v>0.47427652733118969</v>
      </c>
      <c r="C9" s="20">
        <f>1042/C11</f>
        <v>0.39424895951570188</v>
      </c>
      <c r="D9" s="20">
        <f>1575/D11</f>
        <v>0.5543822597676874</v>
      </c>
      <c r="E9" s="20">
        <f>786/E11</f>
        <v>0.51812788398154253</v>
      </c>
      <c r="F9" s="20">
        <f>294/F11</f>
        <v>0.47649918962722854</v>
      </c>
      <c r="H9" s="24"/>
      <c r="I9" s="27"/>
      <c r="J9" s="27"/>
      <c r="K9" s="27"/>
      <c r="L9" s="27"/>
      <c r="M9" s="27"/>
    </row>
    <row r="10" spans="1:17" ht="15.75" x14ac:dyDescent="0.25">
      <c r="A10" s="19" t="s">
        <v>55</v>
      </c>
      <c r="B10" s="20">
        <f>579/B11</f>
        <v>0.93086816720257237</v>
      </c>
      <c r="C10" s="20">
        <f>2222/C11</f>
        <v>0.84071131290200529</v>
      </c>
      <c r="D10" s="20">
        <f>2130/D11</f>
        <v>0.7497360084477297</v>
      </c>
      <c r="E10" s="20">
        <f>1146/E11</f>
        <v>0.75543836519446272</v>
      </c>
      <c r="F10" s="20">
        <f>515/F11</f>
        <v>0.83468395461912481</v>
      </c>
      <c r="H10" s="26"/>
      <c r="I10" s="27"/>
      <c r="J10" s="27"/>
      <c r="K10" s="27"/>
      <c r="L10" s="27"/>
      <c r="M10" s="27"/>
    </row>
    <row r="11" spans="1:17" ht="15.75" x14ac:dyDescent="0.25">
      <c r="A11" s="24" t="s">
        <v>56</v>
      </c>
      <c r="B11" s="25">
        <v>622</v>
      </c>
      <c r="C11">
        <v>2643</v>
      </c>
      <c r="D11">
        <v>2841</v>
      </c>
      <c r="E11">
        <v>1517</v>
      </c>
      <c r="F11">
        <v>617</v>
      </c>
      <c r="H11" s="24"/>
      <c r="I11" s="25"/>
      <c r="J11" s="28"/>
      <c r="K11" s="28"/>
      <c r="L11" s="28"/>
      <c r="M11" s="28"/>
    </row>
    <row r="12" spans="1:17" x14ac:dyDescent="0.25">
      <c r="A12" s="21"/>
      <c r="G12" s="21"/>
      <c r="I12" s="21"/>
    </row>
    <row r="13" spans="1:17" ht="15.75" x14ac:dyDescent="0.25">
      <c r="A13" s="19">
        <v>2015</v>
      </c>
      <c r="B13" s="19" t="s">
        <v>61</v>
      </c>
      <c r="C13" s="19" t="s">
        <v>62</v>
      </c>
      <c r="D13" s="19" t="s">
        <v>63</v>
      </c>
      <c r="E13" s="19" t="s">
        <v>64</v>
      </c>
      <c r="F13" s="19" t="s">
        <v>65</v>
      </c>
      <c r="G13" s="21"/>
      <c r="I13" s="21"/>
    </row>
    <row r="14" spans="1:17" ht="15.75" x14ac:dyDescent="0.25">
      <c r="A14" s="19" t="s">
        <v>51</v>
      </c>
      <c r="B14" s="20">
        <f>600/B21</f>
        <v>0.97244732576985415</v>
      </c>
      <c r="C14" s="20">
        <f>2417/C21</f>
        <v>0.92428298279158705</v>
      </c>
      <c r="D14" s="20">
        <f>2405/D21</f>
        <v>0.85739750445632801</v>
      </c>
      <c r="E14" s="20">
        <f>1306/E21</f>
        <v>0.8706666666666667</v>
      </c>
      <c r="F14" s="20">
        <f>538/F21</f>
        <v>0.87055016181229772</v>
      </c>
      <c r="G14" s="21"/>
      <c r="I14" s="21"/>
    </row>
    <row r="15" spans="1:17" ht="15.75" x14ac:dyDescent="0.25">
      <c r="A15" s="19" t="s">
        <v>52</v>
      </c>
      <c r="B15" s="20">
        <f>368/B21</f>
        <v>0.59643435980551052</v>
      </c>
      <c r="C15" s="20">
        <f>1503/C21</f>
        <v>0.57476099426386229</v>
      </c>
      <c r="D15" s="20">
        <f>1272/D21</f>
        <v>0.45347593582887702</v>
      </c>
      <c r="E15" s="20">
        <f>628/E21</f>
        <v>0.41866666666666669</v>
      </c>
      <c r="F15" s="20">
        <f>303/F21</f>
        <v>0.49029126213592233</v>
      </c>
      <c r="G15" s="21"/>
      <c r="I15" s="21"/>
    </row>
    <row r="16" spans="1:17" ht="15.75" x14ac:dyDescent="0.25">
      <c r="A16" s="19" t="s">
        <v>53</v>
      </c>
      <c r="B16" s="20">
        <f>574/B21</f>
        <v>0.93030794165316044</v>
      </c>
      <c r="C16" s="20">
        <f>2196/C21</f>
        <v>0.83977055449330784</v>
      </c>
      <c r="D16" s="20">
        <f>2051/D21</f>
        <v>0.73119429590017826</v>
      </c>
      <c r="E16" s="20">
        <f>1130/E21</f>
        <v>0.7533333333333333</v>
      </c>
      <c r="F16" s="20">
        <f>472/F21</f>
        <v>0.7637540453074434</v>
      </c>
      <c r="G16" s="21"/>
      <c r="I16" s="21"/>
    </row>
    <row r="17" spans="1:11" ht="15.75" x14ac:dyDescent="0.25">
      <c r="A17" s="19" t="s">
        <v>54</v>
      </c>
      <c r="B17" s="20">
        <f>546/B21</f>
        <v>0.88492706645056729</v>
      </c>
      <c r="C17" s="20">
        <f>2103/C21</f>
        <v>0.80420650095602297</v>
      </c>
      <c r="D17" s="20">
        <f>2076/D21</f>
        <v>0.74010695187165776</v>
      </c>
      <c r="E17" s="20">
        <f>982/E21</f>
        <v>0.65466666666666662</v>
      </c>
      <c r="F17" s="20">
        <f>448/F21</f>
        <v>0.72491909385113273</v>
      </c>
      <c r="G17" s="21"/>
    </row>
    <row r="18" spans="1:11" ht="15.75" x14ac:dyDescent="0.25">
      <c r="A18" s="23" t="s">
        <v>57</v>
      </c>
      <c r="B18" s="20">
        <f>229/B21</f>
        <v>0.37115072933549431</v>
      </c>
      <c r="C18" s="20">
        <f>888/C21</f>
        <v>0.3395793499043977</v>
      </c>
      <c r="D18" s="20">
        <f>1336/D21</f>
        <v>0.47629233511586455</v>
      </c>
      <c r="E18" s="20">
        <f>573/E21</f>
        <v>0.38200000000000001</v>
      </c>
      <c r="F18" s="20">
        <f>248/F21</f>
        <v>0.40129449838187703</v>
      </c>
    </row>
    <row r="19" spans="1:11" ht="15.75" x14ac:dyDescent="0.25">
      <c r="A19" s="23" t="s">
        <v>58</v>
      </c>
      <c r="B19" s="20">
        <f>302/B21</f>
        <v>0.48946515397082657</v>
      </c>
      <c r="C19" s="20">
        <f>1120/C21</f>
        <v>0.42829827915869984</v>
      </c>
      <c r="D19" s="20">
        <f>1590/D21</f>
        <v>0.5668449197860963</v>
      </c>
      <c r="E19" s="20">
        <f>780/E21</f>
        <v>0.52</v>
      </c>
      <c r="F19" s="20">
        <f>310/F21</f>
        <v>0.50161812297734631</v>
      </c>
    </row>
    <row r="20" spans="1:11" ht="15.75" x14ac:dyDescent="0.25">
      <c r="A20" s="19" t="s">
        <v>55</v>
      </c>
      <c r="B20" s="20">
        <f>586/B21</f>
        <v>0.94975688816855752</v>
      </c>
      <c r="C20" s="20">
        <f>2259/C21</f>
        <v>0.86386233269598467</v>
      </c>
      <c r="D20" s="20">
        <f>2155/D21</f>
        <v>0.76827094474153301</v>
      </c>
      <c r="E20" s="20">
        <f>1148/E21</f>
        <v>0.76533333333333331</v>
      </c>
      <c r="F20" s="20">
        <f>512/F21</f>
        <v>0.82847896440129454</v>
      </c>
    </row>
    <row r="21" spans="1:11" ht="15.75" x14ac:dyDescent="0.25">
      <c r="A21" s="24" t="s">
        <v>56</v>
      </c>
      <c r="B21" s="25">
        <v>617</v>
      </c>
      <c r="C21">
        <v>2615</v>
      </c>
      <c r="D21">
        <v>2805</v>
      </c>
      <c r="E21">
        <v>1500</v>
      </c>
      <c r="F21">
        <v>618</v>
      </c>
    </row>
    <row r="23" spans="1:11" ht="15" customHeight="1" x14ac:dyDescent="0.25">
      <c r="A23" s="137" t="s">
        <v>267</v>
      </c>
      <c r="B23" s="137"/>
      <c r="C23" s="137"/>
      <c r="D23" s="137"/>
      <c r="E23" s="137"/>
      <c r="F23" s="137"/>
      <c r="G23" s="137"/>
      <c r="H23" s="137"/>
      <c r="I23" s="137"/>
    </row>
    <row r="24" spans="1:11" x14ac:dyDescent="0.25">
      <c r="A24" s="137"/>
      <c r="B24" s="137"/>
      <c r="C24" s="137"/>
      <c r="D24" s="137"/>
      <c r="E24" s="137"/>
      <c r="F24" s="137"/>
      <c r="G24" s="137"/>
      <c r="H24" s="137"/>
      <c r="I24" s="137"/>
    </row>
    <row r="25" spans="1:11" x14ac:dyDescent="0.25">
      <c r="A25" s="137"/>
      <c r="B25" s="137"/>
      <c r="C25" s="137"/>
      <c r="D25" s="137"/>
      <c r="E25" s="137"/>
      <c r="F25" s="137"/>
      <c r="G25" s="137"/>
      <c r="H25" s="137"/>
      <c r="I25" s="137"/>
      <c r="K25" s="135" t="s">
        <v>287</v>
      </c>
    </row>
    <row r="26" spans="1:11" x14ac:dyDescent="0.25">
      <c r="A26" s="137"/>
      <c r="B26" s="137"/>
      <c r="C26" s="137"/>
      <c r="D26" s="137"/>
      <c r="E26" s="137"/>
      <c r="F26" s="137"/>
      <c r="G26" s="137"/>
      <c r="H26" s="137"/>
      <c r="I26" s="137"/>
    </row>
    <row r="27" spans="1:11" x14ac:dyDescent="0.25">
      <c r="A27" s="137"/>
      <c r="B27" s="137"/>
      <c r="C27" s="137"/>
      <c r="D27" s="137"/>
      <c r="E27" s="137"/>
      <c r="F27" s="137"/>
      <c r="G27" s="137"/>
      <c r="H27" s="137"/>
      <c r="I27" s="137"/>
    </row>
    <row r="28" spans="1:11" x14ac:dyDescent="0.25">
      <c r="A28" s="137"/>
      <c r="B28" s="137"/>
      <c r="C28" s="137"/>
      <c r="D28" s="137"/>
      <c r="E28" s="137"/>
      <c r="F28" s="137"/>
      <c r="G28" s="137"/>
      <c r="H28" s="137"/>
      <c r="I28" s="137"/>
    </row>
    <row r="31" spans="1:11" ht="15" customHeight="1" x14ac:dyDescent="0.25"/>
    <row r="36" spans="2:10" x14ac:dyDescent="0.25">
      <c r="B36" s="22"/>
      <c r="C36" s="22"/>
      <c r="D36" s="22"/>
      <c r="E36" s="22"/>
      <c r="F36" s="22"/>
      <c r="G36" s="22"/>
      <c r="H36" s="22"/>
      <c r="I36" s="22"/>
      <c r="J36" s="22"/>
    </row>
    <row r="37" spans="2:10" x14ac:dyDescent="0.25">
      <c r="B37" s="22"/>
      <c r="C37" s="22"/>
      <c r="D37" s="22"/>
      <c r="E37" s="22"/>
      <c r="F37" s="22"/>
      <c r="G37" s="22"/>
      <c r="H37" s="22"/>
      <c r="I37" s="22"/>
      <c r="J37" s="22"/>
    </row>
    <row r="38" spans="2:10" x14ac:dyDescent="0.25">
      <c r="B38" s="22"/>
      <c r="C38" s="22"/>
      <c r="D38" s="22"/>
      <c r="E38" s="22"/>
      <c r="F38" s="22"/>
      <c r="G38" s="22"/>
      <c r="H38" s="22"/>
      <c r="I38" s="22"/>
      <c r="J38" s="22"/>
    </row>
    <row r="39" spans="2:10" x14ac:dyDescent="0.25">
      <c r="B39" s="22"/>
      <c r="C39" s="22"/>
      <c r="D39" s="22"/>
      <c r="E39" s="22"/>
      <c r="F39" s="22"/>
      <c r="G39" s="22"/>
      <c r="H39" s="22"/>
      <c r="I39" s="22"/>
      <c r="J39" s="22"/>
    </row>
    <row r="40" spans="2:10" x14ac:dyDescent="0.25">
      <c r="B40" s="22"/>
      <c r="C40" s="22"/>
      <c r="D40" s="22"/>
      <c r="E40" s="22"/>
      <c r="F40" s="22"/>
      <c r="G40" s="22"/>
      <c r="H40" s="22"/>
      <c r="I40" s="22"/>
      <c r="J40" s="22"/>
    </row>
    <row r="41" spans="2:10" x14ac:dyDescent="0.25">
      <c r="B41" s="22"/>
      <c r="C41" s="22"/>
      <c r="D41" s="22"/>
      <c r="E41" s="22"/>
      <c r="F41" s="22"/>
      <c r="G41" s="22"/>
      <c r="H41" s="22"/>
      <c r="I41" s="22"/>
      <c r="J41" s="22"/>
    </row>
    <row r="42" spans="2:10" x14ac:dyDescent="0.25">
      <c r="B42" s="22"/>
      <c r="C42" s="22"/>
      <c r="D42" s="22"/>
      <c r="E42" s="22"/>
      <c r="F42" s="22"/>
      <c r="G42" s="22"/>
      <c r="H42" s="22"/>
      <c r="I42" s="22"/>
      <c r="J42" s="22"/>
    </row>
    <row r="43" spans="2:10" x14ac:dyDescent="0.25">
      <c r="B43" s="22"/>
      <c r="C43" s="22"/>
      <c r="D43" s="22"/>
      <c r="E43" s="22"/>
      <c r="F43" s="22"/>
      <c r="G43" s="22"/>
      <c r="H43" s="22"/>
      <c r="I43" s="22"/>
      <c r="J43" s="22"/>
    </row>
    <row r="44" spans="2:10" x14ac:dyDescent="0.25">
      <c r="B44" s="22"/>
      <c r="C44" s="22"/>
      <c r="D44" s="22"/>
      <c r="E44" s="22"/>
      <c r="F44" s="22"/>
      <c r="G44" s="22"/>
      <c r="H44" s="22"/>
      <c r="I44" s="22"/>
      <c r="J44" s="22"/>
    </row>
    <row r="45" spans="2:10" x14ac:dyDescent="0.25">
      <c r="B45" s="22"/>
      <c r="C45" s="22"/>
      <c r="D45" s="22"/>
      <c r="E45" s="22"/>
      <c r="F45" s="22"/>
      <c r="G45" s="22"/>
      <c r="H45" s="22"/>
      <c r="I45" s="22"/>
      <c r="J45" s="22"/>
    </row>
    <row r="46" spans="2:10" x14ac:dyDescent="0.25">
      <c r="B46" s="22"/>
      <c r="C46" s="22"/>
      <c r="D46" s="22"/>
      <c r="E46" s="22"/>
      <c r="F46" s="22"/>
      <c r="G46" s="22"/>
      <c r="H46" s="22"/>
      <c r="I46" s="22"/>
      <c r="J46" s="22"/>
    </row>
    <row r="47" spans="2:10" x14ac:dyDescent="0.25">
      <c r="B47" s="22"/>
      <c r="C47" s="22"/>
      <c r="D47" s="22"/>
      <c r="E47" s="22"/>
      <c r="F47" s="22"/>
      <c r="G47" s="22"/>
      <c r="H47" s="22"/>
      <c r="I47" s="22"/>
      <c r="J47" s="22"/>
    </row>
    <row r="48" spans="2:10" x14ac:dyDescent="0.25">
      <c r="B48" s="22"/>
      <c r="C48" s="22"/>
      <c r="D48" s="22"/>
      <c r="E48" s="22"/>
      <c r="F48" s="22"/>
      <c r="G48" s="22"/>
      <c r="H48" s="22"/>
      <c r="I48" s="22"/>
      <c r="J48" s="22"/>
    </row>
    <row r="49" spans="2:10" x14ac:dyDescent="0.25">
      <c r="B49" s="22"/>
      <c r="C49" s="22"/>
      <c r="D49" s="22"/>
      <c r="E49" s="22"/>
      <c r="F49" s="22"/>
      <c r="G49" s="22"/>
      <c r="H49" s="22"/>
      <c r="I49" s="22"/>
      <c r="J49" s="22"/>
    </row>
    <row r="50" spans="2:10" x14ac:dyDescent="0.25">
      <c r="B50" s="22"/>
      <c r="C50" s="22"/>
      <c r="D50" s="22"/>
      <c r="E50" s="22"/>
      <c r="F50" s="22"/>
      <c r="G50" s="22"/>
      <c r="H50" s="22"/>
      <c r="I50" s="22"/>
      <c r="J50" s="22"/>
    </row>
    <row r="51" spans="2:10" x14ac:dyDescent="0.25">
      <c r="B51" s="22"/>
      <c r="C51" s="22"/>
      <c r="D51" s="22"/>
      <c r="E51" s="22"/>
      <c r="F51" s="22"/>
      <c r="G51" s="22"/>
      <c r="H51" s="22"/>
      <c r="I51" s="22"/>
      <c r="J51" s="22"/>
    </row>
    <row r="52" spans="2:10" x14ac:dyDescent="0.25">
      <c r="B52" s="22"/>
      <c r="C52" s="22"/>
      <c r="D52" s="22"/>
      <c r="E52" s="22"/>
      <c r="F52" s="22"/>
      <c r="G52" s="22"/>
      <c r="H52" s="22"/>
      <c r="I52" s="22"/>
      <c r="J52" s="22"/>
    </row>
    <row r="53" spans="2:10" x14ac:dyDescent="0.25">
      <c r="B53" s="22"/>
      <c r="C53" s="22"/>
      <c r="D53" s="22"/>
      <c r="E53" s="22"/>
      <c r="F53" s="22"/>
      <c r="G53" s="22"/>
      <c r="H53" s="22"/>
      <c r="I53" s="22"/>
      <c r="J53" s="22"/>
    </row>
    <row r="54" spans="2:10" x14ac:dyDescent="0.25">
      <c r="B54" s="22"/>
      <c r="C54" s="22"/>
      <c r="D54" s="22"/>
      <c r="E54" s="22"/>
      <c r="F54" s="22"/>
      <c r="G54" s="22"/>
      <c r="H54" s="22"/>
      <c r="I54" s="22"/>
      <c r="J54" s="22"/>
    </row>
  </sheetData>
  <mergeCells count="2">
    <mergeCell ref="A1:Q1"/>
    <mergeCell ref="A23:I28"/>
  </mergeCells>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23"/>
  <sheetViews>
    <sheetView workbookViewId="0">
      <selection activeCell="D23" sqref="D23"/>
    </sheetView>
  </sheetViews>
  <sheetFormatPr defaultColWidth="8.85546875" defaultRowHeight="15" x14ac:dyDescent="0.25"/>
  <cols>
    <col min="1" max="1" width="11.85546875" customWidth="1"/>
    <col min="2" max="2" width="10.7109375" bestFit="1" customWidth="1"/>
    <col min="3" max="3" width="11.85546875" bestFit="1" customWidth="1"/>
    <col min="4" max="6" width="13.140625" bestFit="1" customWidth="1"/>
    <col min="7" max="7" width="7.140625" bestFit="1" customWidth="1"/>
  </cols>
  <sheetData>
    <row r="1" spans="1:15" ht="17.25" customHeight="1" x14ac:dyDescent="0.25">
      <c r="A1" s="140" t="s">
        <v>248</v>
      </c>
      <c r="B1" s="140"/>
      <c r="C1" s="140"/>
      <c r="D1" s="140"/>
      <c r="E1" s="140"/>
      <c r="F1" s="140"/>
      <c r="G1" s="140"/>
      <c r="H1" s="140"/>
      <c r="I1" s="140"/>
      <c r="J1" s="140"/>
      <c r="K1" s="140"/>
      <c r="L1" s="140"/>
      <c r="M1" s="140"/>
      <c r="N1" s="140"/>
      <c r="O1" s="140"/>
    </row>
    <row r="3" spans="1:15" ht="15.75" x14ac:dyDescent="0.25">
      <c r="A3" s="8" t="s">
        <v>50</v>
      </c>
      <c r="B3" s="9" t="s">
        <v>52</v>
      </c>
      <c r="C3" s="10" t="s">
        <v>53</v>
      </c>
      <c r="D3" s="9" t="s">
        <v>54</v>
      </c>
      <c r="E3" s="9" t="s">
        <v>57</v>
      </c>
      <c r="F3" s="9" t="s">
        <v>58</v>
      </c>
      <c r="G3" s="9" t="s">
        <v>55</v>
      </c>
    </row>
    <row r="4" spans="1:15" ht="15.75" x14ac:dyDescent="0.25">
      <c r="A4" s="9">
        <v>2015</v>
      </c>
      <c r="B4" s="98">
        <v>1686</v>
      </c>
      <c r="C4" s="98">
        <v>3587</v>
      </c>
      <c r="D4" s="98">
        <v>3046</v>
      </c>
      <c r="E4" s="98">
        <v>1365</v>
      </c>
      <c r="F4" s="98">
        <v>1519</v>
      </c>
      <c r="G4" s="98">
        <v>2876</v>
      </c>
    </row>
    <row r="5" spans="1:15" ht="15.75" x14ac:dyDescent="0.25">
      <c r="A5" s="9">
        <v>2016</v>
      </c>
      <c r="B5" s="98">
        <v>1505</v>
      </c>
      <c r="C5" s="98">
        <v>3243</v>
      </c>
      <c r="D5" s="98">
        <v>2683</v>
      </c>
      <c r="E5" s="98">
        <v>1172</v>
      </c>
      <c r="F5" s="98">
        <v>1312</v>
      </c>
      <c r="G5" s="98">
        <v>2568</v>
      </c>
    </row>
    <row r="7" spans="1:15" ht="15" customHeight="1" x14ac:dyDescent="0.25">
      <c r="A7" s="137" t="s">
        <v>268</v>
      </c>
      <c r="B7" s="137"/>
      <c r="C7" s="137"/>
      <c r="D7" s="137"/>
      <c r="E7" s="137"/>
      <c r="F7" s="137"/>
      <c r="G7" s="137"/>
    </row>
    <row r="8" spans="1:15" x14ac:dyDescent="0.25">
      <c r="A8" s="137"/>
      <c r="B8" s="137"/>
      <c r="C8" s="137"/>
      <c r="D8" s="137"/>
      <c r="E8" s="137"/>
      <c r="F8" s="137"/>
      <c r="G8" s="137"/>
    </row>
    <row r="9" spans="1:15" x14ac:dyDescent="0.25">
      <c r="A9" s="137"/>
      <c r="B9" s="137"/>
      <c r="C9" s="137"/>
      <c r="D9" s="137"/>
      <c r="E9" s="137"/>
      <c r="F9" s="137"/>
      <c r="G9" s="137"/>
    </row>
    <row r="10" spans="1:15" x14ac:dyDescent="0.25">
      <c r="A10" s="137"/>
      <c r="B10" s="137"/>
      <c r="C10" s="137"/>
      <c r="D10" s="137"/>
      <c r="E10" s="137"/>
      <c r="F10" s="137"/>
      <c r="G10" s="137"/>
    </row>
    <row r="11" spans="1:15" x14ac:dyDescent="0.25">
      <c r="A11" s="137"/>
      <c r="B11" s="137"/>
      <c r="C11" s="137"/>
      <c r="D11" s="137"/>
      <c r="E11" s="137"/>
      <c r="F11" s="137"/>
      <c r="G11" s="137"/>
    </row>
    <row r="12" spans="1:15" x14ac:dyDescent="0.25">
      <c r="A12" s="137"/>
      <c r="B12" s="137"/>
      <c r="C12" s="137"/>
      <c r="D12" s="137"/>
      <c r="E12" s="137"/>
      <c r="F12" s="137"/>
      <c r="G12" s="137"/>
    </row>
    <row r="13" spans="1:15" x14ac:dyDescent="0.25">
      <c r="A13" s="137"/>
      <c r="B13" s="137"/>
      <c r="C13" s="137"/>
      <c r="D13" s="137"/>
      <c r="E13" s="137"/>
      <c r="F13" s="137"/>
      <c r="G13" s="137"/>
    </row>
    <row r="14" spans="1:15" ht="15.75" x14ac:dyDescent="0.25">
      <c r="A14" s="137"/>
      <c r="B14" s="137"/>
      <c r="C14" s="137"/>
      <c r="D14" s="137"/>
      <c r="E14" s="137"/>
      <c r="F14" s="137"/>
      <c r="G14" s="137"/>
      <c r="H14" s="17"/>
    </row>
    <row r="15" spans="1:15" x14ac:dyDescent="0.25">
      <c r="A15" s="137"/>
      <c r="B15" s="137"/>
      <c r="C15" s="137"/>
      <c r="D15" s="137"/>
      <c r="E15" s="137"/>
      <c r="F15" s="137"/>
      <c r="G15" s="137"/>
    </row>
    <row r="16" spans="1:15" x14ac:dyDescent="0.25">
      <c r="A16" s="137"/>
      <c r="B16" s="137"/>
      <c r="C16" s="137"/>
      <c r="D16" s="137"/>
      <c r="E16" s="137"/>
      <c r="F16" s="137"/>
      <c r="G16" s="137"/>
    </row>
    <row r="17" spans="1:7" x14ac:dyDescent="0.25">
      <c r="A17" s="137"/>
      <c r="B17" s="137"/>
      <c r="C17" s="137"/>
      <c r="D17" s="137"/>
      <c r="E17" s="137"/>
      <c r="F17" s="137"/>
      <c r="G17" s="137"/>
    </row>
    <row r="18" spans="1:7" x14ac:dyDescent="0.25">
      <c r="A18" s="137"/>
      <c r="B18" s="137"/>
      <c r="C18" s="137"/>
      <c r="D18" s="137"/>
      <c r="E18" s="137"/>
      <c r="F18" s="137"/>
      <c r="G18" s="137"/>
    </row>
    <row r="19" spans="1:7" x14ac:dyDescent="0.25">
      <c r="A19" s="137"/>
      <c r="B19" s="137"/>
      <c r="C19" s="137"/>
      <c r="D19" s="137"/>
      <c r="E19" s="137"/>
      <c r="F19" s="137"/>
      <c r="G19" s="137"/>
    </row>
    <row r="20" spans="1:7" x14ac:dyDescent="0.25">
      <c r="A20" s="137"/>
      <c r="B20" s="137"/>
      <c r="C20" s="137"/>
      <c r="D20" s="137"/>
      <c r="E20" s="137"/>
      <c r="F20" s="137"/>
      <c r="G20" s="137"/>
    </row>
    <row r="23" spans="1:7" x14ac:dyDescent="0.25">
      <c r="D23" s="135" t="s">
        <v>287</v>
      </c>
    </row>
  </sheetData>
  <mergeCells count="2">
    <mergeCell ref="A7:G20"/>
    <mergeCell ref="A1:O1"/>
  </mergeCells>
  <pageMargins left="0.511811024" right="0.511811024" top="0.78740157499999996" bottom="0.78740157499999996" header="0.31496062000000002" footer="0.31496062000000002"/>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Q32"/>
  <sheetViews>
    <sheetView workbookViewId="0">
      <selection activeCell="A28" sqref="A28:B32"/>
    </sheetView>
  </sheetViews>
  <sheetFormatPr defaultColWidth="8.85546875" defaultRowHeight="15" x14ac:dyDescent="0.25"/>
  <cols>
    <col min="1" max="1" width="11.85546875" customWidth="1"/>
    <col min="2" max="2" width="11.42578125" customWidth="1"/>
    <col min="3" max="3" width="17.85546875" customWidth="1"/>
    <col min="4" max="6" width="13" customWidth="1"/>
    <col min="8" max="8" width="6" bestFit="1" customWidth="1"/>
  </cols>
  <sheetData>
    <row r="1" spans="1:17" ht="17.25" customHeight="1" x14ac:dyDescent="0.25">
      <c r="A1" s="138" t="s">
        <v>269</v>
      </c>
      <c r="B1" s="138"/>
      <c r="C1" s="138"/>
      <c r="D1" s="138"/>
      <c r="E1" s="138"/>
      <c r="F1" s="138"/>
      <c r="G1" s="138"/>
      <c r="H1" s="138"/>
      <c r="I1" s="138"/>
      <c r="J1" s="138"/>
      <c r="K1" s="138"/>
      <c r="L1" s="138"/>
      <c r="M1" s="138"/>
      <c r="N1" s="138"/>
      <c r="O1" s="138"/>
      <c r="P1" s="138"/>
      <c r="Q1" s="138"/>
    </row>
    <row r="3" spans="1:17" ht="15.75" x14ac:dyDescent="0.25">
      <c r="A3" s="8" t="s">
        <v>50</v>
      </c>
      <c r="B3" s="103" t="s">
        <v>52</v>
      </c>
      <c r="C3" s="104" t="s">
        <v>53</v>
      </c>
      <c r="D3" s="103" t="s">
        <v>54</v>
      </c>
      <c r="E3" s="103" t="s">
        <v>57</v>
      </c>
      <c r="F3" s="103" t="s">
        <v>58</v>
      </c>
      <c r="G3" s="103" t="s">
        <v>55</v>
      </c>
      <c r="H3" s="16" t="s">
        <v>56</v>
      </c>
    </row>
    <row r="4" spans="1:17" ht="15.75" x14ac:dyDescent="0.25">
      <c r="A4" s="9">
        <v>2014</v>
      </c>
      <c r="B4" s="11">
        <f>2399/$H4</f>
        <v>0.30436437452423243</v>
      </c>
      <c r="C4" s="11">
        <f>5571/$H4</f>
        <v>0.70680030449124587</v>
      </c>
      <c r="D4" s="11">
        <f>3801/$H4</f>
        <v>0.48223801065719363</v>
      </c>
      <c r="E4" s="95">
        <f>1540/$H4</f>
        <v>0.19538188277087035</v>
      </c>
      <c r="F4" s="95">
        <f>1690/$H4</f>
        <v>0.2144125856381629</v>
      </c>
      <c r="G4" s="11">
        <f>2919/$H4</f>
        <v>0.3703374777975133</v>
      </c>
      <c r="H4">
        <v>7882</v>
      </c>
    </row>
    <row r="5" spans="1:17" ht="15.75" x14ac:dyDescent="0.25">
      <c r="A5" s="9">
        <v>2015</v>
      </c>
      <c r="B5" s="11">
        <f>2051/$H5</f>
        <v>0.25364828097947067</v>
      </c>
      <c r="C5" s="11">
        <f>5775/$H5</f>
        <v>0.71419737818451645</v>
      </c>
      <c r="D5" s="11">
        <f>3943/($H5-1)</f>
        <v>0.48769325912183054</v>
      </c>
      <c r="E5" s="11">
        <f>1680/$H5</f>
        <v>0.20776651001731389</v>
      </c>
      <c r="F5" s="11">
        <f>1877/$H5</f>
        <v>0.23212960672767746</v>
      </c>
      <c r="G5" s="11">
        <f>3090/$H5</f>
        <v>0.38214197378184517</v>
      </c>
      <c r="H5">
        <v>8086</v>
      </c>
    </row>
    <row r="6" spans="1:17" ht="15.75" x14ac:dyDescent="0.25">
      <c r="A6" s="9">
        <v>2016</v>
      </c>
      <c r="B6" s="11">
        <f>2375/$H6</f>
        <v>0.28096533774991128</v>
      </c>
      <c r="C6" s="11">
        <f>6087/$H6</f>
        <v>0.72009937300366733</v>
      </c>
      <c r="D6" s="11">
        <f>4107/$H6</f>
        <v>0.48586300721637288</v>
      </c>
      <c r="E6" s="11">
        <f>1932/$H6</f>
        <v>0.2285579084348752</v>
      </c>
      <c r="F6" s="11">
        <f>2016/$H6</f>
        <v>0.2384952088016089</v>
      </c>
      <c r="G6" s="11">
        <f>3231/$H6</f>
        <v>0.38223116053472139</v>
      </c>
      <c r="H6">
        <v>8453</v>
      </c>
    </row>
    <row r="8" spans="1:17" ht="15" customHeight="1" x14ac:dyDescent="0.25">
      <c r="A8" s="137" t="s">
        <v>270</v>
      </c>
      <c r="B8" s="137"/>
      <c r="C8" s="137"/>
      <c r="D8" s="137"/>
      <c r="E8" s="137"/>
      <c r="F8" s="137"/>
      <c r="G8" s="137"/>
    </row>
    <row r="9" spans="1:17" x14ac:dyDescent="0.25">
      <c r="A9" s="137"/>
      <c r="B9" s="137"/>
      <c r="C9" s="137"/>
      <c r="D9" s="137"/>
      <c r="E9" s="137"/>
      <c r="F9" s="137"/>
      <c r="G9" s="137"/>
    </row>
    <row r="10" spans="1:17" x14ac:dyDescent="0.25">
      <c r="A10" s="137"/>
      <c r="B10" s="137"/>
      <c r="C10" s="137"/>
      <c r="D10" s="137"/>
      <c r="E10" s="137"/>
      <c r="F10" s="137"/>
      <c r="G10" s="137"/>
    </row>
    <row r="11" spans="1:17" x14ac:dyDescent="0.25">
      <c r="A11" s="137"/>
      <c r="B11" s="137"/>
      <c r="C11" s="137"/>
      <c r="D11" s="137"/>
      <c r="E11" s="137"/>
      <c r="F11" s="137"/>
      <c r="G11" s="137"/>
    </row>
    <row r="12" spans="1:17" x14ac:dyDescent="0.25">
      <c r="A12" s="137"/>
      <c r="B12" s="137"/>
      <c r="C12" s="137"/>
      <c r="D12" s="137"/>
      <c r="E12" s="137"/>
      <c r="F12" s="137"/>
      <c r="G12" s="137"/>
    </row>
    <row r="13" spans="1:17" x14ac:dyDescent="0.25">
      <c r="A13" s="137"/>
      <c r="B13" s="137"/>
      <c r="C13" s="137"/>
      <c r="D13" s="137"/>
      <c r="E13" s="137"/>
      <c r="F13" s="137"/>
      <c r="G13" s="137"/>
    </row>
    <row r="14" spans="1:17" x14ac:dyDescent="0.25">
      <c r="A14" s="137"/>
      <c r="B14" s="137"/>
      <c r="C14" s="137"/>
      <c r="D14" s="137"/>
      <c r="E14" s="137"/>
      <c r="F14" s="137"/>
      <c r="G14" s="137"/>
    </row>
    <row r="15" spans="1:17" ht="15.75" x14ac:dyDescent="0.25">
      <c r="A15" s="137"/>
      <c r="B15" s="137"/>
      <c r="C15" s="137"/>
      <c r="D15" s="137"/>
      <c r="E15" s="137"/>
      <c r="F15" s="137"/>
      <c r="G15" s="137"/>
      <c r="I15" s="17"/>
    </row>
    <row r="16" spans="1:17" x14ac:dyDescent="0.25">
      <c r="A16" s="137"/>
      <c r="B16" s="137"/>
      <c r="C16" s="137"/>
      <c r="D16" s="137"/>
      <c r="E16" s="137"/>
      <c r="F16" s="137"/>
      <c r="G16" s="137"/>
    </row>
    <row r="17" spans="1:7" x14ac:dyDescent="0.25">
      <c r="A17" s="137"/>
      <c r="B17" s="137"/>
      <c r="C17" s="137"/>
      <c r="D17" s="137"/>
      <c r="E17" s="137"/>
      <c r="F17" s="137"/>
      <c r="G17" s="137"/>
    </row>
    <row r="18" spans="1:7" x14ac:dyDescent="0.25">
      <c r="A18" s="137"/>
      <c r="B18" s="137"/>
      <c r="C18" s="137"/>
      <c r="D18" s="137"/>
      <c r="E18" s="137"/>
      <c r="F18" s="137"/>
      <c r="G18" s="137"/>
    </row>
    <row r="19" spans="1:7" x14ac:dyDescent="0.25">
      <c r="A19" s="137"/>
      <c r="B19" s="137"/>
      <c r="C19" s="137"/>
      <c r="D19" s="137"/>
      <c r="E19" s="137"/>
      <c r="F19" s="137"/>
      <c r="G19" s="137"/>
    </row>
    <row r="20" spans="1:7" x14ac:dyDescent="0.25">
      <c r="A20" s="137"/>
      <c r="B20" s="137"/>
      <c r="C20" s="137"/>
      <c r="D20" s="137"/>
      <c r="E20" s="137"/>
      <c r="F20" s="137"/>
      <c r="G20" s="137"/>
    </row>
    <row r="21" spans="1:7" x14ac:dyDescent="0.25">
      <c r="A21" s="137"/>
      <c r="B21" s="137"/>
      <c r="C21" s="137"/>
      <c r="D21" s="137"/>
      <c r="E21" s="137"/>
      <c r="F21" s="137"/>
      <c r="G21" s="137"/>
    </row>
    <row r="26" spans="1:7" x14ac:dyDescent="0.25">
      <c r="C26" s="135" t="s">
        <v>299</v>
      </c>
    </row>
    <row r="29" spans="1:7" x14ac:dyDescent="0.25">
      <c r="B29" s="157"/>
    </row>
    <row r="30" spans="1:7" x14ac:dyDescent="0.25">
      <c r="B30" s="157"/>
    </row>
    <row r="31" spans="1:7" x14ac:dyDescent="0.25">
      <c r="B31" s="157"/>
    </row>
    <row r="32" spans="1:7" x14ac:dyDescent="0.25">
      <c r="B32" s="157"/>
    </row>
  </sheetData>
  <mergeCells count="2">
    <mergeCell ref="A8:G21"/>
    <mergeCell ref="A1:Q1"/>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V27"/>
  <sheetViews>
    <sheetView workbookViewId="0">
      <selection activeCell="J15" sqref="J15"/>
    </sheetView>
  </sheetViews>
  <sheetFormatPr defaultRowHeight="15" x14ac:dyDescent="0.25"/>
  <cols>
    <col min="1" max="1" width="27.28515625" style="4" customWidth="1"/>
    <col min="2" max="2" width="9.140625" style="6" customWidth="1"/>
    <col min="3" max="3" width="9.140625" style="7" customWidth="1"/>
    <col min="4" max="18" width="9.140625" style="4" customWidth="1"/>
    <col min="19" max="16384" width="9.140625" style="4"/>
  </cols>
  <sheetData>
    <row r="1" spans="1:22" x14ac:dyDescent="0.25">
      <c r="A1" s="136" t="s">
        <v>288</v>
      </c>
      <c r="B1" s="136"/>
      <c r="C1" s="136"/>
      <c r="D1" s="136"/>
      <c r="E1" s="136"/>
      <c r="F1" s="136"/>
      <c r="G1" s="136"/>
      <c r="H1" s="136"/>
      <c r="I1" s="136"/>
      <c r="J1" s="136"/>
      <c r="K1" s="136"/>
      <c r="L1" s="136"/>
      <c r="M1" s="136"/>
      <c r="N1" s="136"/>
      <c r="O1" s="136"/>
      <c r="P1" s="136"/>
      <c r="Q1" s="136"/>
      <c r="R1" s="136"/>
      <c r="S1" s="136"/>
      <c r="T1" s="136"/>
      <c r="U1" s="136"/>
      <c r="V1" s="136"/>
    </row>
    <row r="2" spans="1:22" x14ac:dyDescent="0.25">
      <c r="A2" s="117"/>
      <c r="B2" s="117"/>
      <c r="C2" s="117"/>
      <c r="D2" s="117"/>
      <c r="E2" s="117"/>
      <c r="F2" s="117"/>
      <c r="G2" s="117"/>
      <c r="H2" s="117"/>
      <c r="I2" s="117"/>
      <c r="J2" s="117"/>
      <c r="K2" s="117"/>
      <c r="L2" s="117"/>
      <c r="M2" s="117"/>
      <c r="N2" s="117"/>
      <c r="O2" s="117"/>
      <c r="P2" s="117"/>
      <c r="Q2" s="117"/>
      <c r="R2" s="117"/>
      <c r="S2" s="117"/>
      <c r="T2" s="117"/>
      <c r="U2" s="117"/>
      <c r="V2" s="117"/>
    </row>
    <row r="3" spans="1:22" ht="30" x14ac:dyDescent="0.25">
      <c r="A3" s="3" t="s">
        <v>73</v>
      </c>
      <c r="B3" s="6">
        <v>61</v>
      </c>
      <c r="C3" s="7">
        <f t="shared" ref="C3:C11" si="0">B3/B$12</f>
        <v>7.2240644244433916E-3</v>
      </c>
    </row>
    <row r="4" spans="1:22" x14ac:dyDescent="0.25">
      <c r="A4" s="3" t="s">
        <v>69</v>
      </c>
      <c r="B4" s="6">
        <v>1671</v>
      </c>
      <c r="C4" s="7">
        <f t="shared" si="0"/>
        <v>0.19789199431549029</v>
      </c>
    </row>
    <row r="5" spans="1:22" ht="30" x14ac:dyDescent="0.25">
      <c r="A5" s="3" t="s">
        <v>71</v>
      </c>
      <c r="B5" s="6">
        <v>5856</v>
      </c>
      <c r="C5" s="7">
        <f t="shared" si="0"/>
        <v>0.69351018474656556</v>
      </c>
    </row>
    <row r="6" spans="1:22" ht="30" x14ac:dyDescent="0.25">
      <c r="A6" s="3" t="s">
        <v>72</v>
      </c>
      <c r="B6" s="6">
        <v>6132</v>
      </c>
      <c r="C6" s="7">
        <f t="shared" si="0"/>
        <v>0.72619611558503083</v>
      </c>
    </row>
    <row r="7" spans="1:22" ht="45" x14ac:dyDescent="0.25">
      <c r="A7" s="3" t="s">
        <v>66</v>
      </c>
      <c r="B7" s="6">
        <v>6382</v>
      </c>
      <c r="C7" s="7">
        <f t="shared" si="0"/>
        <v>0.75580293699668399</v>
      </c>
    </row>
    <row r="8" spans="1:22" ht="30" x14ac:dyDescent="0.25">
      <c r="A8" s="3" t="s">
        <v>67</v>
      </c>
      <c r="B8" s="6">
        <v>7006</v>
      </c>
      <c r="C8" s="7">
        <f t="shared" si="0"/>
        <v>0.82970156324017053</v>
      </c>
    </row>
    <row r="9" spans="1:22" x14ac:dyDescent="0.25">
      <c r="A9" s="3" t="s">
        <v>41</v>
      </c>
      <c r="B9" s="6">
        <v>7378</v>
      </c>
      <c r="C9" s="7">
        <f t="shared" si="0"/>
        <v>0.8737565135007106</v>
      </c>
    </row>
    <row r="10" spans="1:22" x14ac:dyDescent="0.25">
      <c r="A10" s="3" t="s">
        <v>70</v>
      </c>
      <c r="B10" s="6">
        <v>7577</v>
      </c>
      <c r="C10" s="7">
        <f t="shared" si="0"/>
        <v>0.89732354334438658</v>
      </c>
    </row>
    <row r="11" spans="1:22" x14ac:dyDescent="0.25">
      <c r="A11" s="3" t="s">
        <v>68</v>
      </c>
      <c r="B11" s="6">
        <v>7707</v>
      </c>
      <c r="C11" s="7">
        <f t="shared" si="0"/>
        <v>0.91271909047844624</v>
      </c>
    </row>
    <row r="12" spans="1:22" ht="30" x14ac:dyDescent="0.25">
      <c r="A12" s="29" t="s">
        <v>74</v>
      </c>
      <c r="B12" s="6">
        <v>8444</v>
      </c>
    </row>
    <row r="13" spans="1:22" x14ac:dyDescent="0.25">
      <c r="A13" s="3"/>
    </row>
    <row r="14" spans="1:22" x14ac:dyDescent="0.25">
      <c r="A14" s="137" t="s">
        <v>289</v>
      </c>
      <c r="B14" s="137"/>
      <c r="C14" s="137"/>
      <c r="D14" s="137"/>
      <c r="E14" s="137"/>
      <c r="F14" s="137"/>
      <c r="G14" s="137"/>
    </row>
    <row r="15" spans="1:22" x14ac:dyDescent="0.25">
      <c r="A15" s="137"/>
      <c r="B15" s="137"/>
      <c r="C15" s="137"/>
      <c r="D15" s="137"/>
      <c r="E15" s="137"/>
      <c r="F15" s="137"/>
      <c r="G15" s="137"/>
      <c r="J15" s="133" t="s">
        <v>300</v>
      </c>
    </row>
    <row r="16" spans="1:22" x14ac:dyDescent="0.25">
      <c r="A16" s="137"/>
      <c r="B16" s="137"/>
      <c r="C16" s="137"/>
      <c r="D16" s="137"/>
      <c r="E16" s="137"/>
      <c r="F16" s="137"/>
      <c r="G16" s="137"/>
    </row>
    <row r="17" spans="1:7" x14ac:dyDescent="0.25">
      <c r="A17" s="137"/>
      <c r="B17" s="137"/>
      <c r="C17" s="137"/>
      <c r="D17" s="137"/>
      <c r="E17" s="137"/>
      <c r="F17" s="137"/>
      <c r="G17" s="137"/>
    </row>
    <row r="18" spans="1:7" x14ac:dyDescent="0.25">
      <c r="A18" s="137"/>
      <c r="B18" s="137"/>
      <c r="C18" s="137"/>
      <c r="D18" s="137"/>
      <c r="E18" s="137"/>
      <c r="F18" s="137"/>
      <c r="G18" s="137"/>
    </row>
    <row r="19" spans="1:7" x14ac:dyDescent="0.25">
      <c r="A19" s="137"/>
      <c r="B19" s="137"/>
      <c r="C19" s="137"/>
      <c r="D19" s="137"/>
      <c r="E19" s="137"/>
      <c r="F19" s="137"/>
      <c r="G19" s="137"/>
    </row>
    <row r="20" spans="1:7" x14ac:dyDescent="0.25">
      <c r="A20" s="137"/>
      <c r="B20" s="137"/>
      <c r="C20" s="137"/>
      <c r="D20" s="137"/>
      <c r="E20" s="137"/>
      <c r="F20" s="137"/>
      <c r="G20" s="137"/>
    </row>
    <row r="21" spans="1:7" x14ac:dyDescent="0.25">
      <c r="A21" s="137"/>
      <c r="B21" s="137"/>
      <c r="C21" s="137"/>
      <c r="D21" s="137"/>
      <c r="E21" s="137"/>
      <c r="F21" s="137"/>
      <c r="G21" s="137"/>
    </row>
    <row r="22" spans="1:7" x14ac:dyDescent="0.25">
      <c r="A22" s="137"/>
      <c r="B22" s="137"/>
      <c r="C22" s="137"/>
      <c r="D22" s="137"/>
      <c r="E22" s="137"/>
      <c r="F22" s="137"/>
      <c r="G22" s="137"/>
    </row>
    <row r="23" spans="1:7" x14ac:dyDescent="0.25">
      <c r="A23" s="137"/>
      <c r="B23" s="137"/>
      <c r="C23" s="137"/>
      <c r="D23" s="137"/>
      <c r="E23" s="137"/>
      <c r="F23" s="137"/>
      <c r="G23" s="137"/>
    </row>
    <row r="24" spans="1:7" x14ac:dyDescent="0.25">
      <c r="A24" s="137"/>
      <c r="B24" s="137"/>
      <c r="C24" s="137"/>
      <c r="D24" s="137"/>
      <c r="E24" s="137"/>
      <c r="F24" s="137"/>
      <c r="G24" s="137"/>
    </row>
    <row r="25" spans="1:7" x14ac:dyDescent="0.25">
      <c r="A25" s="137"/>
      <c r="B25" s="137"/>
      <c r="C25" s="137"/>
      <c r="D25" s="137"/>
      <c r="E25" s="137"/>
      <c r="F25" s="137"/>
      <c r="G25" s="137"/>
    </row>
    <row r="26" spans="1:7" x14ac:dyDescent="0.25">
      <c r="A26" s="137"/>
      <c r="B26" s="137"/>
      <c r="C26" s="137"/>
      <c r="D26" s="137"/>
      <c r="E26" s="137"/>
      <c r="F26" s="137"/>
      <c r="G26" s="137"/>
    </row>
    <row r="27" spans="1:7" x14ac:dyDescent="0.25">
      <c r="A27" s="137"/>
      <c r="B27" s="137"/>
      <c r="C27" s="137"/>
      <c r="D27" s="137"/>
      <c r="E27" s="137"/>
      <c r="F27" s="137"/>
      <c r="G27" s="137"/>
    </row>
  </sheetData>
  <autoFilter ref="A2:C2">
    <sortState ref="A3:C12">
      <sortCondition ref="C2"/>
    </sortState>
  </autoFilter>
  <mergeCells count="2">
    <mergeCell ref="A1:V1"/>
    <mergeCell ref="A14:G27"/>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V28"/>
  <sheetViews>
    <sheetView workbookViewId="0">
      <selection activeCell="I17" sqref="I17"/>
    </sheetView>
  </sheetViews>
  <sheetFormatPr defaultRowHeight="15" x14ac:dyDescent="0.25"/>
  <cols>
    <col min="1" max="1" width="28.7109375" style="4" bestFit="1" customWidth="1"/>
    <col min="2" max="2" width="9.140625" style="6" customWidth="1"/>
    <col min="3" max="3" width="9.140625" style="7" customWidth="1"/>
    <col min="4" max="18" width="9.140625" style="4" customWidth="1"/>
    <col min="19" max="16384" width="9.140625" style="4"/>
  </cols>
  <sheetData>
    <row r="1" spans="1:22" x14ac:dyDescent="0.25">
      <c r="A1" s="136" t="s">
        <v>290</v>
      </c>
      <c r="B1" s="136"/>
      <c r="C1" s="136"/>
      <c r="D1" s="136"/>
      <c r="E1" s="136"/>
      <c r="F1" s="136"/>
      <c r="G1" s="136"/>
      <c r="H1" s="136"/>
      <c r="I1" s="136"/>
      <c r="J1" s="136"/>
      <c r="K1" s="136"/>
      <c r="L1" s="136"/>
      <c r="M1" s="136"/>
      <c r="N1" s="136"/>
      <c r="O1" s="136"/>
      <c r="P1" s="136"/>
      <c r="Q1" s="136"/>
      <c r="R1" s="136"/>
      <c r="S1" s="136"/>
      <c r="T1" s="136"/>
      <c r="U1" s="136"/>
      <c r="V1" s="136"/>
    </row>
    <row r="3" spans="1:22" x14ac:dyDescent="0.25">
      <c r="A3" s="3" t="s">
        <v>81</v>
      </c>
      <c r="B3" s="6">
        <v>3875</v>
      </c>
      <c r="C3" s="7">
        <f>B3/B$7</f>
        <v>0.70698777595329321</v>
      </c>
    </row>
    <row r="4" spans="1:22" ht="45" x14ac:dyDescent="0.25">
      <c r="A4" s="3" t="s">
        <v>82</v>
      </c>
      <c r="B4" s="6">
        <v>4137</v>
      </c>
      <c r="C4" s="7">
        <f>B4/B$7</f>
        <v>0.75478927203065138</v>
      </c>
    </row>
    <row r="5" spans="1:22" ht="45" x14ac:dyDescent="0.25">
      <c r="A5" s="3" t="s">
        <v>83</v>
      </c>
      <c r="B5" s="6">
        <v>5106</v>
      </c>
      <c r="C5" s="7">
        <f>B5/B$7</f>
        <v>0.93158182813355228</v>
      </c>
    </row>
    <row r="6" spans="1:22" x14ac:dyDescent="0.25">
      <c r="A6" s="3" t="s">
        <v>80</v>
      </c>
      <c r="B6" s="6">
        <v>5318</v>
      </c>
      <c r="C6" s="7">
        <f>B6/B$7</f>
        <v>0.970260901295384</v>
      </c>
    </row>
    <row r="7" spans="1:22" x14ac:dyDescent="0.25">
      <c r="A7" s="4" t="s">
        <v>79</v>
      </c>
      <c r="B7" s="6">
        <v>5481</v>
      </c>
    </row>
    <row r="8" spans="1:22" x14ac:dyDescent="0.25">
      <c r="A8" s="3"/>
    </row>
    <row r="9" spans="1:22" x14ac:dyDescent="0.25">
      <c r="A9" s="3"/>
    </row>
    <row r="10" spans="1:22" x14ac:dyDescent="0.25">
      <c r="A10" s="3"/>
    </row>
    <row r="11" spans="1:22" x14ac:dyDescent="0.25">
      <c r="A11" s="3"/>
    </row>
    <row r="12" spans="1:22" x14ac:dyDescent="0.25">
      <c r="A12" s="3"/>
      <c r="N12" s="118"/>
    </row>
    <row r="13" spans="1:22" x14ac:dyDescent="0.25">
      <c r="A13" s="3"/>
    </row>
    <row r="14" spans="1:22" x14ac:dyDescent="0.25">
      <c r="A14" s="3"/>
    </row>
    <row r="15" spans="1:22" x14ac:dyDescent="0.25">
      <c r="A15" s="137" t="s">
        <v>271</v>
      </c>
      <c r="B15" s="137"/>
      <c r="C15" s="137"/>
      <c r="D15" s="137"/>
      <c r="E15" s="137"/>
      <c r="F15" s="137"/>
      <c r="G15" s="137"/>
    </row>
    <row r="16" spans="1:22" x14ac:dyDescent="0.25">
      <c r="A16" s="137"/>
      <c r="B16" s="137"/>
      <c r="C16" s="137"/>
      <c r="D16" s="137"/>
      <c r="E16" s="137"/>
      <c r="F16" s="137"/>
      <c r="G16" s="137"/>
    </row>
    <row r="17" spans="1:9" x14ac:dyDescent="0.25">
      <c r="A17" s="137"/>
      <c r="B17" s="137"/>
      <c r="C17" s="137"/>
      <c r="D17" s="137"/>
      <c r="E17" s="137"/>
      <c r="F17" s="137"/>
      <c r="G17" s="137"/>
      <c r="I17" s="133" t="s">
        <v>301</v>
      </c>
    </row>
    <row r="18" spans="1:9" x14ac:dyDescent="0.25">
      <c r="A18" s="137"/>
      <c r="B18" s="137"/>
      <c r="C18" s="137"/>
      <c r="D18" s="137"/>
      <c r="E18" s="137"/>
      <c r="F18" s="137"/>
      <c r="G18" s="137"/>
    </row>
    <row r="19" spans="1:9" x14ac:dyDescent="0.25">
      <c r="A19" s="137"/>
      <c r="B19" s="137"/>
      <c r="C19" s="137"/>
      <c r="D19" s="137"/>
      <c r="E19" s="137"/>
      <c r="F19" s="137"/>
      <c r="G19" s="137"/>
    </row>
    <row r="20" spans="1:9" x14ac:dyDescent="0.25">
      <c r="A20" s="137"/>
      <c r="B20" s="137"/>
      <c r="C20" s="137"/>
      <c r="D20" s="137"/>
      <c r="E20" s="137"/>
      <c r="F20" s="137"/>
      <c r="G20" s="137"/>
    </row>
    <row r="21" spans="1:9" x14ac:dyDescent="0.25">
      <c r="A21" s="137"/>
      <c r="B21" s="137"/>
      <c r="C21" s="137"/>
      <c r="D21" s="137"/>
      <c r="E21" s="137"/>
      <c r="F21" s="137"/>
      <c r="G21" s="137"/>
    </row>
    <row r="22" spans="1:9" x14ac:dyDescent="0.25">
      <c r="A22" s="137"/>
      <c r="B22" s="137"/>
      <c r="C22" s="137"/>
      <c r="D22" s="137"/>
      <c r="E22" s="137"/>
      <c r="F22" s="137"/>
      <c r="G22" s="137"/>
    </row>
    <row r="23" spans="1:9" x14ac:dyDescent="0.25">
      <c r="A23" s="137"/>
      <c r="B23" s="137"/>
      <c r="C23" s="137"/>
      <c r="D23" s="137"/>
      <c r="E23" s="137"/>
      <c r="F23" s="137"/>
      <c r="G23" s="137"/>
    </row>
    <row r="24" spans="1:9" x14ac:dyDescent="0.25">
      <c r="A24" s="137"/>
      <c r="B24" s="137"/>
      <c r="C24" s="137"/>
      <c r="D24" s="137"/>
      <c r="E24" s="137"/>
      <c r="F24" s="137"/>
      <c r="G24" s="137"/>
    </row>
    <row r="25" spans="1:9" x14ac:dyDescent="0.25">
      <c r="A25" s="137"/>
      <c r="B25" s="137"/>
      <c r="C25" s="137"/>
      <c r="D25" s="137"/>
      <c r="E25" s="137"/>
      <c r="F25" s="137"/>
      <c r="G25" s="137"/>
    </row>
    <row r="26" spans="1:9" x14ac:dyDescent="0.25">
      <c r="A26" s="137"/>
      <c r="B26" s="137"/>
      <c r="C26" s="137"/>
      <c r="D26" s="137"/>
      <c r="E26" s="137"/>
      <c r="F26" s="137"/>
      <c r="G26" s="137"/>
    </row>
    <row r="27" spans="1:9" x14ac:dyDescent="0.25">
      <c r="A27" s="137"/>
      <c r="B27" s="137"/>
      <c r="C27" s="137"/>
      <c r="D27" s="137"/>
      <c r="E27" s="137"/>
      <c r="F27" s="137"/>
      <c r="G27" s="137"/>
    </row>
    <row r="28" spans="1:9" x14ac:dyDescent="0.25">
      <c r="A28" s="137"/>
      <c r="B28" s="137"/>
      <c r="C28" s="137"/>
      <c r="D28" s="137"/>
      <c r="E28" s="137"/>
      <c r="F28" s="137"/>
      <c r="G28" s="137"/>
    </row>
  </sheetData>
  <autoFilter ref="A2:C2">
    <sortState ref="A3:C7">
      <sortCondition ref="C2"/>
    </sortState>
  </autoFilter>
  <mergeCells count="2">
    <mergeCell ref="A1:V1"/>
    <mergeCell ref="A15:G28"/>
  </mergeCells>
  <pageMargins left="0.511811024" right="0.511811024" top="0.78740157499999996" bottom="0.78740157499999996" header="0.31496062000000002" footer="0.31496062000000002"/>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20"/>
  <sheetViews>
    <sheetView topLeftCell="I1" workbookViewId="0">
      <selection activeCell="B20" sqref="B20"/>
    </sheetView>
  </sheetViews>
  <sheetFormatPr defaultColWidth="8.85546875" defaultRowHeight="15" x14ac:dyDescent="0.25"/>
  <cols>
    <col min="1" max="1" width="41" style="31" customWidth="1"/>
    <col min="2" max="16384" width="8.85546875" style="31"/>
  </cols>
  <sheetData>
    <row r="1" spans="1:19" ht="17.25" x14ac:dyDescent="0.25">
      <c r="A1" s="141" t="s">
        <v>272</v>
      </c>
      <c r="B1" s="141"/>
      <c r="C1" s="141"/>
      <c r="D1" s="141"/>
      <c r="E1" s="141"/>
      <c r="F1" s="141"/>
      <c r="G1" s="141"/>
      <c r="H1" s="141"/>
      <c r="I1" s="141"/>
      <c r="J1" s="141"/>
      <c r="K1" s="141"/>
    </row>
    <row r="3" spans="1:19" x14ac:dyDescent="0.25">
      <c r="A3" s="32" t="s">
        <v>84</v>
      </c>
      <c r="B3" s="32">
        <v>2010</v>
      </c>
      <c r="C3" s="32">
        <v>2011</v>
      </c>
      <c r="D3" s="32">
        <v>2012</v>
      </c>
      <c r="E3" s="32">
        <v>2013</v>
      </c>
      <c r="F3" s="32">
        <v>2014</v>
      </c>
      <c r="G3" s="32">
        <v>2015</v>
      </c>
      <c r="H3" s="32">
        <v>2016</v>
      </c>
    </row>
    <row r="4" spans="1:19" x14ac:dyDescent="0.25">
      <c r="A4" s="32" t="s">
        <v>80</v>
      </c>
      <c r="B4" s="33">
        <v>0.31</v>
      </c>
      <c r="C4" s="33">
        <v>0.34200000000000003</v>
      </c>
      <c r="D4" s="33">
        <v>0.36299999999999999</v>
      </c>
      <c r="E4" s="33">
        <v>0.40400000000000003</v>
      </c>
      <c r="F4" s="33">
        <v>0.44400000000000001</v>
      </c>
      <c r="G4" s="20">
        <f>3733/G$9</f>
        <v>0.45775597792765177</v>
      </c>
      <c r="H4" s="20">
        <f>4669/H$9</f>
        <v>0.56662621359223297</v>
      </c>
    </row>
    <row r="5" spans="1:19" x14ac:dyDescent="0.25">
      <c r="A5" s="32" t="s">
        <v>81</v>
      </c>
      <c r="B5" s="33">
        <v>0.22500000000000001</v>
      </c>
      <c r="C5" s="33">
        <v>0.25900000000000001</v>
      </c>
      <c r="D5" s="33">
        <v>0.28299999999999997</v>
      </c>
      <c r="E5" s="33">
        <v>0.32800000000000001</v>
      </c>
      <c r="F5" s="33">
        <v>0.36799999999999999</v>
      </c>
      <c r="G5" s="20">
        <f>3134/G$9</f>
        <v>0.38430410790925812</v>
      </c>
      <c r="H5" s="20">
        <f>3685/H$9</f>
        <v>0.44720873786407767</v>
      </c>
    </row>
    <row r="6" spans="1:19" x14ac:dyDescent="0.25">
      <c r="A6" s="32" t="s">
        <v>85</v>
      </c>
      <c r="B6" s="33">
        <v>0.45100000000000001</v>
      </c>
      <c r="C6" s="33">
        <v>0.51300000000000001</v>
      </c>
      <c r="D6" s="33">
        <v>0.53700000000000003</v>
      </c>
      <c r="E6" s="33">
        <v>0.55200000000000005</v>
      </c>
      <c r="F6" s="33">
        <v>0.62</v>
      </c>
      <c r="G6" s="20">
        <f>5121/G$9</f>
        <v>0.62795830778663397</v>
      </c>
      <c r="H6" s="20">
        <f>6067/H$9</f>
        <v>0.73628640776699028</v>
      </c>
    </row>
    <row r="7" spans="1:19" x14ac:dyDescent="0.25">
      <c r="A7" s="32" t="s">
        <v>86</v>
      </c>
      <c r="B7" s="33">
        <v>0.27900000000000003</v>
      </c>
      <c r="C7" s="33">
        <v>0.29199999999999998</v>
      </c>
      <c r="D7" s="33">
        <v>0.28499999999999998</v>
      </c>
      <c r="E7" s="33">
        <v>0.28899999999999998</v>
      </c>
      <c r="F7" s="33">
        <v>0.318</v>
      </c>
      <c r="G7" s="20">
        <f>2606/G$9</f>
        <v>0.3195585530349479</v>
      </c>
      <c r="H7" s="20">
        <f>3278/H$9</f>
        <v>0.3978155339805825</v>
      </c>
    </row>
    <row r="8" spans="1:19" ht="15" customHeight="1" x14ac:dyDescent="0.25">
      <c r="A8" s="32" t="s">
        <v>87</v>
      </c>
      <c r="B8" s="33">
        <v>0.191</v>
      </c>
      <c r="C8" s="33">
        <v>0.20599999999999999</v>
      </c>
      <c r="D8" s="33">
        <v>0.22</v>
      </c>
      <c r="E8" s="33">
        <v>0.20799999999999999</v>
      </c>
      <c r="F8" s="33">
        <v>0.23799999999999999</v>
      </c>
      <c r="G8" s="20">
        <f>2095/G$9</f>
        <v>0.25689760882893931</v>
      </c>
      <c r="H8" s="20">
        <f>2509/H$9</f>
        <v>0.30449029126213595</v>
      </c>
      <c r="N8" s="34"/>
      <c r="O8" s="34"/>
      <c r="P8" s="34"/>
      <c r="Q8" s="34"/>
      <c r="R8" s="34"/>
      <c r="S8" s="34"/>
    </row>
    <row r="9" spans="1:19" x14ac:dyDescent="0.25">
      <c r="A9" s="31" t="s">
        <v>56</v>
      </c>
      <c r="G9" s="31">
        <v>8155</v>
      </c>
      <c r="H9" s="31">
        <v>8240</v>
      </c>
      <c r="M9" s="35"/>
      <c r="N9" s="35"/>
      <c r="O9" s="35"/>
      <c r="P9" s="35"/>
      <c r="Q9" s="35"/>
      <c r="R9" s="35"/>
      <c r="S9" s="35"/>
    </row>
    <row r="10" spans="1:19" x14ac:dyDescent="0.25">
      <c r="M10" s="35"/>
      <c r="N10" s="35"/>
      <c r="O10" s="35"/>
      <c r="P10" s="35"/>
      <c r="Q10" s="35"/>
      <c r="R10" s="35"/>
      <c r="S10" s="35"/>
    </row>
    <row r="11" spans="1:19" ht="75" customHeight="1" x14ac:dyDescent="0.25">
      <c r="A11" s="142" t="s">
        <v>273</v>
      </c>
      <c r="B11" s="142"/>
      <c r="C11" s="142"/>
      <c r="D11" s="142"/>
      <c r="E11" s="142"/>
      <c r="F11" s="142"/>
      <c r="G11" s="142"/>
      <c r="H11" s="142"/>
      <c r="I11" s="142"/>
    </row>
    <row r="12" spans="1:19" x14ac:dyDescent="0.25">
      <c r="A12" s="142"/>
      <c r="B12" s="142"/>
      <c r="C12" s="142"/>
      <c r="D12" s="142"/>
      <c r="E12" s="142"/>
      <c r="F12" s="142"/>
      <c r="G12" s="142"/>
      <c r="H12" s="142"/>
      <c r="I12" s="142"/>
    </row>
    <row r="13" spans="1:19" x14ac:dyDescent="0.25">
      <c r="A13" s="142"/>
      <c r="B13" s="142"/>
      <c r="C13" s="142"/>
      <c r="D13" s="142"/>
      <c r="E13" s="142"/>
      <c r="F13" s="142"/>
      <c r="G13" s="142"/>
      <c r="H13" s="142"/>
      <c r="I13" s="142"/>
    </row>
    <row r="20" spans="2:2" x14ac:dyDescent="0.25">
      <c r="B20" s="133" t="s">
        <v>292</v>
      </c>
    </row>
  </sheetData>
  <mergeCells count="2">
    <mergeCell ref="A1:K1"/>
    <mergeCell ref="A11:I13"/>
  </mergeCells>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MK22"/>
  <sheetViews>
    <sheetView topLeftCell="A13" workbookViewId="0">
      <selection activeCell="C22" sqref="C22"/>
    </sheetView>
  </sheetViews>
  <sheetFormatPr defaultColWidth="8.85546875" defaultRowHeight="15.75" x14ac:dyDescent="0.25"/>
  <cols>
    <col min="1" max="1" width="45" style="36" customWidth="1"/>
    <col min="2" max="2" width="10" style="36" bestFit="1" customWidth="1"/>
    <col min="3" max="5" width="8.85546875" style="36"/>
    <col min="6" max="6" width="14" style="36" customWidth="1"/>
    <col min="7" max="1025" width="8.85546875" style="36"/>
    <col min="1026" max="16384" width="8.85546875" style="31"/>
  </cols>
  <sheetData>
    <row r="1" spans="1:17" x14ac:dyDescent="0.25">
      <c r="A1" s="143" t="s">
        <v>291</v>
      </c>
      <c r="B1" s="143"/>
      <c r="C1" s="143"/>
      <c r="D1" s="143"/>
      <c r="E1" s="143"/>
      <c r="F1" s="143"/>
      <c r="G1" s="143"/>
      <c r="H1" s="143"/>
      <c r="I1" s="143"/>
      <c r="J1" s="143"/>
      <c r="K1" s="143"/>
      <c r="L1" s="143"/>
      <c r="M1" s="143"/>
      <c r="N1" s="143"/>
      <c r="O1" s="31"/>
    </row>
    <row r="2" spans="1:17" x14ac:dyDescent="0.25">
      <c r="A2" s="37"/>
      <c r="B2" s="37"/>
      <c r="C2" s="37"/>
      <c r="D2" s="37"/>
      <c r="E2" s="37"/>
      <c r="F2" s="37"/>
      <c r="G2" s="37"/>
      <c r="H2" s="37"/>
      <c r="I2" s="37"/>
      <c r="J2" s="37"/>
      <c r="K2" s="37"/>
      <c r="L2" s="37"/>
      <c r="M2" s="37"/>
      <c r="N2" s="37"/>
      <c r="O2" s="31"/>
    </row>
    <row r="3" spans="1:17" x14ac:dyDescent="0.25">
      <c r="A3" s="38">
        <v>2016</v>
      </c>
      <c r="B3" s="39" t="s">
        <v>61</v>
      </c>
      <c r="C3" s="39" t="s">
        <v>62</v>
      </c>
      <c r="D3" s="39" t="s">
        <v>63</v>
      </c>
      <c r="E3" s="39" t="s">
        <v>64</v>
      </c>
      <c r="F3" s="39" t="s">
        <v>65</v>
      </c>
      <c r="G3" s="37"/>
      <c r="H3" s="37"/>
      <c r="I3" s="37"/>
      <c r="J3" s="37"/>
      <c r="K3" s="37"/>
      <c r="L3" s="37"/>
      <c r="M3" s="37"/>
      <c r="N3" s="37"/>
      <c r="O3" s="31"/>
    </row>
    <row r="4" spans="1:17" x14ac:dyDescent="0.25">
      <c r="A4" s="39" t="s">
        <v>80</v>
      </c>
      <c r="B4" s="40">
        <f>410/B$9</f>
        <v>0.65916398713826363</v>
      </c>
      <c r="C4" s="40">
        <f>1419/C$9</f>
        <v>0.53688989784335983</v>
      </c>
      <c r="D4" s="40">
        <f>1420/D$9</f>
        <v>0.49982400563181978</v>
      </c>
      <c r="E4" s="40">
        <f>978/E$9</f>
        <v>0.64469347396176668</v>
      </c>
      <c r="F4" s="40">
        <f>442/F$9</f>
        <v>0.71636952998379255</v>
      </c>
      <c r="G4" s="37"/>
      <c r="H4" s="37"/>
      <c r="I4" s="37"/>
      <c r="J4" s="37"/>
      <c r="K4" s="37"/>
      <c r="L4" s="37"/>
      <c r="M4" s="37"/>
      <c r="N4" s="37"/>
      <c r="O4" s="31"/>
    </row>
    <row r="5" spans="1:17" x14ac:dyDescent="0.25">
      <c r="A5" s="39" t="s">
        <v>81</v>
      </c>
      <c r="B5" s="40">
        <f>285/B$9</f>
        <v>0.45819935691318325</v>
      </c>
      <c r="C5" s="40">
        <f>1538/C$9</f>
        <v>0.58191449110858873</v>
      </c>
      <c r="D5" s="40">
        <f>858/D$9</f>
        <v>0.3020063357972545</v>
      </c>
      <c r="E5" s="40">
        <f>619/E$9</f>
        <v>0.40804218852999341</v>
      </c>
      <c r="F5" s="40">
        <f>385/F$9</f>
        <v>0.62398703403565636</v>
      </c>
      <c r="G5" s="37"/>
      <c r="H5" s="37"/>
      <c r="I5" s="37"/>
      <c r="J5" s="37"/>
      <c r="K5" s="37"/>
      <c r="L5" s="37"/>
      <c r="M5" s="37"/>
      <c r="N5" s="37"/>
      <c r="O5" s="31"/>
    </row>
    <row r="6" spans="1:17" x14ac:dyDescent="0.25">
      <c r="A6" s="39" t="s">
        <v>85</v>
      </c>
      <c r="B6" s="40">
        <f>499/B$9</f>
        <v>0.80225080385852088</v>
      </c>
      <c r="C6" s="40">
        <f>1828/C$9</f>
        <v>0.69163828982217179</v>
      </c>
      <c r="D6" s="40">
        <f>2025/D$9</f>
        <v>0.7127771911298838</v>
      </c>
      <c r="E6" s="40">
        <f>1190/E$9</f>
        <v>0.78444297956493081</v>
      </c>
      <c r="F6" s="40">
        <f>525/F$9</f>
        <v>0.85089141004862234</v>
      </c>
      <c r="G6" s="37"/>
      <c r="H6" s="37"/>
      <c r="I6" s="37"/>
      <c r="J6" s="37"/>
      <c r="K6" s="37"/>
      <c r="L6" s="37"/>
      <c r="M6" s="37"/>
      <c r="N6" s="37"/>
      <c r="O6" s="31"/>
    </row>
    <row r="7" spans="1:17" x14ac:dyDescent="0.25">
      <c r="A7" s="39" t="s">
        <v>86</v>
      </c>
      <c r="B7" s="40">
        <f>247/B$9</f>
        <v>0.39710610932475882</v>
      </c>
      <c r="C7" s="40">
        <f>880/C$9</f>
        <v>0.3329549754067348</v>
      </c>
      <c r="D7" s="40">
        <f>1039/D$9</f>
        <v>0.36571629707849351</v>
      </c>
      <c r="E7" s="40">
        <f>773/E$9</f>
        <v>0.50955833882663149</v>
      </c>
      <c r="F7" s="40">
        <f>339/F$9</f>
        <v>0.54943273905996759</v>
      </c>
      <c r="G7" s="37"/>
      <c r="H7" s="37"/>
      <c r="I7" s="37"/>
      <c r="J7" s="37"/>
      <c r="K7" s="37"/>
      <c r="L7" s="37"/>
      <c r="M7" s="37"/>
      <c r="N7" s="37"/>
      <c r="O7" s="31"/>
    </row>
    <row r="8" spans="1:17" x14ac:dyDescent="0.25">
      <c r="A8" s="39" t="s">
        <v>87</v>
      </c>
      <c r="B8" s="40">
        <f>124/B$9</f>
        <v>0.19935691318327975</v>
      </c>
      <c r="C8" s="40">
        <f>544/C$9</f>
        <v>0.20582671206961786</v>
      </c>
      <c r="D8" s="40">
        <f>1041/D$9</f>
        <v>0.36642027455121434</v>
      </c>
      <c r="E8" s="40">
        <f>593/E$9</f>
        <v>0.39090309822017139</v>
      </c>
      <c r="F8" s="40">
        <f>207/F$9</f>
        <v>0.3354943273905997</v>
      </c>
      <c r="G8" s="37"/>
      <c r="H8" s="37"/>
      <c r="I8" s="37"/>
      <c r="J8" s="37"/>
      <c r="K8" s="37"/>
      <c r="L8" s="37"/>
      <c r="M8" s="37"/>
      <c r="N8" s="37"/>
      <c r="O8" s="31"/>
    </row>
    <row r="9" spans="1:17" x14ac:dyDescent="0.25">
      <c r="A9" s="42" t="s">
        <v>56</v>
      </c>
      <c r="B9" s="43">
        <v>622</v>
      </c>
      <c r="C9" s="43">
        <v>2643</v>
      </c>
      <c r="D9" s="43">
        <v>2841</v>
      </c>
      <c r="E9" s="43">
        <v>1517</v>
      </c>
      <c r="F9" s="43">
        <v>617</v>
      </c>
      <c r="G9" s="37"/>
      <c r="H9" s="37"/>
      <c r="I9" s="37"/>
      <c r="J9" s="37"/>
      <c r="K9" s="37"/>
      <c r="L9" s="37"/>
      <c r="M9" s="37"/>
      <c r="N9" s="37"/>
      <c r="O9" s="31"/>
    </row>
    <row r="10" spans="1:17" x14ac:dyDescent="0.25">
      <c r="A10" s="37"/>
      <c r="B10" s="37"/>
      <c r="C10" s="37"/>
      <c r="D10" s="37"/>
      <c r="E10" s="37"/>
      <c r="F10" s="37"/>
      <c r="G10" s="37"/>
      <c r="H10" s="37"/>
      <c r="I10" s="37"/>
      <c r="J10" s="37"/>
      <c r="K10" s="37"/>
      <c r="L10" s="37"/>
      <c r="M10" s="37"/>
      <c r="N10" s="37"/>
      <c r="O10" s="31"/>
    </row>
    <row r="11" spans="1:17" x14ac:dyDescent="0.25">
      <c r="A11" s="38">
        <v>2015</v>
      </c>
      <c r="B11" s="39" t="s">
        <v>61</v>
      </c>
      <c r="C11" s="39" t="s">
        <v>62</v>
      </c>
      <c r="D11" s="39" t="s">
        <v>63</v>
      </c>
      <c r="E11" s="39" t="s">
        <v>64</v>
      </c>
      <c r="F11" s="39" t="s">
        <v>65</v>
      </c>
      <c r="G11" s="31"/>
      <c r="H11" s="31"/>
      <c r="I11" s="144" t="s">
        <v>274</v>
      </c>
      <c r="J11" s="144"/>
      <c r="K11" s="144"/>
      <c r="L11" s="144"/>
      <c r="M11" s="144"/>
      <c r="N11" s="144"/>
      <c r="O11" s="144"/>
      <c r="P11" s="144"/>
      <c r="Q11" s="144"/>
    </row>
    <row r="12" spans="1:17" x14ac:dyDescent="0.25">
      <c r="A12" s="39" t="s">
        <v>80</v>
      </c>
      <c r="B12" s="40">
        <f>326/B$17</f>
        <v>0.72283813747228376</v>
      </c>
      <c r="C12" s="40">
        <f>1038/C$17</f>
        <v>0.64672897196261681</v>
      </c>
      <c r="D12" s="40">
        <f>1174/D$17</f>
        <v>0.60955347871235721</v>
      </c>
      <c r="E12" s="40">
        <f>827/E$17</f>
        <v>0.73971377459749554</v>
      </c>
      <c r="F12" s="40">
        <f>368/F$17</f>
        <v>0.73895582329317266</v>
      </c>
      <c r="G12" s="31"/>
      <c r="H12" s="31"/>
      <c r="I12" s="144"/>
      <c r="J12" s="144"/>
      <c r="K12" s="144"/>
      <c r="L12" s="144"/>
      <c r="M12" s="144"/>
      <c r="N12" s="144"/>
      <c r="O12" s="144"/>
      <c r="P12" s="144"/>
      <c r="Q12" s="144"/>
    </row>
    <row r="13" spans="1:17" x14ac:dyDescent="0.25">
      <c r="A13" s="39" t="s">
        <v>81</v>
      </c>
      <c r="B13" s="40">
        <f>248/B$17</f>
        <v>0.54988913525498895</v>
      </c>
      <c r="C13" s="40">
        <f>1225/C$17</f>
        <v>0.76323987538940807</v>
      </c>
      <c r="D13" s="40">
        <f>757/D$17</f>
        <v>0.39304257528556596</v>
      </c>
      <c r="E13" s="40">
        <f>558/E$17</f>
        <v>0.49910554561717352</v>
      </c>
      <c r="F13" s="40">
        <f>346/F$17</f>
        <v>0.69477911646586343</v>
      </c>
      <c r="G13" s="31"/>
      <c r="H13" s="31"/>
      <c r="I13" s="144"/>
      <c r="J13" s="144"/>
      <c r="K13" s="144"/>
      <c r="L13" s="144"/>
      <c r="M13" s="144"/>
      <c r="N13" s="144"/>
      <c r="O13" s="144"/>
      <c r="P13" s="144"/>
      <c r="Q13" s="144"/>
    </row>
    <row r="14" spans="1:17" x14ac:dyDescent="0.25">
      <c r="A14" s="39" t="s">
        <v>85</v>
      </c>
      <c r="B14" s="40">
        <f>426/B$17</f>
        <v>0.94456762749445677</v>
      </c>
      <c r="C14" s="40">
        <f>1356/C$17</f>
        <v>0.84485981308411218</v>
      </c>
      <c r="D14" s="40">
        <f>1788/D$17</f>
        <v>0.92834890965732086</v>
      </c>
      <c r="E14" s="40">
        <f>1070/E$17</f>
        <v>0.95706618962432921</v>
      </c>
      <c r="F14" s="40">
        <f>481/F$17</f>
        <v>0.96586345381526106</v>
      </c>
      <c r="G14" s="31"/>
      <c r="H14" s="31"/>
      <c r="I14" s="144"/>
      <c r="J14" s="144"/>
      <c r="K14" s="144"/>
      <c r="L14" s="144"/>
      <c r="M14" s="144"/>
      <c r="N14" s="144"/>
      <c r="O14" s="144"/>
      <c r="P14" s="144"/>
      <c r="Q14" s="144"/>
    </row>
    <row r="15" spans="1:17" x14ac:dyDescent="0.25">
      <c r="A15" s="39" t="s">
        <v>86</v>
      </c>
      <c r="B15" s="40">
        <f>220/B$17</f>
        <v>0.48780487804878048</v>
      </c>
      <c r="C15" s="40">
        <f>577/C$17</f>
        <v>0.35950155763239877</v>
      </c>
      <c r="D15" s="40">
        <f>853/D$17</f>
        <v>0.44288681204569053</v>
      </c>
      <c r="E15" s="40">
        <f>666/E$17</f>
        <v>0.59570661896243293</v>
      </c>
      <c r="F15" s="40">
        <f>290/F$17</f>
        <v>0.58232931726907633</v>
      </c>
      <c r="G15" s="31"/>
      <c r="H15" s="31"/>
      <c r="I15" s="144"/>
      <c r="J15" s="144"/>
      <c r="K15" s="144"/>
      <c r="L15" s="144"/>
      <c r="M15" s="144"/>
      <c r="N15" s="144"/>
      <c r="O15" s="144"/>
      <c r="P15" s="144"/>
      <c r="Q15" s="144"/>
    </row>
    <row r="16" spans="1:17" x14ac:dyDescent="0.25">
      <c r="A16" s="39" t="s">
        <v>87</v>
      </c>
      <c r="B16" s="40">
        <f>100/B$17</f>
        <v>0.22172949002217296</v>
      </c>
      <c r="C16" s="40">
        <f>404/C$17</f>
        <v>0.25171339563862927</v>
      </c>
      <c r="D16" s="40">
        <f>879/D$17</f>
        <v>0.45638629283489096</v>
      </c>
      <c r="E16" s="40">
        <f>531/E$17</f>
        <v>0.47495527728085868</v>
      </c>
      <c r="F16" s="40">
        <f>181/F$17</f>
        <v>0.3634538152610442</v>
      </c>
      <c r="G16" s="31"/>
      <c r="H16" s="31"/>
      <c r="I16" s="144"/>
      <c r="J16" s="144"/>
      <c r="K16" s="144"/>
      <c r="L16" s="144"/>
      <c r="M16" s="144"/>
      <c r="N16" s="144"/>
      <c r="O16" s="144"/>
      <c r="P16" s="144"/>
      <c r="Q16" s="144"/>
    </row>
    <row r="17" spans="1:17" x14ac:dyDescent="0.25">
      <c r="A17" s="42" t="s">
        <v>56</v>
      </c>
      <c r="B17" s="43">
        <v>451</v>
      </c>
      <c r="C17" s="43">
        <v>1605</v>
      </c>
      <c r="D17" s="43">
        <v>1926</v>
      </c>
      <c r="E17" s="43">
        <v>1118</v>
      </c>
      <c r="F17" s="43">
        <v>498</v>
      </c>
      <c r="G17" s="31"/>
      <c r="H17" s="31"/>
      <c r="I17" s="144"/>
      <c r="J17" s="144"/>
      <c r="K17" s="144"/>
      <c r="L17" s="144"/>
      <c r="M17" s="144"/>
      <c r="N17" s="144"/>
      <c r="O17" s="144"/>
      <c r="P17" s="144"/>
      <c r="Q17" s="144"/>
    </row>
    <row r="18" spans="1:17" x14ac:dyDescent="0.25">
      <c r="B18" s="36">
        <v>617</v>
      </c>
      <c r="C18" s="36">
        <v>2615</v>
      </c>
      <c r="D18" s="36">
        <v>2805</v>
      </c>
      <c r="E18" s="36">
        <v>1500</v>
      </c>
      <c r="F18" s="36">
        <v>618</v>
      </c>
      <c r="I18" s="144"/>
      <c r="J18" s="144"/>
      <c r="K18" s="144"/>
      <c r="L18" s="144"/>
      <c r="M18" s="144"/>
      <c r="N18" s="144"/>
      <c r="O18" s="144"/>
      <c r="P18" s="144"/>
      <c r="Q18" s="144"/>
    </row>
    <row r="19" spans="1:17" ht="63" x14ac:dyDescent="0.25">
      <c r="A19" s="41" t="s">
        <v>88</v>
      </c>
      <c r="B19" s="41"/>
      <c r="C19" s="41"/>
      <c r="D19" s="41"/>
      <c r="E19" s="41"/>
      <c r="F19" s="41"/>
      <c r="I19" s="144"/>
      <c r="J19" s="144"/>
      <c r="K19" s="144"/>
      <c r="L19" s="144"/>
      <c r="M19" s="144"/>
      <c r="N19" s="144"/>
      <c r="O19" s="144"/>
      <c r="P19" s="144"/>
      <c r="Q19" s="144"/>
    </row>
    <row r="20" spans="1:17" x14ac:dyDescent="0.25">
      <c r="A20" s="41"/>
      <c r="B20" s="41"/>
      <c r="C20" s="41"/>
      <c r="D20" s="41"/>
      <c r="E20" s="41"/>
      <c r="F20" s="41"/>
      <c r="I20" s="144"/>
      <c r="J20" s="144"/>
      <c r="K20" s="144"/>
      <c r="L20" s="144"/>
      <c r="M20" s="144"/>
      <c r="N20" s="144"/>
      <c r="O20" s="144"/>
      <c r="P20" s="144"/>
      <c r="Q20" s="144"/>
    </row>
    <row r="21" spans="1:17" x14ac:dyDescent="0.25">
      <c r="A21" s="41"/>
      <c r="B21" s="41"/>
      <c r="C21" s="41"/>
      <c r="D21" s="41"/>
      <c r="E21" s="41"/>
      <c r="F21" s="41"/>
      <c r="I21" s="144"/>
      <c r="J21" s="144"/>
      <c r="K21" s="144"/>
      <c r="L21" s="144"/>
      <c r="M21" s="144"/>
      <c r="N21" s="144"/>
      <c r="O21" s="144"/>
      <c r="P21" s="144"/>
      <c r="Q21" s="144"/>
    </row>
    <row r="22" spans="1:17" x14ac:dyDescent="0.25">
      <c r="A22" s="41"/>
      <c r="B22" s="41"/>
      <c r="C22" s="133" t="s">
        <v>293</v>
      </c>
      <c r="D22" s="41"/>
      <c r="E22" s="41"/>
      <c r="F22" s="41"/>
    </row>
  </sheetData>
  <mergeCells count="2">
    <mergeCell ref="A1:N1"/>
    <mergeCell ref="I11:Q21"/>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28"/>
  <sheetViews>
    <sheetView workbookViewId="0">
      <selection activeCell="E28" sqref="E28"/>
    </sheetView>
  </sheetViews>
  <sheetFormatPr defaultRowHeight="15" x14ac:dyDescent="0.25"/>
  <cols>
    <col min="1" max="1" width="10.5703125" style="4" bestFit="1" customWidth="1"/>
    <col min="2" max="2" width="14" style="6" customWidth="1"/>
    <col min="3" max="3" width="14" style="7" customWidth="1"/>
    <col min="4" max="5" width="14" style="4" customWidth="1"/>
    <col min="6" max="6" width="14" style="4" bestFit="1" customWidth="1"/>
    <col min="7" max="7" width="14" style="4" customWidth="1"/>
    <col min="8" max="8" width="9.140625" style="4" customWidth="1"/>
    <col min="9" max="9" width="8.28515625" style="4" bestFit="1" customWidth="1"/>
    <col min="10" max="13" width="14" style="4" customWidth="1"/>
    <col min="14" max="14" width="14" style="4" bestFit="1" customWidth="1"/>
    <col min="15" max="15" width="14" style="4" customWidth="1"/>
    <col min="16" max="16" width="9.140625" style="4" customWidth="1"/>
    <col min="17" max="17" width="5.5703125" style="4" bestFit="1" customWidth="1"/>
    <col min="18" max="21" width="14" style="4" customWidth="1"/>
    <col min="22" max="22" width="14" style="4" bestFit="1" customWidth="1"/>
    <col min="23" max="23" width="14" style="4" customWidth="1"/>
    <col min="24" max="16384" width="9.140625" style="4"/>
  </cols>
  <sheetData>
    <row r="1" spans="1:23" ht="15" customHeight="1" x14ac:dyDescent="0.25">
      <c r="A1" s="145" t="s">
        <v>294</v>
      </c>
      <c r="B1" s="145"/>
      <c r="C1" s="145"/>
      <c r="D1" s="145"/>
      <c r="E1" s="145"/>
      <c r="F1" s="145"/>
      <c r="G1" s="145"/>
      <c r="H1" s="145"/>
      <c r="I1" s="145"/>
      <c r="J1" s="145"/>
      <c r="K1" s="145"/>
      <c r="L1" s="145"/>
      <c r="M1" s="145"/>
      <c r="N1" s="145"/>
      <c r="O1" s="145"/>
      <c r="P1" s="145"/>
      <c r="Q1" s="145"/>
      <c r="R1" s="145"/>
      <c r="S1" s="145"/>
      <c r="T1" s="145"/>
      <c r="U1" s="145"/>
    </row>
    <row r="4" spans="1:23" ht="15.75" x14ac:dyDescent="0.25">
      <c r="A4" s="121" t="s">
        <v>249</v>
      </c>
      <c r="B4" s="119" t="s">
        <v>61</v>
      </c>
      <c r="C4" s="119" t="s">
        <v>62</v>
      </c>
      <c r="D4" s="119" t="s">
        <v>63</v>
      </c>
      <c r="E4" s="119" t="s">
        <v>64</v>
      </c>
      <c r="F4" s="119" t="s">
        <v>65</v>
      </c>
      <c r="G4" s="119" t="s">
        <v>136</v>
      </c>
      <c r="I4" s="121" t="s">
        <v>250</v>
      </c>
      <c r="J4" s="119" t="s">
        <v>61</v>
      </c>
      <c r="K4" s="119" t="s">
        <v>62</v>
      </c>
      <c r="L4" s="119" t="s">
        <v>63</v>
      </c>
      <c r="M4" s="119" t="s">
        <v>64</v>
      </c>
      <c r="N4" s="119" t="s">
        <v>65</v>
      </c>
      <c r="O4" s="119" t="s">
        <v>136</v>
      </c>
      <c r="Q4" s="121" t="s">
        <v>56</v>
      </c>
      <c r="R4" s="119" t="s">
        <v>61</v>
      </c>
      <c r="S4" s="119" t="s">
        <v>62</v>
      </c>
      <c r="T4" s="119" t="s">
        <v>63</v>
      </c>
      <c r="U4" s="119" t="s">
        <v>64</v>
      </c>
      <c r="V4" s="119" t="s">
        <v>65</v>
      </c>
      <c r="W4" s="119" t="s">
        <v>136</v>
      </c>
    </row>
    <row r="5" spans="1:23" ht="15.75" x14ac:dyDescent="0.25">
      <c r="A5" s="119">
        <v>2011</v>
      </c>
      <c r="B5" s="120">
        <f t="shared" ref="B5:B10" si="0">J5/R5</f>
        <v>0.10296684118673648</v>
      </c>
      <c r="C5" s="120">
        <f t="shared" ref="C5" si="1">K5/S5</f>
        <v>5.2373158756137482E-2</v>
      </c>
      <c r="D5" s="120">
        <f t="shared" ref="D5" si="2">L5/T5</f>
        <v>5.4339010543390104E-2</v>
      </c>
      <c r="E5" s="120">
        <f t="shared" ref="E5" si="3">M5/U5</f>
        <v>4.519368723098996E-2</v>
      </c>
      <c r="F5" s="120">
        <f t="shared" ref="F5" si="4">N5/V5</f>
        <v>5.6856187290969896E-2</v>
      </c>
      <c r="G5" s="120">
        <f t="shared" ref="G5" si="5">O5/W5</f>
        <v>5.5919732441471574E-2</v>
      </c>
      <c r="I5" s="119">
        <f t="shared" ref="I5:I9" si="6">$A5</f>
        <v>2011</v>
      </c>
      <c r="J5" s="122">
        <v>59</v>
      </c>
      <c r="K5" s="122">
        <v>128</v>
      </c>
      <c r="L5" s="122">
        <v>134</v>
      </c>
      <c r="M5" s="122">
        <v>63</v>
      </c>
      <c r="N5" s="122">
        <v>34</v>
      </c>
      <c r="O5" s="124">
        <f t="shared" ref="O5" si="7">SUM(J5:N5)</f>
        <v>418</v>
      </c>
      <c r="Q5" s="119">
        <f t="shared" ref="Q5:Q9" si="8">$A5</f>
        <v>2011</v>
      </c>
      <c r="R5" s="122">
        <v>573</v>
      </c>
      <c r="S5" s="122">
        <v>2444</v>
      </c>
      <c r="T5" s="122">
        <v>2466</v>
      </c>
      <c r="U5" s="122">
        <v>1394</v>
      </c>
      <c r="V5" s="122">
        <v>598</v>
      </c>
      <c r="W5" s="124">
        <f t="shared" ref="W5" si="9">SUM(R5:V5)</f>
        <v>7475</v>
      </c>
    </row>
    <row r="6" spans="1:23" ht="15.75" x14ac:dyDescent="0.25">
      <c r="A6" s="119">
        <v>2012</v>
      </c>
      <c r="B6" s="120">
        <f t="shared" si="0"/>
        <v>0.3082077051926298</v>
      </c>
      <c r="C6" s="120">
        <f t="shared" ref="C6" si="10">K6/S6</f>
        <v>0.20263262863980855</v>
      </c>
      <c r="D6" s="120">
        <f t="shared" ref="D6" si="11">L6/T6</f>
        <v>0.11990686845168801</v>
      </c>
      <c r="E6" s="120">
        <f t="shared" ref="E6" si="12">M6/U6</f>
        <v>8.5180055401662055E-2</v>
      </c>
      <c r="F6" s="120">
        <f t="shared" ref="F6" si="13">N6/V6</f>
        <v>0.27333333333333332</v>
      </c>
      <c r="G6" s="120">
        <f t="shared" ref="G6" si="14">O6/W6</f>
        <v>0.16673139158576053</v>
      </c>
      <c r="I6" s="119">
        <f t="shared" si="6"/>
        <v>2012</v>
      </c>
      <c r="J6" s="122">
        <v>184</v>
      </c>
      <c r="K6" s="122">
        <v>508</v>
      </c>
      <c r="L6" s="122">
        <v>309</v>
      </c>
      <c r="M6" s="122">
        <v>123</v>
      </c>
      <c r="N6" s="122">
        <v>164</v>
      </c>
      <c r="O6" s="124">
        <f t="shared" ref="O6:O8" si="15">SUM(J6:N6)</f>
        <v>1288</v>
      </c>
      <c r="Q6" s="119">
        <f t="shared" si="8"/>
        <v>2012</v>
      </c>
      <c r="R6" s="122">
        <v>597</v>
      </c>
      <c r="S6" s="122">
        <v>2507</v>
      </c>
      <c r="T6" s="122">
        <v>2577</v>
      </c>
      <c r="U6" s="122">
        <v>1444</v>
      </c>
      <c r="V6" s="122">
        <v>600</v>
      </c>
      <c r="W6" s="124">
        <f t="shared" ref="W6:W8" si="16">SUM(R6:V6)</f>
        <v>7725</v>
      </c>
    </row>
    <row r="7" spans="1:23" ht="15.75" x14ac:dyDescent="0.25">
      <c r="A7" s="119">
        <v>2013</v>
      </c>
      <c r="B7" s="120">
        <f t="shared" si="0"/>
        <v>0.31107491856677527</v>
      </c>
      <c r="C7" s="120">
        <f t="shared" ref="C7" si="17">K7/S7</f>
        <v>0.21079389910050841</v>
      </c>
      <c r="D7" s="120">
        <f t="shared" ref="D7" si="18">L7/T7</f>
        <v>0.10442678774120318</v>
      </c>
      <c r="E7" s="120">
        <f t="shared" ref="E7" si="19">M7/U7</f>
        <v>8.5675119945167924E-2</v>
      </c>
      <c r="F7" s="120">
        <f t="shared" ref="F7" si="20">N7/V7</f>
        <v>0.29016393442622951</v>
      </c>
      <c r="G7" s="120">
        <f t="shared" ref="G7" si="21">O7/W7</f>
        <v>0.16592667766078903</v>
      </c>
      <c r="I7" s="119">
        <f t="shared" si="6"/>
        <v>2013</v>
      </c>
      <c r="J7" s="122">
        <v>191</v>
      </c>
      <c r="K7" s="122">
        <v>539</v>
      </c>
      <c r="L7" s="122">
        <v>276</v>
      </c>
      <c r="M7" s="122">
        <v>125</v>
      </c>
      <c r="N7" s="122">
        <v>177</v>
      </c>
      <c r="O7" s="124">
        <f t="shared" si="15"/>
        <v>1308</v>
      </c>
      <c r="Q7" s="119">
        <f t="shared" si="8"/>
        <v>2013</v>
      </c>
      <c r="R7" s="122">
        <v>614</v>
      </c>
      <c r="S7" s="122">
        <v>2557</v>
      </c>
      <c r="T7" s="122">
        <v>2643</v>
      </c>
      <c r="U7" s="122">
        <v>1459</v>
      </c>
      <c r="V7" s="122">
        <v>610</v>
      </c>
      <c r="W7" s="124">
        <f t="shared" si="16"/>
        <v>7883</v>
      </c>
    </row>
    <row r="8" spans="1:23" ht="15.75" x14ac:dyDescent="0.25">
      <c r="A8" s="119">
        <v>2014</v>
      </c>
      <c r="B8" s="120">
        <f t="shared" si="0"/>
        <v>0.35876623376623379</v>
      </c>
      <c r="C8" s="120">
        <f t="shared" ref="C8" si="22">K8/S8</f>
        <v>0.21562619685944082</v>
      </c>
      <c r="D8" s="120">
        <f t="shared" ref="D8" si="23">L8/T8</f>
        <v>0.10596745027124774</v>
      </c>
      <c r="E8" s="120">
        <f t="shared" ref="E8" si="24">M8/U8</f>
        <v>8.0808080808080815E-2</v>
      </c>
      <c r="F8" s="120">
        <f t="shared" ref="F8" si="25">N8/V8</f>
        <v>0.30605564648117839</v>
      </c>
      <c r="G8" s="120">
        <f t="shared" ref="G8" si="26">O8/W8</f>
        <v>0.17111770524233433</v>
      </c>
      <c r="I8" s="119">
        <f t="shared" si="6"/>
        <v>2014</v>
      </c>
      <c r="J8" s="122">
        <v>221</v>
      </c>
      <c r="K8" s="122">
        <v>563</v>
      </c>
      <c r="L8" s="122">
        <v>293</v>
      </c>
      <c r="M8" s="122">
        <v>120</v>
      </c>
      <c r="N8" s="122">
        <v>187</v>
      </c>
      <c r="O8" s="124">
        <f t="shared" si="15"/>
        <v>1384</v>
      </c>
      <c r="Q8" s="119">
        <f t="shared" si="8"/>
        <v>2014</v>
      </c>
      <c r="R8" s="122">
        <v>616</v>
      </c>
      <c r="S8" s="122">
        <v>2611</v>
      </c>
      <c r="T8" s="122">
        <v>2765</v>
      </c>
      <c r="U8" s="122">
        <v>1485</v>
      </c>
      <c r="V8" s="122">
        <v>611</v>
      </c>
      <c r="W8" s="124">
        <f t="shared" si="16"/>
        <v>8088</v>
      </c>
    </row>
    <row r="9" spans="1:23" ht="15.75" x14ac:dyDescent="0.25">
      <c r="A9" s="119">
        <v>2015</v>
      </c>
      <c r="B9" s="120">
        <f t="shared" si="0"/>
        <v>0.36952998379254459</v>
      </c>
      <c r="C9" s="120">
        <f t="shared" ref="C9" si="27">K9/S9</f>
        <v>0.20305927342256214</v>
      </c>
      <c r="D9" s="120">
        <f t="shared" ref="D9" si="28">L9/T9</f>
        <v>0.10445632798573976</v>
      </c>
      <c r="E9" s="120">
        <f t="shared" ref="E9" si="29">M9/U9</f>
        <v>6.933333333333333E-2</v>
      </c>
      <c r="F9" s="120">
        <f t="shared" ref="F9" si="30">N9/V9</f>
        <v>0.29449838187702265</v>
      </c>
      <c r="G9" s="120">
        <f t="shared" ref="G9" si="31">O9/W9</f>
        <v>0.16407112201103619</v>
      </c>
      <c r="I9" s="119">
        <f t="shared" si="6"/>
        <v>2015</v>
      </c>
      <c r="J9" s="122">
        <v>228</v>
      </c>
      <c r="K9" s="122">
        <v>531</v>
      </c>
      <c r="L9" s="122">
        <v>293</v>
      </c>
      <c r="M9" s="122">
        <v>104</v>
      </c>
      <c r="N9" s="122">
        <v>182</v>
      </c>
      <c r="O9" s="124">
        <f>SUM(J9:N9)</f>
        <v>1338</v>
      </c>
      <c r="Q9" s="119">
        <f t="shared" si="8"/>
        <v>2015</v>
      </c>
      <c r="R9" s="122">
        <v>617</v>
      </c>
      <c r="S9" s="122">
        <v>2615</v>
      </c>
      <c r="T9" s="122">
        <v>2805</v>
      </c>
      <c r="U9" s="122">
        <v>1500</v>
      </c>
      <c r="V9" s="122">
        <v>618</v>
      </c>
      <c r="W9" s="124">
        <f>SUM(R9:V9)</f>
        <v>8155</v>
      </c>
    </row>
    <row r="10" spans="1:23" ht="15.75" x14ac:dyDescent="0.25">
      <c r="A10" s="119">
        <v>2016</v>
      </c>
      <c r="B10" s="120">
        <f t="shared" si="0"/>
        <v>0.35209003215434082</v>
      </c>
      <c r="C10" s="120">
        <f t="shared" ref="C10:G10" si="32">K10/S10</f>
        <v>0.19901626939084374</v>
      </c>
      <c r="D10" s="120">
        <f t="shared" si="32"/>
        <v>8.9405139035550862E-2</v>
      </c>
      <c r="E10" s="120">
        <f t="shared" si="32"/>
        <v>6.0646011865524062E-2</v>
      </c>
      <c r="F10" s="120">
        <f t="shared" si="32"/>
        <v>0.28363047001620745</v>
      </c>
      <c r="G10" s="120">
        <f t="shared" si="32"/>
        <v>0.15364077669902912</v>
      </c>
      <c r="I10" s="119">
        <f>$A10</f>
        <v>2016</v>
      </c>
      <c r="J10" s="122">
        <v>219</v>
      </c>
      <c r="K10" s="122">
        <v>526</v>
      </c>
      <c r="L10" s="122">
        <v>254</v>
      </c>
      <c r="M10" s="122">
        <v>92</v>
      </c>
      <c r="N10" s="122">
        <v>175</v>
      </c>
      <c r="O10" s="124">
        <f>SUM(J10:N10)</f>
        <v>1266</v>
      </c>
      <c r="Q10" s="119">
        <f>$A10</f>
        <v>2016</v>
      </c>
      <c r="R10" s="122">
        <v>622</v>
      </c>
      <c r="S10" s="122">
        <v>2643</v>
      </c>
      <c r="T10" s="122">
        <v>2841</v>
      </c>
      <c r="U10" s="122">
        <v>1517</v>
      </c>
      <c r="V10" s="122">
        <v>617</v>
      </c>
      <c r="W10" s="124">
        <f>SUM(R10:V10)</f>
        <v>8240</v>
      </c>
    </row>
    <row r="12" spans="1:23" x14ac:dyDescent="0.25">
      <c r="H12" s="144" t="s">
        <v>295</v>
      </c>
      <c r="I12" s="144"/>
      <c r="J12" s="144"/>
      <c r="K12" s="144"/>
      <c r="L12" s="144"/>
      <c r="M12" s="144"/>
      <c r="N12" s="144"/>
      <c r="O12" s="144"/>
      <c r="P12" s="144"/>
    </row>
    <row r="13" spans="1:23" x14ac:dyDescent="0.25">
      <c r="H13" s="144"/>
      <c r="I13" s="144"/>
      <c r="J13" s="144"/>
      <c r="K13" s="144"/>
      <c r="L13" s="144"/>
      <c r="M13" s="144"/>
      <c r="N13" s="144"/>
      <c r="O13" s="144"/>
      <c r="P13" s="144"/>
    </row>
    <row r="14" spans="1:23" x14ac:dyDescent="0.25">
      <c r="H14" s="144"/>
      <c r="I14" s="144"/>
      <c r="J14" s="144"/>
      <c r="K14" s="144"/>
      <c r="L14" s="144"/>
      <c r="M14" s="144"/>
      <c r="N14" s="144"/>
      <c r="O14" s="144"/>
      <c r="P14" s="144"/>
    </row>
    <row r="15" spans="1:23" x14ac:dyDescent="0.25">
      <c r="H15" s="144"/>
      <c r="I15" s="144"/>
      <c r="J15" s="144"/>
      <c r="K15" s="144"/>
      <c r="L15" s="144"/>
      <c r="M15" s="144"/>
      <c r="N15" s="144"/>
      <c r="O15" s="144"/>
      <c r="P15" s="144"/>
    </row>
    <row r="16" spans="1:23" x14ac:dyDescent="0.25">
      <c r="H16" s="144"/>
      <c r="I16" s="144"/>
      <c r="J16" s="144"/>
      <c r="K16" s="144"/>
      <c r="L16" s="144"/>
      <c r="M16" s="144"/>
      <c r="N16" s="144"/>
      <c r="O16" s="144"/>
      <c r="P16" s="144"/>
    </row>
    <row r="17" spans="5:16" x14ac:dyDescent="0.25">
      <c r="H17" s="144"/>
      <c r="I17" s="144"/>
      <c r="J17" s="144"/>
      <c r="K17" s="144"/>
      <c r="L17" s="144"/>
      <c r="M17" s="144"/>
      <c r="N17" s="144"/>
      <c r="O17" s="144"/>
      <c r="P17" s="144"/>
    </row>
    <row r="18" spans="5:16" x14ac:dyDescent="0.25">
      <c r="H18" s="144"/>
      <c r="I18" s="144"/>
      <c r="J18" s="144"/>
      <c r="K18" s="144"/>
      <c r="L18" s="144"/>
      <c r="M18" s="144"/>
      <c r="N18" s="144"/>
      <c r="O18" s="144"/>
      <c r="P18" s="144"/>
    </row>
    <row r="19" spans="5:16" x14ac:dyDescent="0.25">
      <c r="H19" s="144"/>
      <c r="I19" s="144"/>
      <c r="J19" s="144"/>
      <c r="K19" s="144"/>
      <c r="L19" s="144"/>
      <c r="M19" s="144"/>
      <c r="N19" s="144"/>
      <c r="O19" s="144"/>
      <c r="P19" s="144"/>
    </row>
    <row r="20" spans="5:16" x14ac:dyDescent="0.25">
      <c r="H20" s="144"/>
      <c r="I20" s="144"/>
      <c r="J20" s="144"/>
      <c r="K20" s="144"/>
      <c r="L20" s="144"/>
      <c r="M20" s="144"/>
      <c r="N20" s="144"/>
      <c r="O20" s="144"/>
      <c r="P20" s="144"/>
    </row>
    <row r="21" spans="5:16" x14ac:dyDescent="0.25">
      <c r="H21" s="144"/>
      <c r="I21" s="144"/>
      <c r="J21" s="144"/>
      <c r="K21" s="144"/>
      <c r="L21" s="144"/>
      <c r="M21" s="144"/>
      <c r="N21" s="144"/>
      <c r="O21" s="144"/>
      <c r="P21" s="144"/>
    </row>
    <row r="22" spans="5:16" x14ac:dyDescent="0.25">
      <c r="H22" s="144"/>
      <c r="I22" s="144"/>
      <c r="J22" s="144"/>
      <c r="K22" s="144"/>
      <c r="L22" s="144"/>
      <c r="M22" s="144"/>
      <c r="N22" s="144"/>
      <c r="O22" s="144"/>
      <c r="P22" s="144"/>
    </row>
    <row r="28" spans="5:16" x14ac:dyDescent="0.25">
      <c r="E28" s="133" t="s">
        <v>302</v>
      </c>
    </row>
  </sheetData>
  <mergeCells count="2">
    <mergeCell ref="A1:U1"/>
    <mergeCell ref="H12:P22"/>
  </mergeCells>
  <pageMargins left="0.511811024" right="0.511811024" top="0.78740157499999996" bottom="0.78740157499999996" header="0.31496062000000002" footer="0.31496062000000002"/>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33"/>
  <sheetViews>
    <sheetView workbookViewId="0">
      <selection activeCell="A23" sqref="A23:I33"/>
    </sheetView>
  </sheetViews>
  <sheetFormatPr defaultRowHeight="15" x14ac:dyDescent="0.25"/>
  <cols>
    <col min="1" max="1" width="65.85546875" style="4" bestFit="1" customWidth="1"/>
    <col min="2" max="2" width="9.140625" style="6" customWidth="1"/>
    <col min="3" max="3" width="9.140625" style="7" customWidth="1"/>
    <col min="4" max="18" width="9.140625" style="4" customWidth="1"/>
    <col min="19" max="16384" width="9.140625" style="4"/>
  </cols>
  <sheetData>
    <row r="1" spans="1:18" ht="15" customHeight="1" x14ac:dyDescent="0.25">
      <c r="A1" s="145" t="s">
        <v>251</v>
      </c>
      <c r="B1" s="145"/>
      <c r="C1" s="145"/>
      <c r="D1" s="145"/>
      <c r="E1" s="145"/>
      <c r="F1" s="145"/>
      <c r="G1" s="145"/>
      <c r="H1" s="145"/>
      <c r="I1" s="145"/>
      <c r="J1" s="145"/>
      <c r="K1" s="145"/>
      <c r="L1" s="145"/>
      <c r="M1" s="145"/>
    </row>
    <row r="2" spans="1:18" ht="30" customHeight="1" x14ac:dyDescent="0.25">
      <c r="B2" s="146" t="s">
        <v>91</v>
      </c>
      <c r="C2" s="146"/>
      <c r="D2" s="146"/>
      <c r="E2" s="146"/>
      <c r="F2" s="146"/>
    </row>
    <row r="3" spans="1:18" ht="75" customHeight="1" x14ac:dyDescent="0.25">
      <c r="A3" s="125" t="s">
        <v>90</v>
      </c>
      <c r="B3" s="45" t="s">
        <v>92</v>
      </c>
      <c r="C3" s="46" t="s">
        <v>93</v>
      </c>
      <c r="D3" s="45" t="s">
        <v>94</v>
      </c>
      <c r="E3" s="45" t="s">
        <v>55</v>
      </c>
      <c r="F3" s="45" t="s">
        <v>95</v>
      </c>
    </row>
    <row r="4" spans="1:18" x14ac:dyDescent="0.25">
      <c r="A4" s="4" t="s">
        <v>102</v>
      </c>
      <c r="B4" s="123">
        <v>2122</v>
      </c>
      <c r="C4" s="123"/>
      <c r="D4" s="123"/>
      <c r="E4" s="123"/>
      <c r="F4" s="123">
        <v>399</v>
      </c>
      <c r="G4" s="126">
        <f t="shared" ref="G4:G18" si="0">SUM(B4:E4)</f>
        <v>2122</v>
      </c>
      <c r="H4" s="3"/>
      <c r="I4" s="3"/>
      <c r="J4" s="3"/>
      <c r="K4" s="3"/>
      <c r="L4" s="3"/>
      <c r="M4" s="3"/>
      <c r="N4" s="3"/>
      <c r="O4" s="3"/>
      <c r="P4" s="3"/>
      <c r="Q4" s="3"/>
      <c r="R4" s="3"/>
    </row>
    <row r="5" spans="1:18" x14ac:dyDescent="0.25">
      <c r="A5" s="4" t="s">
        <v>108</v>
      </c>
      <c r="B5" s="123">
        <v>2218</v>
      </c>
      <c r="C5" s="123"/>
      <c r="D5" s="123"/>
      <c r="E5" s="123"/>
      <c r="F5" s="123">
        <v>303</v>
      </c>
      <c r="G5" s="126">
        <f t="shared" si="0"/>
        <v>2218</v>
      </c>
    </row>
    <row r="6" spans="1:18" x14ac:dyDescent="0.25">
      <c r="A6" s="4" t="s">
        <v>110</v>
      </c>
      <c r="B6" s="123"/>
      <c r="C6" s="123">
        <v>975</v>
      </c>
      <c r="D6" s="123">
        <v>979</v>
      </c>
      <c r="E6" s="123">
        <v>670</v>
      </c>
      <c r="F6" s="123">
        <v>1422</v>
      </c>
      <c r="G6" s="126">
        <f t="shared" si="0"/>
        <v>2624</v>
      </c>
    </row>
    <row r="7" spans="1:18" x14ac:dyDescent="0.25">
      <c r="A7" s="4" t="s">
        <v>109</v>
      </c>
      <c r="B7" s="123"/>
      <c r="C7" s="123">
        <v>1043</v>
      </c>
      <c r="D7" s="123">
        <v>971</v>
      </c>
      <c r="E7" s="123">
        <v>790</v>
      </c>
      <c r="F7" s="123">
        <v>1363</v>
      </c>
      <c r="G7" s="126">
        <f t="shared" si="0"/>
        <v>2804</v>
      </c>
    </row>
    <row r="8" spans="1:18" x14ac:dyDescent="0.25">
      <c r="A8" s="4" t="s">
        <v>101</v>
      </c>
      <c r="B8" s="123">
        <v>940</v>
      </c>
      <c r="C8" s="123">
        <v>819</v>
      </c>
      <c r="D8" s="123">
        <v>698</v>
      </c>
      <c r="E8" s="123">
        <v>717</v>
      </c>
      <c r="F8" s="123">
        <v>1533</v>
      </c>
      <c r="G8" s="126">
        <f t="shared" si="0"/>
        <v>3174</v>
      </c>
    </row>
    <row r="9" spans="1:18" x14ac:dyDescent="0.25">
      <c r="A9" s="4" t="s">
        <v>100</v>
      </c>
      <c r="B9" s="123">
        <v>2409</v>
      </c>
      <c r="C9" s="123"/>
      <c r="D9" s="123"/>
      <c r="E9" s="123">
        <v>2255</v>
      </c>
      <c r="F9" s="123">
        <v>50</v>
      </c>
      <c r="G9" s="126">
        <f t="shared" si="0"/>
        <v>4664</v>
      </c>
    </row>
    <row r="10" spans="1:18" x14ac:dyDescent="0.25">
      <c r="A10" s="4" t="s">
        <v>107</v>
      </c>
      <c r="B10" s="123">
        <v>1991</v>
      </c>
      <c r="C10" s="123">
        <v>1145</v>
      </c>
      <c r="D10" s="123">
        <v>1012</v>
      </c>
      <c r="E10" s="123">
        <v>1392</v>
      </c>
      <c r="F10" s="123">
        <v>435</v>
      </c>
      <c r="G10" s="126">
        <f t="shared" si="0"/>
        <v>5540</v>
      </c>
    </row>
    <row r="11" spans="1:18" x14ac:dyDescent="0.25">
      <c r="A11" s="4" t="s">
        <v>99</v>
      </c>
      <c r="B11" s="123">
        <v>2242</v>
      </c>
      <c r="C11" s="123">
        <v>1416</v>
      </c>
      <c r="D11" s="123">
        <v>857</v>
      </c>
      <c r="E11" s="123">
        <v>1135</v>
      </c>
      <c r="F11" s="123">
        <v>255</v>
      </c>
      <c r="G11" s="126">
        <f t="shared" si="0"/>
        <v>5650</v>
      </c>
    </row>
    <row r="12" spans="1:18" x14ac:dyDescent="0.25">
      <c r="A12" s="4" t="s">
        <v>105</v>
      </c>
      <c r="B12" s="123">
        <v>1578</v>
      </c>
      <c r="C12" s="123">
        <v>1453</v>
      </c>
      <c r="D12" s="123">
        <v>1396</v>
      </c>
      <c r="E12" s="123">
        <v>1335</v>
      </c>
      <c r="F12" s="123">
        <v>856</v>
      </c>
      <c r="G12" s="126">
        <f t="shared" si="0"/>
        <v>5762</v>
      </c>
    </row>
    <row r="13" spans="1:18" x14ac:dyDescent="0.25">
      <c r="A13" s="4" t="s">
        <v>104</v>
      </c>
      <c r="B13" s="123">
        <v>1680</v>
      </c>
      <c r="C13" s="123">
        <v>1504</v>
      </c>
      <c r="D13" s="123">
        <v>1507</v>
      </c>
      <c r="E13" s="123">
        <v>1188</v>
      </c>
      <c r="F13" s="123">
        <v>650</v>
      </c>
      <c r="G13" s="126">
        <f t="shared" si="0"/>
        <v>5879</v>
      </c>
    </row>
    <row r="14" spans="1:18" x14ac:dyDescent="0.25">
      <c r="A14" s="4" t="s">
        <v>103</v>
      </c>
      <c r="B14" s="123">
        <v>1537</v>
      </c>
      <c r="C14" s="123">
        <v>1590</v>
      </c>
      <c r="D14" s="123">
        <v>1679</v>
      </c>
      <c r="E14" s="123">
        <v>1509</v>
      </c>
      <c r="F14" s="123">
        <v>565</v>
      </c>
      <c r="G14" s="126">
        <f t="shared" si="0"/>
        <v>6315</v>
      </c>
    </row>
    <row r="15" spans="1:18" x14ac:dyDescent="0.25">
      <c r="A15" s="4" t="s">
        <v>98</v>
      </c>
      <c r="B15" s="123">
        <v>2464</v>
      </c>
      <c r="C15" s="123">
        <v>1934</v>
      </c>
      <c r="D15" s="123">
        <v>974</v>
      </c>
      <c r="E15" s="123">
        <v>1516</v>
      </c>
      <c r="F15" s="123">
        <v>40</v>
      </c>
      <c r="G15" s="126">
        <f t="shared" si="0"/>
        <v>6888</v>
      </c>
    </row>
    <row r="16" spans="1:18" x14ac:dyDescent="0.25">
      <c r="A16" s="4" t="s">
        <v>106</v>
      </c>
      <c r="B16" s="123">
        <v>2208</v>
      </c>
      <c r="C16" s="123">
        <v>2052</v>
      </c>
      <c r="D16" s="123">
        <v>1903</v>
      </c>
      <c r="E16" s="123">
        <v>2081</v>
      </c>
      <c r="F16" s="123">
        <v>126</v>
      </c>
      <c r="G16" s="126">
        <f t="shared" si="0"/>
        <v>8244</v>
      </c>
    </row>
    <row r="17" spans="1:11" x14ac:dyDescent="0.25">
      <c r="A17" s="4" t="s">
        <v>96</v>
      </c>
      <c r="B17" s="123">
        <v>2428</v>
      </c>
      <c r="C17" s="123">
        <v>2332</v>
      </c>
      <c r="D17" s="123">
        <v>1348</v>
      </c>
      <c r="E17" s="123">
        <v>2299</v>
      </c>
      <c r="F17" s="123">
        <v>33</v>
      </c>
      <c r="G17" s="126">
        <f t="shared" si="0"/>
        <v>8407</v>
      </c>
    </row>
    <row r="18" spans="1:11" x14ac:dyDescent="0.25">
      <c r="A18" s="4" t="s">
        <v>97</v>
      </c>
      <c r="B18" s="123">
        <v>2442</v>
      </c>
      <c r="C18" s="123">
        <v>2329</v>
      </c>
      <c r="D18" s="123">
        <v>1431</v>
      </c>
      <c r="E18" s="123">
        <v>2314</v>
      </c>
      <c r="F18" s="123">
        <v>29</v>
      </c>
      <c r="G18" s="126">
        <f t="shared" si="0"/>
        <v>8516</v>
      </c>
    </row>
    <row r="20" spans="1:11" x14ac:dyDescent="0.25">
      <c r="A20" s="4" t="s">
        <v>89</v>
      </c>
      <c r="B20" s="6">
        <v>2521</v>
      </c>
    </row>
    <row r="23" spans="1:11" x14ac:dyDescent="0.25">
      <c r="A23" s="144" t="s">
        <v>275</v>
      </c>
      <c r="B23" s="144"/>
      <c r="C23" s="144"/>
      <c r="D23" s="144"/>
      <c r="E23" s="144"/>
      <c r="F23" s="144"/>
      <c r="G23" s="144"/>
      <c r="H23" s="144"/>
      <c r="I23" s="144"/>
    </row>
    <row r="24" spans="1:11" x14ac:dyDescent="0.25">
      <c r="A24" s="144"/>
      <c r="B24" s="144"/>
      <c r="C24" s="144"/>
      <c r="D24" s="144"/>
      <c r="E24" s="144"/>
      <c r="F24" s="144"/>
      <c r="G24" s="144"/>
      <c r="H24" s="144"/>
      <c r="I24" s="144"/>
    </row>
    <row r="25" spans="1:11" x14ac:dyDescent="0.25">
      <c r="A25" s="144"/>
      <c r="B25" s="144"/>
      <c r="C25" s="144"/>
      <c r="D25" s="144"/>
      <c r="E25" s="144"/>
      <c r="F25" s="144"/>
      <c r="G25" s="144"/>
      <c r="H25" s="144"/>
      <c r="I25" s="144"/>
    </row>
    <row r="26" spans="1:11" x14ac:dyDescent="0.25">
      <c r="A26" s="144"/>
      <c r="B26" s="144"/>
      <c r="C26" s="144"/>
      <c r="D26" s="144"/>
      <c r="E26" s="144"/>
      <c r="F26" s="144"/>
      <c r="G26" s="144"/>
      <c r="H26" s="144"/>
      <c r="I26" s="144"/>
      <c r="K26" s="133" t="s">
        <v>296</v>
      </c>
    </row>
    <row r="27" spans="1:11" x14ac:dyDescent="0.25">
      <c r="A27" s="144"/>
      <c r="B27" s="144"/>
      <c r="C27" s="144"/>
      <c r="D27" s="144"/>
      <c r="E27" s="144"/>
      <c r="F27" s="144"/>
      <c r="G27" s="144"/>
      <c r="H27" s="144"/>
      <c r="I27" s="144"/>
    </row>
    <row r="28" spans="1:11" x14ac:dyDescent="0.25">
      <c r="A28" s="144"/>
      <c r="B28" s="144"/>
      <c r="C28" s="144"/>
      <c r="D28" s="144"/>
      <c r="E28" s="144"/>
      <c r="F28" s="144"/>
      <c r="G28" s="144"/>
      <c r="H28" s="144"/>
      <c r="I28" s="144"/>
    </row>
    <row r="29" spans="1:11" x14ac:dyDescent="0.25">
      <c r="A29" s="144"/>
      <c r="B29" s="144"/>
      <c r="C29" s="144"/>
      <c r="D29" s="144"/>
      <c r="E29" s="144"/>
      <c r="F29" s="144"/>
      <c r="G29" s="144"/>
      <c r="H29" s="144"/>
      <c r="I29" s="144"/>
    </row>
    <row r="30" spans="1:11" x14ac:dyDescent="0.25">
      <c r="A30" s="144"/>
      <c r="B30" s="144"/>
      <c r="C30" s="144"/>
      <c r="D30" s="144"/>
      <c r="E30" s="144"/>
      <c r="F30" s="144"/>
      <c r="G30" s="144"/>
      <c r="H30" s="144"/>
      <c r="I30" s="144"/>
    </row>
    <row r="31" spans="1:11" x14ac:dyDescent="0.25">
      <c r="A31" s="144"/>
      <c r="B31" s="144"/>
      <c r="C31" s="144"/>
      <c r="D31" s="144"/>
      <c r="E31" s="144"/>
      <c r="F31" s="144"/>
      <c r="G31" s="144"/>
      <c r="H31" s="144"/>
      <c r="I31" s="144"/>
    </row>
    <row r="32" spans="1:11" x14ac:dyDescent="0.25">
      <c r="A32" s="144"/>
      <c r="B32" s="144"/>
      <c r="C32" s="144"/>
      <c r="D32" s="144"/>
      <c r="E32" s="144"/>
      <c r="F32" s="144"/>
      <c r="G32" s="144"/>
      <c r="H32" s="144"/>
      <c r="I32" s="144"/>
    </row>
    <row r="33" spans="1:9" x14ac:dyDescent="0.25">
      <c r="A33" s="144"/>
      <c r="B33" s="144"/>
      <c r="C33" s="144"/>
      <c r="D33" s="144"/>
      <c r="E33" s="144"/>
      <c r="F33" s="144"/>
      <c r="G33" s="144"/>
      <c r="H33" s="144"/>
      <c r="I33" s="144"/>
    </row>
  </sheetData>
  <autoFilter ref="A3:G3">
    <sortState ref="A4:G18">
      <sortCondition ref="G3"/>
    </sortState>
  </autoFilter>
  <mergeCells count="3">
    <mergeCell ref="B2:F2"/>
    <mergeCell ref="A1:M1"/>
    <mergeCell ref="A23:I33"/>
  </mergeCells>
  <pageMargins left="0.511811024" right="0.511811024" top="0.78740157499999996" bottom="0.78740157499999996" header="0.31496062000000002" footer="0.31496062000000002"/>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26"/>
  <sheetViews>
    <sheetView workbookViewId="0">
      <selection activeCell="G15" sqref="G15"/>
    </sheetView>
  </sheetViews>
  <sheetFormatPr defaultRowHeight="15" x14ac:dyDescent="0.25"/>
  <cols>
    <col min="1" max="1" width="108" bestFit="1" customWidth="1"/>
  </cols>
  <sheetData>
    <row r="1" spans="1:13" x14ac:dyDescent="0.25">
      <c r="A1" s="147" t="s">
        <v>252</v>
      </c>
      <c r="B1" s="147"/>
      <c r="C1" s="147"/>
    </row>
    <row r="2" spans="1:13" x14ac:dyDescent="0.25">
      <c r="A2" s="127"/>
      <c r="B2" s="127"/>
      <c r="C2" s="127"/>
    </row>
    <row r="3" spans="1:13" x14ac:dyDescent="0.25">
      <c r="A3" t="s">
        <v>122</v>
      </c>
      <c r="B3">
        <v>208</v>
      </c>
      <c r="C3" s="21">
        <f t="shared" ref="C3:C24" si="0">B3/B$26</f>
        <v>8.250694168980563E-2</v>
      </c>
      <c r="E3" s="144" t="s">
        <v>276</v>
      </c>
      <c r="F3" s="144"/>
      <c r="G3" s="144"/>
      <c r="H3" s="144"/>
      <c r="I3" s="144"/>
      <c r="J3" s="144"/>
      <c r="K3" s="144"/>
      <c r="L3" s="144"/>
      <c r="M3" s="144"/>
    </row>
    <row r="4" spans="1:13" x14ac:dyDescent="0.25">
      <c r="A4" t="s">
        <v>114</v>
      </c>
      <c r="B4">
        <v>1827</v>
      </c>
      <c r="C4" s="21">
        <f t="shared" si="0"/>
        <v>0.72471241570805234</v>
      </c>
      <c r="E4" s="144"/>
      <c r="F4" s="144"/>
      <c r="G4" s="144"/>
      <c r="H4" s="144"/>
      <c r="I4" s="144"/>
      <c r="J4" s="144"/>
      <c r="K4" s="144"/>
      <c r="L4" s="144"/>
      <c r="M4" s="144"/>
    </row>
    <row r="5" spans="1:13" x14ac:dyDescent="0.25">
      <c r="A5" t="s">
        <v>115</v>
      </c>
      <c r="B5">
        <v>1897</v>
      </c>
      <c r="C5" s="21">
        <f t="shared" si="0"/>
        <v>0.75247917493058314</v>
      </c>
      <c r="E5" s="144"/>
      <c r="F5" s="144"/>
      <c r="G5" s="144"/>
      <c r="H5" s="144"/>
      <c r="I5" s="144"/>
      <c r="J5" s="144"/>
      <c r="K5" s="144"/>
      <c r="L5" s="144"/>
      <c r="M5" s="144"/>
    </row>
    <row r="6" spans="1:13" x14ac:dyDescent="0.25">
      <c r="A6" t="s">
        <v>38</v>
      </c>
      <c r="B6">
        <v>2016</v>
      </c>
      <c r="C6" s="21">
        <f t="shared" si="0"/>
        <v>0.79968266560888535</v>
      </c>
      <c r="E6" s="144"/>
      <c r="F6" s="144"/>
      <c r="G6" s="144"/>
      <c r="H6" s="144"/>
      <c r="I6" s="144"/>
      <c r="J6" s="144"/>
      <c r="K6" s="144"/>
      <c r="L6" s="144"/>
      <c r="M6" s="144"/>
    </row>
    <row r="7" spans="1:13" x14ac:dyDescent="0.25">
      <c r="A7" t="s">
        <v>44</v>
      </c>
      <c r="B7">
        <v>2115</v>
      </c>
      <c r="C7" s="21">
        <f t="shared" si="0"/>
        <v>0.83895279650932175</v>
      </c>
      <c r="E7" s="144"/>
      <c r="F7" s="144"/>
      <c r="G7" s="144"/>
      <c r="H7" s="144"/>
      <c r="I7" s="144"/>
      <c r="J7" s="144"/>
      <c r="K7" s="144"/>
      <c r="L7" s="144"/>
      <c r="M7" s="144"/>
    </row>
    <row r="8" spans="1:13" x14ac:dyDescent="0.25">
      <c r="A8" t="s">
        <v>43</v>
      </c>
      <c r="B8">
        <v>2177</v>
      </c>
      <c r="C8" s="21">
        <f t="shared" si="0"/>
        <v>0.86354621182070612</v>
      </c>
      <c r="E8" s="144"/>
      <c r="F8" s="144"/>
      <c r="G8" s="144"/>
      <c r="H8" s="144"/>
      <c r="I8" s="144"/>
      <c r="J8" s="144"/>
      <c r="K8" s="144"/>
      <c r="L8" s="144"/>
      <c r="M8" s="144"/>
    </row>
    <row r="9" spans="1:13" x14ac:dyDescent="0.25">
      <c r="A9" t="s">
        <v>41</v>
      </c>
      <c r="B9">
        <v>2251</v>
      </c>
      <c r="C9" s="21">
        <f t="shared" si="0"/>
        <v>0.89289964299880997</v>
      </c>
      <c r="E9" s="144"/>
      <c r="F9" s="144"/>
      <c r="G9" s="144"/>
      <c r="H9" s="144"/>
      <c r="I9" s="144"/>
      <c r="J9" s="144"/>
      <c r="K9" s="144"/>
      <c r="L9" s="144"/>
      <c r="M9" s="144"/>
    </row>
    <row r="10" spans="1:13" x14ac:dyDescent="0.25">
      <c r="A10" t="s">
        <v>117</v>
      </c>
      <c r="B10">
        <v>2308</v>
      </c>
      <c r="C10" s="21">
        <f t="shared" si="0"/>
        <v>0.91550971836572792</v>
      </c>
      <c r="E10" s="144"/>
      <c r="F10" s="144"/>
      <c r="G10" s="144"/>
      <c r="H10" s="144"/>
      <c r="I10" s="144"/>
      <c r="J10" s="144"/>
      <c r="K10" s="144"/>
      <c r="L10" s="144"/>
      <c r="M10" s="144"/>
    </row>
    <row r="11" spans="1:13" x14ac:dyDescent="0.25">
      <c r="A11" t="s">
        <v>47</v>
      </c>
      <c r="B11">
        <v>2356</v>
      </c>
      <c r="C11" s="21">
        <f t="shared" si="0"/>
        <v>0.93454978183260606</v>
      </c>
      <c r="E11" s="144"/>
      <c r="F11" s="144"/>
      <c r="G11" s="144"/>
      <c r="H11" s="144"/>
      <c r="I11" s="144"/>
      <c r="J11" s="144"/>
      <c r="K11" s="144"/>
      <c r="L11" s="144"/>
      <c r="M11" s="144"/>
    </row>
    <row r="12" spans="1:13" x14ac:dyDescent="0.25">
      <c r="A12" t="s">
        <v>48</v>
      </c>
      <c r="B12">
        <v>2359</v>
      </c>
      <c r="C12" s="21">
        <f t="shared" si="0"/>
        <v>0.93573978579928596</v>
      </c>
      <c r="E12" s="144"/>
      <c r="F12" s="144"/>
      <c r="G12" s="144"/>
      <c r="H12" s="144"/>
      <c r="I12" s="144"/>
      <c r="J12" s="144"/>
      <c r="K12" s="144"/>
      <c r="L12" s="144"/>
      <c r="M12" s="144"/>
    </row>
    <row r="13" spans="1:13" x14ac:dyDescent="0.25">
      <c r="A13" t="s">
        <v>112</v>
      </c>
      <c r="B13">
        <v>2434</v>
      </c>
      <c r="C13" s="21">
        <f t="shared" si="0"/>
        <v>0.96548988496628319</v>
      </c>
      <c r="E13" s="144"/>
      <c r="F13" s="144"/>
      <c r="G13" s="144"/>
      <c r="H13" s="144"/>
      <c r="I13" s="144"/>
      <c r="J13" s="144"/>
      <c r="K13" s="144"/>
      <c r="L13" s="144"/>
      <c r="M13" s="144"/>
    </row>
    <row r="14" spans="1:13" x14ac:dyDescent="0.25">
      <c r="A14" t="s">
        <v>33</v>
      </c>
      <c r="B14">
        <v>2461</v>
      </c>
      <c r="C14" s="21">
        <f t="shared" si="0"/>
        <v>0.97619992066640227</v>
      </c>
    </row>
    <row r="15" spans="1:13" x14ac:dyDescent="0.25">
      <c r="A15" t="s">
        <v>46</v>
      </c>
      <c r="B15">
        <v>2463</v>
      </c>
      <c r="C15" s="21">
        <f t="shared" si="0"/>
        <v>0.97699325664418879</v>
      </c>
      <c r="G15" s="133" t="s">
        <v>292</v>
      </c>
    </row>
    <row r="16" spans="1:13" x14ac:dyDescent="0.25">
      <c r="A16" t="s">
        <v>35</v>
      </c>
      <c r="B16">
        <v>2472</v>
      </c>
      <c r="C16" s="21">
        <f t="shared" si="0"/>
        <v>0.98056326854422848</v>
      </c>
    </row>
    <row r="17" spans="1:3" x14ac:dyDescent="0.25">
      <c r="A17" t="s">
        <v>113</v>
      </c>
      <c r="B17">
        <v>2473</v>
      </c>
      <c r="C17" s="21">
        <f t="shared" si="0"/>
        <v>0.98095993653312175</v>
      </c>
    </row>
    <row r="18" spans="1:3" x14ac:dyDescent="0.25">
      <c r="A18" t="s">
        <v>121</v>
      </c>
      <c r="B18">
        <v>2474</v>
      </c>
      <c r="C18" s="21">
        <f t="shared" si="0"/>
        <v>0.98135660452201512</v>
      </c>
    </row>
    <row r="19" spans="1:3" x14ac:dyDescent="0.25">
      <c r="A19" t="s">
        <v>120</v>
      </c>
      <c r="B19">
        <v>2483</v>
      </c>
      <c r="C19" s="21">
        <f t="shared" si="0"/>
        <v>0.9849266164220547</v>
      </c>
    </row>
    <row r="20" spans="1:3" x14ac:dyDescent="0.25">
      <c r="A20" t="s">
        <v>45</v>
      </c>
      <c r="B20">
        <v>2496</v>
      </c>
      <c r="C20" s="21">
        <f t="shared" si="0"/>
        <v>0.99008330027766756</v>
      </c>
    </row>
    <row r="21" spans="1:3" x14ac:dyDescent="0.25">
      <c r="A21" t="s">
        <v>119</v>
      </c>
      <c r="B21">
        <v>2498</v>
      </c>
      <c r="C21" s="21">
        <f t="shared" si="0"/>
        <v>0.99087663625545419</v>
      </c>
    </row>
    <row r="22" spans="1:3" x14ac:dyDescent="0.25">
      <c r="A22" t="s">
        <v>118</v>
      </c>
      <c r="B22">
        <v>2507</v>
      </c>
      <c r="C22" s="21">
        <f t="shared" si="0"/>
        <v>0.99444664815549388</v>
      </c>
    </row>
    <row r="23" spans="1:3" x14ac:dyDescent="0.25">
      <c r="A23" t="s">
        <v>111</v>
      </c>
      <c r="B23">
        <v>2509</v>
      </c>
      <c r="C23" s="21">
        <f t="shared" si="0"/>
        <v>0.99523998413328041</v>
      </c>
    </row>
    <row r="24" spans="1:3" x14ac:dyDescent="0.25">
      <c r="A24" t="s">
        <v>116</v>
      </c>
      <c r="B24">
        <v>2509</v>
      </c>
      <c r="C24" s="21">
        <f t="shared" si="0"/>
        <v>0.99523998413328041</v>
      </c>
    </row>
    <row r="26" spans="1:3" x14ac:dyDescent="0.25">
      <c r="A26" s="4" t="s">
        <v>89</v>
      </c>
      <c r="B26" s="6">
        <v>2521</v>
      </c>
    </row>
  </sheetData>
  <autoFilter ref="A2:C2">
    <sortState ref="A3:C24">
      <sortCondition ref="C2"/>
    </sortState>
  </autoFilter>
  <mergeCells count="2">
    <mergeCell ref="A1:C1"/>
    <mergeCell ref="E3:M13"/>
  </mergeCells>
  <pageMargins left="0.511811024" right="0.511811024" top="0.78740157499999996" bottom="0.78740157499999996" header="0.31496062000000002" footer="0.31496062000000002"/>
  <pageSetup paperSize="9"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Q34"/>
  <sheetViews>
    <sheetView workbookViewId="0">
      <selection activeCell="B34" sqref="B34"/>
    </sheetView>
  </sheetViews>
  <sheetFormatPr defaultColWidth="8.85546875" defaultRowHeight="15" x14ac:dyDescent="0.25"/>
  <cols>
    <col min="1" max="1" width="24.28515625" bestFit="1" customWidth="1"/>
    <col min="2" max="2" width="23.5703125" bestFit="1" customWidth="1"/>
    <col min="3" max="3" width="7.140625" bestFit="1" customWidth="1"/>
    <col min="4" max="4" width="21.7109375" customWidth="1"/>
    <col min="5" max="5" width="26.85546875" customWidth="1"/>
  </cols>
  <sheetData>
    <row r="1" spans="1:17" ht="15.75" x14ac:dyDescent="0.25">
      <c r="A1" s="148" t="s">
        <v>303</v>
      </c>
      <c r="B1" s="148"/>
      <c r="C1" s="148"/>
      <c r="D1" s="148"/>
      <c r="E1" s="148"/>
      <c r="F1" s="148"/>
      <c r="G1" s="148"/>
      <c r="H1" s="148"/>
      <c r="I1" s="48"/>
      <c r="J1" s="48"/>
      <c r="K1" s="48"/>
      <c r="L1" s="48"/>
      <c r="M1" s="48"/>
      <c r="N1" s="48"/>
      <c r="O1" s="48"/>
      <c r="P1" s="48"/>
      <c r="Q1" s="48"/>
    </row>
    <row r="2" spans="1:17" ht="15.75" x14ac:dyDescent="0.25">
      <c r="A2" s="47"/>
      <c r="B2" s="47"/>
      <c r="C2" s="47"/>
      <c r="D2" s="47"/>
      <c r="E2" s="47"/>
      <c r="F2" s="47"/>
      <c r="G2" s="48"/>
      <c r="H2" s="48"/>
      <c r="I2" s="48"/>
      <c r="J2" s="48"/>
      <c r="K2" s="48"/>
      <c r="L2" s="48"/>
      <c r="M2" s="48"/>
      <c r="N2" s="48"/>
      <c r="O2" s="48"/>
      <c r="P2" s="48"/>
      <c r="Q2" s="48"/>
    </row>
    <row r="3" spans="1:17" ht="30" x14ac:dyDescent="0.25">
      <c r="A3" s="30">
        <v>2016</v>
      </c>
      <c r="B3" s="49" t="s">
        <v>123</v>
      </c>
    </row>
    <row r="4" spans="1:17" x14ac:dyDescent="0.25">
      <c r="A4" s="30" t="s">
        <v>76</v>
      </c>
      <c r="B4" s="50">
        <v>58</v>
      </c>
      <c r="C4" s="21">
        <f t="shared" ref="C4:C10" si="0">B4/B$10</f>
        <v>1.0582010582010581E-2</v>
      </c>
      <c r="E4" s="53"/>
    </row>
    <row r="5" spans="1:17" x14ac:dyDescent="0.25">
      <c r="A5" s="30" t="s">
        <v>131</v>
      </c>
      <c r="B5" s="50">
        <v>77</v>
      </c>
      <c r="C5" s="21">
        <f t="shared" si="0"/>
        <v>1.40485312899106E-2</v>
      </c>
    </row>
    <row r="6" spans="1:17" x14ac:dyDescent="0.25">
      <c r="A6" s="30" t="s">
        <v>129</v>
      </c>
      <c r="B6" s="50">
        <v>161</v>
      </c>
      <c r="C6" s="21">
        <f t="shared" si="0"/>
        <v>2.9374201787994891E-2</v>
      </c>
    </row>
    <row r="7" spans="1:17" ht="30" x14ac:dyDescent="0.25">
      <c r="A7" s="30" t="s">
        <v>130</v>
      </c>
      <c r="B7" s="50">
        <v>421</v>
      </c>
      <c r="C7" s="21">
        <f t="shared" si="0"/>
        <v>7.681080094873198E-2</v>
      </c>
    </row>
    <row r="8" spans="1:17" x14ac:dyDescent="0.25">
      <c r="A8" s="30" t="s">
        <v>128</v>
      </c>
      <c r="B8" s="50">
        <v>1319</v>
      </c>
      <c r="C8" s="21">
        <f t="shared" si="0"/>
        <v>0.24064951651158548</v>
      </c>
    </row>
    <row r="9" spans="1:17" x14ac:dyDescent="0.25">
      <c r="A9" s="30" t="s">
        <v>78</v>
      </c>
      <c r="B9" s="50">
        <v>3663</v>
      </c>
      <c r="C9" s="21">
        <f t="shared" si="0"/>
        <v>0.66830870279146137</v>
      </c>
    </row>
    <row r="10" spans="1:17" ht="30" x14ac:dyDescent="0.25">
      <c r="A10" s="51" t="s">
        <v>127</v>
      </c>
      <c r="B10" s="52">
        <v>5481</v>
      </c>
      <c r="C10" s="21">
        <f t="shared" si="0"/>
        <v>1</v>
      </c>
    </row>
    <row r="11" spans="1:17" ht="15.75" x14ac:dyDescent="0.25">
      <c r="A11" s="48"/>
      <c r="B11" s="48"/>
      <c r="C11" s="48"/>
      <c r="E11" s="48"/>
      <c r="F11" s="48"/>
      <c r="G11" s="48"/>
      <c r="H11" s="48"/>
      <c r="I11" s="48"/>
      <c r="J11" s="48"/>
      <c r="K11" s="48"/>
      <c r="L11" s="48"/>
      <c r="M11" s="48"/>
      <c r="N11" s="48"/>
      <c r="O11" s="48"/>
      <c r="P11" s="48"/>
      <c r="Q11" s="48"/>
    </row>
    <row r="12" spans="1:17" ht="30" x14ac:dyDescent="0.25">
      <c r="A12" s="30">
        <v>2015</v>
      </c>
      <c r="B12" s="49" t="s">
        <v>123</v>
      </c>
    </row>
    <row r="13" spans="1:17" x14ac:dyDescent="0.25">
      <c r="A13" s="30" t="s">
        <v>76</v>
      </c>
      <c r="B13" s="50">
        <v>152</v>
      </c>
      <c r="C13" s="21">
        <f t="shared" ref="C13:C19" si="1">B13/B$19</f>
        <v>2.7636363636363636E-2</v>
      </c>
    </row>
    <row r="14" spans="1:17" x14ac:dyDescent="0.25">
      <c r="A14" s="30" t="s">
        <v>124</v>
      </c>
      <c r="B14" s="50">
        <v>161</v>
      </c>
      <c r="C14" s="21">
        <f t="shared" si="1"/>
        <v>2.9272727272727273E-2</v>
      </c>
    </row>
    <row r="15" spans="1:17" x14ac:dyDescent="0.25">
      <c r="A15" s="30" t="s">
        <v>75</v>
      </c>
      <c r="B15" s="50">
        <v>186</v>
      </c>
      <c r="C15" s="21">
        <f t="shared" si="1"/>
        <v>3.3818181818181817E-2</v>
      </c>
    </row>
    <row r="16" spans="1:17" ht="30" x14ac:dyDescent="0.25">
      <c r="A16" s="30" t="s">
        <v>77</v>
      </c>
      <c r="B16" s="50">
        <v>955</v>
      </c>
      <c r="C16" s="21">
        <f t="shared" si="1"/>
        <v>0.17363636363636364</v>
      </c>
    </row>
    <row r="17" spans="1:15" x14ac:dyDescent="0.25">
      <c r="A17" s="30" t="s">
        <v>125</v>
      </c>
      <c r="B17" s="50">
        <v>1590</v>
      </c>
      <c r="C17" s="21">
        <f t="shared" si="1"/>
        <v>0.28909090909090907</v>
      </c>
    </row>
    <row r="18" spans="1:15" x14ac:dyDescent="0.25">
      <c r="A18" s="30" t="s">
        <v>78</v>
      </c>
      <c r="B18" s="50">
        <v>2831</v>
      </c>
      <c r="C18" s="21">
        <f t="shared" si="1"/>
        <v>0.5147272727272727</v>
      </c>
    </row>
    <row r="19" spans="1:15" ht="60" x14ac:dyDescent="0.25">
      <c r="A19" s="51" t="s">
        <v>126</v>
      </c>
      <c r="B19" s="52">
        <v>5500</v>
      </c>
      <c r="C19" s="21">
        <f t="shared" si="1"/>
        <v>1</v>
      </c>
    </row>
    <row r="22" spans="1:15" ht="15" customHeight="1" x14ac:dyDescent="0.25">
      <c r="A22" s="137" t="s">
        <v>305</v>
      </c>
      <c r="B22" s="137"/>
      <c r="C22" s="137"/>
      <c r="D22" s="137"/>
      <c r="E22" s="137"/>
      <c r="F22" s="137"/>
      <c r="G22" s="137"/>
      <c r="H22" s="137"/>
      <c r="I22" s="137"/>
      <c r="J22" s="137"/>
      <c r="K22" s="137"/>
    </row>
    <row r="23" spans="1:15" x14ac:dyDescent="0.25">
      <c r="A23" s="137"/>
      <c r="B23" s="137"/>
      <c r="C23" s="137"/>
      <c r="D23" s="137"/>
      <c r="E23" s="137"/>
      <c r="F23" s="137"/>
      <c r="G23" s="137"/>
      <c r="H23" s="137"/>
      <c r="I23" s="137"/>
      <c r="J23" s="137"/>
      <c r="K23" s="137"/>
    </row>
    <row r="24" spans="1:15" x14ac:dyDescent="0.25">
      <c r="A24" s="137"/>
      <c r="B24" s="137"/>
      <c r="C24" s="137"/>
      <c r="D24" s="137"/>
      <c r="E24" s="137"/>
      <c r="F24" s="137"/>
      <c r="G24" s="137"/>
      <c r="H24" s="137"/>
      <c r="I24" s="137"/>
      <c r="J24" s="137"/>
      <c r="K24" s="137"/>
    </row>
    <row r="25" spans="1:15" x14ac:dyDescent="0.25">
      <c r="A25" s="137"/>
      <c r="B25" s="137"/>
      <c r="C25" s="137"/>
      <c r="D25" s="137"/>
      <c r="E25" s="137"/>
      <c r="F25" s="137"/>
      <c r="G25" s="137"/>
      <c r="H25" s="137"/>
      <c r="I25" s="137"/>
      <c r="J25" s="137"/>
      <c r="K25" s="137"/>
    </row>
    <row r="26" spans="1:15" x14ac:dyDescent="0.25">
      <c r="A26" s="137"/>
      <c r="B26" s="137"/>
      <c r="C26" s="137"/>
      <c r="D26" s="137"/>
      <c r="E26" s="137"/>
      <c r="F26" s="137"/>
      <c r="G26" s="137"/>
      <c r="H26" s="137"/>
      <c r="I26" s="137"/>
      <c r="J26" s="137"/>
      <c r="K26" s="137"/>
    </row>
    <row r="27" spans="1:15" x14ac:dyDescent="0.25">
      <c r="A27" s="137"/>
      <c r="B27" s="137"/>
      <c r="C27" s="137"/>
      <c r="D27" s="137"/>
      <c r="E27" s="137"/>
      <c r="F27" s="137"/>
      <c r="G27" s="137"/>
      <c r="H27" s="137"/>
      <c r="I27" s="137"/>
      <c r="J27" s="137"/>
      <c r="K27" s="137"/>
    </row>
    <row r="28" spans="1:15" x14ac:dyDescent="0.25">
      <c r="A28" s="137"/>
      <c r="B28" s="137"/>
      <c r="C28" s="137"/>
      <c r="D28" s="137"/>
      <c r="E28" s="137"/>
      <c r="F28" s="137"/>
      <c r="G28" s="137"/>
      <c r="H28" s="137"/>
      <c r="I28" s="137"/>
      <c r="J28" s="137"/>
      <c r="K28" s="137"/>
    </row>
    <row r="29" spans="1:15" x14ac:dyDescent="0.25">
      <c r="A29" s="137"/>
      <c r="B29" s="137"/>
      <c r="C29" s="137"/>
      <c r="D29" s="137"/>
      <c r="E29" s="137"/>
      <c r="F29" s="137"/>
      <c r="G29" s="137"/>
      <c r="H29" s="137"/>
      <c r="I29" s="137"/>
      <c r="J29" s="137"/>
      <c r="K29" s="137"/>
    </row>
    <row r="30" spans="1:15" x14ac:dyDescent="0.25">
      <c r="A30" s="137"/>
      <c r="B30" s="137"/>
      <c r="C30" s="137"/>
      <c r="D30" s="137"/>
      <c r="E30" s="137"/>
      <c r="F30" s="137"/>
      <c r="G30" s="137"/>
      <c r="H30" s="137"/>
      <c r="I30" s="137"/>
      <c r="J30" s="137"/>
      <c r="K30" s="137"/>
      <c r="L30" s="13"/>
      <c r="M30" s="13"/>
      <c r="N30" s="13"/>
      <c r="O30" s="13"/>
    </row>
    <row r="31" spans="1:15" ht="15" customHeight="1" x14ac:dyDescent="0.25">
      <c r="A31" s="137"/>
      <c r="B31" s="137"/>
      <c r="C31" s="137"/>
      <c r="D31" s="137"/>
      <c r="E31" s="137"/>
      <c r="F31" s="137"/>
      <c r="G31" s="137"/>
      <c r="H31" s="137"/>
      <c r="I31" s="137"/>
      <c r="J31" s="137"/>
      <c r="K31" s="137"/>
      <c r="L31" s="13"/>
      <c r="M31" s="13"/>
      <c r="N31" s="13"/>
      <c r="O31" s="13"/>
    </row>
    <row r="32" spans="1:15" x14ac:dyDescent="0.25">
      <c r="F32" s="13"/>
      <c r="G32" s="13"/>
      <c r="H32" s="13"/>
      <c r="I32" s="13"/>
      <c r="J32" s="13"/>
      <c r="K32" s="13"/>
      <c r="L32" s="13"/>
      <c r="M32" s="13"/>
      <c r="N32" s="13"/>
      <c r="O32" s="13"/>
    </row>
    <row r="33" spans="2:15" x14ac:dyDescent="0.25">
      <c r="F33" s="13"/>
      <c r="G33" s="13"/>
      <c r="H33" s="13"/>
      <c r="I33" s="13"/>
      <c r="J33" s="13"/>
      <c r="K33" s="13"/>
      <c r="L33" s="13"/>
      <c r="M33" s="13"/>
      <c r="N33" s="13"/>
      <c r="O33" s="13"/>
    </row>
    <row r="34" spans="2:15" x14ac:dyDescent="0.25">
      <c r="B34" s="133" t="s">
        <v>304</v>
      </c>
    </row>
  </sheetData>
  <sortState ref="A4:C9">
    <sortCondition ref="B4:B9"/>
  </sortState>
  <mergeCells count="2">
    <mergeCell ref="A1:H1"/>
    <mergeCell ref="A22:K31"/>
  </mergeCells>
  <pageMargins left="0.511811024" right="0.511811024" top="0.78740157499999996" bottom="0.78740157499999996" header="0.31496062000000002" footer="0.31496062000000002"/>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0"/>
  <sheetViews>
    <sheetView workbookViewId="0">
      <selection activeCell="C34" sqref="C34"/>
    </sheetView>
  </sheetViews>
  <sheetFormatPr defaultColWidth="8.85546875" defaultRowHeight="15" x14ac:dyDescent="0.25"/>
  <cols>
    <col min="1" max="1" width="4.140625" customWidth="1"/>
    <col min="2" max="2" width="14.7109375" customWidth="1"/>
    <col min="3" max="3" width="23.42578125" customWidth="1"/>
    <col min="4" max="4" width="23.7109375" customWidth="1"/>
    <col min="5" max="5" width="31.42578125" customWidth="1"/>
    <col min="6" max="6" width="22.42578125" customWidth="1"/>
    <col min="7" max="7" width="17.28515625" customWidth="1"/>
    <col min="10" max="10" width="13.140625" bestFit="1" customWidth="1"/>
    <col min="11" max="12" width="12.140625" bestFit="1" customWidth="1"/>
    <col min="13" max="13" width="25.5703125" bestFit="1" customWidth="1"/>
    <col min="14" max="14" width="18.140625" bestFit="1" customWidth="1"/>
  </cols>
  <sheetData>
    <row r="1" spans="1:16" ht="15.75" x14ac:dyDescent="0.25">
      <c r="A1" s="149" t="s">
        <v>306</v>
      </c>
      <c r="B1" s="149"/>
      <c r="C1" s="149"/>
      <c r="D1" s="149"/>
      <c r="E1" s="149"/>
      <c r="F1" s="149"/>
      <c r="G1" s="149"/>
    </row>
    <row r="2" spans="1:16" ht="15.75" x14ac:dyDescent="0.25">
      <c r="A2" s="75"/>
      <c r="B2" s="75"/>
      <c r="C2" s="75"/>
      <c r="D2" s="75"/>
      <c r="E2" s="75"/>
      <c r="F2" s="75"/>
      <c r="G2" s="75"/>
    </row>
    <row r="3" spans="1:16" ht="78.75" customHeight="1" x14ac:dyDescent="0.25">
      <c r="A3" s="55"/>
      <c r="B3" s="57">
        <v>2016</v>
      </c>
      <c r="C3" s="58" t="s">
        <v>132</v>
      </c>
      <c r="D3" s="58" t="s">
        <v>133</v>
      </c>
      <c r="E3" s="58" t="s">
        <v>134</v>
      </c>
      <c r="F3" s="59" t="s">
        <v>135</v>
      </c>
      <c r="G3" s="56"/>
      <c r="H3" s="60" t="s">
        <v>56</v>
      </c>
      <c r="J3" s="1" t="s">
        <v>137</v>
      </c>
      <c r="K3" s="72" t="s">
        <v>132</v>
      </c>
      <c r="L3" s="18" t="s">
        <v>133</v>
      </c>
      <c r="M3" s="18" t="s">
        <v>134</v>
      </c>
      <c r="N3" s="18" t="s">
        <v>135</v>
      </c>
      <c r="P3" s="22"/>
    </row>
    <row r="4" spans="1:16" ht="15.75" x14ac:dyDescent="0.25">
      <c r="A4" s="54"/>
      <c r="B4" s="61" t="s">
        <v>61</v>
      </c>
      <c r="C4" s="62">
        <v>40</v>
      </c>
      <c r="D4" s="62">
        <v>109</v>
      </c>
      <c r="E4" s="62">
        <v>4</v>
      </c>
      <c r="F4" s="63">
        <v>74</v>
      </c>
      <c r="H4" s="64">
        <f t="shared" ref="H4:H9" si="0">SUM(C4:F4)</f>
        <v>227</v>
      </c>
      <c r="J4" s="73" t="s">
        <v>61</v>
      </c>
      <c r="K4" s="76">
        <f t="shared" ref="K4:N9" si="1">C4/$H4</f>
        <v>0.1762114537444934</v>
      </c>
      <c r="L4" s="76">
        <f t="shared" si="1"/>
        <v>0.48017621145374451</v>
      </c>
      <c r="M4" s="76">
        <f t="shared" si="1"/>
        <v>1.7621145374449341E-2</v>
      </c>
      <c r="N4" s="76">
        <f t="shared" si="1"/>
        <v>0.32599118942731276</v>
      </c>
      <c r="P4" s="22"/>
    </row>
    <row r="5" spans="1:16" ht="15.75" x14ac:dyDescent="0.25">
      <c r="A5" s="55"/>
      <c r="B5" s="65" t="s">
        <v>62</v>
      </c>
      <c r="C5" s="66">
        <v>165</v>
      </c>
      <c r="D5" s="66">
        <v>486</v>
      </c>
      <c r="E5" s="66">
        <v>25</v>
      </c>
      <c r="F5" s="67">
        <v>291</v>
      </c>
      <c r="H5" s="64">
        <f t="shared" si="0"/>
        <v>967</v>
      </c>
      <c r="J5" s="74" t="s">
        <v>62</v>
      </c>
      <c r="K5" s="76">
        <f t="shared" si="1"/>
        <v>0.17063081695966908</v>
      </c>
      <c r="L5" s="76">
        <f t="shared" si="1"/>
        <v>0.50258531540847984</v>
      </c>
      <c r="M5" s="76">
        <f t="shared" si="1"/>
        <v>2.5853154084798345E-2</v>
      </c>
      <c r="N5" s="76">
        <f t="shared" si="1"/>
        <v>0.30093071354705275</v>
      </c>
      <c r="P5" s="22"/>
    </row>
    <row r="6" spans="1:16" ht="15.75" x14ac:dyDescent="0.25">
      <c r="A6" s="55"/>
      <c r="B6" s="61" t="s">
        <v>63</v>
      </c>
      <c r="C6" s="62">
        <v>93</v>
      </c>
      <c r="D6" s="62">
        <v>295</v>
      </c>
      <c r="E6" s="62">
        <v>103</v>
      </c>
      <c r="F6" s="63">
        <v>221</v>
      </c>
      <c r="H6" s="64">
        <f t="shared" si="0"/>
        <v>712</v>
      </c>
      <c r="J6" s="74" t="s">
        <v>63</v>
      </c>
      <c r="K6" s="76">
        <f t="shared" si="1"/>
        <v>0.1306179775280899</v>
      </c>
      <c r="L6" s="76">
        <f t="shared" si="1"/>
        <v>0.4143258426966292</v>
      </c>
      <c r="M6" s="76">
        <f t="shared" si="1"/>
        <v>0.1446629213483146</v>
      </c>
      <c r="N6" s="76">
        <f t="shared" si="1"/>
        <v>0.3103932584269663</v>
      </c>
      <c r="P6" s="22"/>
    </row>
    <row r="7" spans="1:16" ht="15.75" x14ac:dyDescent="0.25">
      <c r="A7" s="55"/>
      <c r="B7" s="65" t="s">
        <v>64</v>
      </c>
      <c r="C7" s="66">
        <v>47</v>
      </c>
      <c r="D7" s="66">
        <v>144</v>
      </c>
      <c r="E7" s="66">
        <v>34</v>
      </c>
      <c r="F7" s="67">
        <v>167</v>
      </c>
      <c r="H7" s="64">
        <f t="shared" si="0"/>
        <v>392</v>
      </c>
      <c r="J7" s="74" t="s">
        <v>64</v>
      </c>
      <c r="K7" s="76">
        <f t="shared" si="1"/>
        <v>0.11989795918367346</v>
      </c>
      <c r="L7" s="76">
        <f t="shared" si="1"/>
        <v>0.36734693877551022</v>
      </c>
      <c r="M7" s="76">
        <f t="shared" si="1"/>
        <v>8.673469387755102E-2</v>
      </c>
      <c r="N7" s="76">
        <f t="shared" si="1"/>
        <v>0.42602040816326531</v>
      </c>
      <c r="P7" s="22"/>
    </row>
    <row r="8" spans="1:16" ht="15.75" x14ac:dyDescent="0.25">
      <c r="A8" s="55"/>
      <c r="B8" s="61" t="s">
        <v>65</v>
      </c>
      <c r="C8" s="62">
        <v>29</v>
      </c>
      <c r="D8" s="62">
        <v>129</v>
      </c>
      <c r="E8" s="62">
        <v>19</v>
      </c>
      <c r="F8" s="63">
        <v>46</v>
      </c>
      <c r="H8" s="64">
        <f t="shared" si="0"/>
        <v>223</v>
      </c>
      <c r="J8" s="74" t="s">
        <v>65</v>
      </c>
      <c r="K8" s="76">
        <f t="shared" si="1"/>
        <v>0.13004484304932734</v>
      </c>
      <c r="L8" s="76">
        <f t="shared" si="1"/>
        <v>0.57847533632286996</v>
      </c>
      <c r="M8" s="76">
        <f t="shared" si="1"/>
        <v>8.520179372197309E-2</v>
      </c>
      <c r="N8" s="76">
        <f t="shared" si="1"/>
        <v>0.20627802690582961</v>
      </c>
      <c r="P8" s="22"/>
    </row>
    <row r="9" spans="1:16" ht="15.75" x14ac:dyDescent="0.25">
      <c r="A9" s="55"/>
      <c r="B9" s="68" t="s">
        <v>136</v>
      </c>
      <c r="C9" s="69">
        <v>374</v>
      </c>
      <c r="D9" s="69">
        <v>1163</v>
      </c>
      <c r="E9" s="69">
        <v>185</v>
      </c>
      <c r="F9" s="70">
        <v>799</v>
      </c>
      <c r="G9" t="s">
        <v>138</v>
      </c>
      <c r="H9" s="64">
        <f t="shared" si="0"/>
        <v>2521</v>
      </c>
      <c r="J9" s="74" t="s">
        <v>136</v>
      </c>
      <c r="K9" s="76">
        <f t="shared" si="1"/>
        <v>0.14835382784609283</v>
      </c>
      <c r="L9" s="76">
        <f t="shared" si="1"/>
        <v>0.4613248710829036</v>
      </c>
      <c r="M9" s="76">
        <f t="shared" si="1"/>
        <v>7.338357794525982E-2</v>
      </c>
      <c r="N9" s="76">
        <f t="shared" si="1"/>
        <v>0.31693772312574375</v>
      </c>
      <c r="P9" s="22"/>
    </row>
    <row r="10" spans="1:16" ht="15.75" x14ac:dyDescent="0.25">
      <c r="A10" s="55"/>
      <c r="B10" s="77"/>
      <c r="C10" s="78"/>
      <c r="D10" s="78"/>
      <c r="E10" s="78"/>
      <c r="F10" s="78"/>
      <c r="H10" s="64"/>
      <c r="P10" s="22"/>
    </row>
    <row r="11" spans="1:16" ht="78.75" customHeight="1" x14ac:dyDescent="0.25">
      <c r="A11" s="55"/>
      <c r="B11" s="57">
        <v>2015</v>
      </c>
      <c r="C11" s="58" t="s">
        <v>132</v>
      </c>
      <c r="D11" s="58" t="s">
        <v>133</v>
      </c>
      <c r="E11" s="58" t="s">
        <v>134</v>
      </c>
      <c r="F11" s="59" t="s">
        <v>135</v>
      </c>
      <c r="G11" s="56"/>
      <c r="H11" s="60" t="s">
        <v>56</v>
      </c>
      <c r="J11" s="1" t="s">
        <v>137</v>
      </c>
      <c r="K11" s="72" t="s">
        <v>132</v>
      </c>
      <c r="L11" s="18" t="s">
        <v>133</v>
      </c>
      <c r="M11" s="18" t="s">
        <v>134</v>
      </c>
      <c r="N11" s="18" t="s">
        <v>135</v>
      </c>
      <c r="P11" s="22"/>
    </row>
    <row r="12" spans="1:16" ht="15.75" x14ac:dyDescent="0.25">
      <c r="A12" s="54"/>
      <c r="B12" s="61" t="s">
        <v>61</v>
      </c>
      <c r="C12" s="62">
        <v>47</v>
      </c>
      <c r="D12" s="62">
        <v>107</v>
      </c>
      <c r="E12" s="62">
        <v>10</v>
      </c>
      <c r="F12" s="63">
        <v>58</v>
      </c>
      <c r="H12" s="64">
        <f t="shared" ref="H12:H17" si="2">SUM(C12:F12)</f>
        <v>222</v>
      </c>
      <c r="J12" s="73" t="s">
        <v>61</v>
      </c>
      <c r="K12" s="76">
        <f t="shared" ref="K12:N17" si="3">C12/$H12</f>
        <v>0.21171171171171171</v>
      </c>
      <c r="L12" s="76">
        <f t="shared" si="3"/>
        <v>0.481981981981982</v>
      </c>
      <c r="M12" s="76">
        <f t="shared" si="3"/>
        <v>4.5045045045045043E-2</v>
      </c>
      <c r="N12" s="76">
        <f t="shared" si="3"/>
        <v>0.26126126126126126</v>
      </c>
      <c r="P12" s="22"/>
    </row>
    <row r="13" spans="1:16" ht="15.75" x14ac:dyDescent="0.25">
      <c r="A13" s="55"/>
      <c r="B13" s="65" t="s">
        <v>62</v>
      </c>
      <c r="C13" s="66">
        <v>180</v>
      </c>
      <c r="D13" s="66">
        <v>464</v>
      </c>
      <c r="E13" s="66">
        <v>24</v>
      </c>
      <c r="F13" s="67">
        <v>262</v>
      </c>
      <c r="H13" s="64">
        <f t="shared" si="2"/>
        <v>930</v>
      </c>
      <c r="J13" s="74" t="s">
        <v>62</v>
      </c>
      <c r="K13" s="76">
        <f t="shared" si="3"/>
        <v>0.19354838709677419</v>
      </c>
      <c r="L13" s="76">
        <f t="shared" si="3"/>
        <v>0.49892473118279568</v>
      </c>
      <c r="M13" s="76">
        <f t="shared" si="3"/>
        <v>2.5806451612903226E-2</v>
      </c>
      <c r="N13" s="76">
        <f t="shared" si="3"/>
        <v>0.2817204301075269</v>
      </c>
      <c r="P13" s="22"/>
    </row>
    <row r="14" spans="1:16" ht="15.75" x14ac:dyDescent="0.25">
      <c r="A14" s="55"/>
      <c r="B14" s="61" t="s">
        <v>63</v>
      </c>
      <c r="C14" s="62">
        <v>123</v>
      </c>
      <c r="D14" s="62">
        <v>287</v>
      </c>
      <c r="E14" s="62">
        <v>103</v>
      </c>
      <c r="F14" s="63">
        <v>179</v>
      </c>
      <c r="H14" s="64">
        <f t="shared" si="2"/>
        <v>692</v>
      </c>
      <c r="J14" s="74" t="s">
        <v>63</v>
      </c>
      <c r="K14" s="76">
        <f t="shared" si="3"/>
        <v>0.1777456647398844</v>
      </c>
      <c r="L14" s="76">
        <f t="shared" si="3"/>
        <v>0.41473988439306358</v>
      </c>
      <c r="M14" s="76">
        <f t="shared" si="3"/>
        <v>0.14884393063583815</v>
      </c>
      <c r="N14" s="76">
        <f t="shared" si="3"/>
        <v>0.2586705202312139</v>
      </c>
      <c r="P14" s="22"/>
    </row>
    <row r="15" spans="1:16" ht="15.75" x14ac:dyDescent="0.25">
      <c r="A15" s="55"/>
      <c r="B15" s="65" t="s">
        <v>64</v>
      </c>
      <c r="C15" s="66">
        <v>30</v>
      </c>
      <c r="D15" s="66">
        <v>165</v>
      </c>
      <c r="E15" s="66">
        <v>31</v>
      </c>
      <c r="F15" s="67">
        <v>137</v>
      </c>
      <c r="H15" s="64">
        <f t="shared" si="2"/>
        <v>363</v>
      </c>
      <c r="J15" s="74" t="s">
        <v>64</v>
      </c>
      <c r="K15" s="76">
        <f t="shared" si="3"/>
        <v>8.2644628099173556E-2</v>
      </c>
      <c r="L15" s="76">
        <f t="shared" si="3"/>
        <v>0.45454545454545453</v>
      </c>
      <c r="M15" s="76">
        <f t="shared" si="3"/>
        <v>8.5399449035812675E-2</v>
      </c>
      <c r="N15" s="76">
        <f t="shared" si="3"/>
        <v>0.37741046831955921</v>
      </c>
      <c r="P15" s="22"/>
    </row>
    <row r="16" spans="1:16" ht="15.75" x14ac:dyDescent="0.25">
      <c r="A16" s="55"/>
      <c r="B16" s="61" t="s">
        <v>65</v>
      </c>
      <c r="C16" s="62">
        <v>34</v>
      </c>
      <c r="D16" s="62">
        <v>126</v>
      </c>
      <c r="E16" s="62">
        <v>20</v>
      </c>
      <c r="F16" s="63">
        <v>48</v>
      </c>
      <c r="H16" s="64">
        <f t="shared" si="2"/>
        <v>228</v>
      </c>
      <c r="J16" s="74" t="s">
        <v>65</v>
      </c>
      <c r="K16" s="76">
        <f t="shared" si="3"/>
        <v>0.14912280701754385</v>
      </c>
      <c r="L16" s="76">
        <f t="shared" si="3"/>
        <v>0.55263157894736847</v>
      </c>
      <c r="M16" s="76">
        <f t="shared" si="3"/>
        <v>8.771929824561403E-2</v>
      </c>
      <c r="N16" s="76">
        <f t="shared" si="3"/>
        <v>0.21052631578947367</v>
      </c>
      <c r="P16" s="22"/>
    </row>
    <row r="17" spans="1:16" ht="15.75" x14ac:dyDescent="0.25">
      <c r="A17" s="55"/>
      <c r="B17" s="68" t="s">
        <v>136</v>
      </c>
      <c r="C17" s="69">
        <v>414</v>
      </c>
      <c r="D17" s="69">
        <v>1149</v>
      </c>
      <c r="E17" s="69">
        <v>188</v>
      </c>
      <c r="F17" s="70">
        <v>684</v>
      </c>
      <c r="G17" t="s">
        <v>138</v>
      </c>
      <c r="H17" s="64">
        <f t="shared" si="2"/>
        <v>2435</v>
      </c>
      <c r="J17" s="74" t="s">
        <v>136</v>
      </c>
      <c r="K17" s="76">
        <f t="shared" si="3"/>
        <v>0.17002053388090349</v>
      </c>
      <c r="L17" s="76">
        <f t="shared" si="3"/>
        <v>0.47186858316221764</v>
      </c>
      <c r="M17" s="76">
        <f t="shared" si="3"/>
        <v>7.720739219712526E-2</v>
      </c>
      <c r="N17" s="76">
        <f t="shared" si="3"/>
        <v>0.28090349075975357</v>
      </c>
      <c r="P17" s="22"/>
    </row>
    <row r="18" spans="1:16" ht="15.75" x14ac:dyDescent="0.25">
      <c r="A18" s="54"/>
      <c r="B18" s="71"/>
      <c r="C18" s="56"/>
      <c r="D18" s="56"/>
      <c r="E18" s="56"/>
      <c r="F18" s="56"/>
      <c r="G18" s="56"/>
      <c r="P18" s="22"/>
    </row>
    <row r="19" spans="1:16" ht="15" customHeight="1" x14ac:dyDescent="0.25">
      <c r="B19" s="137" t="s">
        <v>277</v>
      </c>
      <c r="C19" s="137"/>
      <c r="D19" s="137"/>
      <c r="E19" s="137"/>
      <c r="F19" s="137"/>
      <c r="G19" s="137"/>
      <c r="H19" s="137"/>
      <c r="I19" s="137"/>
      <c r="J19" s="137"/>
      <c r="K19" s="137"/>
      <c r="L19" s="137"/>
      <c r="P19" s="22"/>
    </row>
    <row r="20" spans="1:16" x14ac:dyDescent="0.25">
      <c r="B20" s="137"/>
      <c r="C20" s="137"/>
      <c r="D20" s="137"/>
      <c r="E20" s="137"/>
      <c r="F20" s="137"/>
      <c r="G20" s="137"/>
      <c r="H20" s="137"/>
      <c r="I20" s="137"/>
      <c r="J20" s="137"/>
      <c r="K20" s="137"/>
      <c r="L20" s="137"/>
      <c r="P20" s="22"/>
    </row>
    <row r="21" spans="1:16" ht="15" customHeight="1" x14ac:dyDescent="0.25">
      <c r="B21" s="137"/>
      <c r="C21" s="137"/>
      <c r="D21" s="137"/>
      <c r="E21" s="137"/>
      <c r="F21" s="137"/>
      <c r="G21" s="137"/>
      <c r="H21" s="137"/>
      <c r="I21" s="137"/>
      <c r="J21" s="137"/>
      <c r="K21" s="137"/>
      <c r="L21" s="137"/>
    </row>
    <row r="22" spans="1:16" ht="15" customHeight="1" x14ac:dyDescent="0.25">
      <c r="B22" s="137"/>
      <c r="C22" s="137"/>
      <c r="D22" s="137"/>
      <c r="E22" s="137"/>
      <c r="F22" s="137"/>
      <c r="G22" s="137"/>
      <c r="H22" s="137"/>
      <c r="I22" s="137"/>
      <c r="J22" s="137"/>
      <c r="K22" s="137"/>
      <c r="L22" s="137"/>
    </row>
    <row r="23" spans="1:16" ht="15" customHeight="1" x14ac:dyDescent="0.25">
      <c r="B23" s="137"/>
      <c r="C23" s="137"/>
      <c r="D23" s="137"/>
      <c r="E23" s="137"/>
      <c r="F23" s="137"/>
      <c r="G23" s="137"/>
      <c r="H23" s="137"/>
      <c r="I23" s="137"/>
      <c r="J23" s="137"/>
      <c r="K23" s="137"/>
      <c r="L23" s="137"/>
    </row>
    <row r="24" spans="1:16" ht="15" customHeight="1" x14ac:dyDescent="0.25">
      <c r="B24" s="137"/>
      <c r="C24" s="137"/>
      <c r="D24" s="137"/>
      <c r="E24" s="137"/>
      <c r="F24" s="137"/>
      <c r="G24" s="137"/>
      <c r="H24" s="137"/>
      <c r="I24" s="137"/>
      <c r="J24" s="137"/>
      <c r="K24" s="137"/>
      <c r="L24" s="137"/>
    </row>
    <row r="25" spans="1:16" ht="15" customHeight="1" x14ac:dyDescent="0.25">
      <c r="B25" s="137"/>
      <c r="C25" s="137"/>
      <c r="D25" s="137"/>
      <c r="E25" s="137"/>
      <c r="F25" s="137"/>
      <c r="G25" s="137"/>
      <c r="H25" s="137"/>
      <c r="I25" s="137"/>
      <c r="J25" s="137"/>
      <c r="K25" s="137"/>
      <c r="L25" s="137"/>
    </row>
    <row r="26" spans="1:16" ht="15" customHeight="1" x14ac:dyDescent="0.25">
      <c r="B26" s="137"/>
      <c r="C26" s="137"/>
      <c r="D26" s="137"/>
      <c r="E26" s="137"/>
      <c r="F26" s="137"/>
      <c r="G26" s="137"/>
      <c r="H26" s="137"/>
      <c r="I26" s="137"/>
      <c r="J26" s="137"/>
      <c r="K26" s="137"/>
      <c r="L26" s="137"/>
    </row>
    <row r="27" spans="1:16" ht="15" customHeight="1" x14ac:dyDescent="0.25">
      <c r="B27" s="137"/>
      <c r="C27" s="137"/>
      <c r="D27" s="137"/>
      <c r="E27" s="137"/>
      <c r="F27" s="137"/>
      <c r="G27" s="137"/>
      <c r="H27" s="137"/>
      <c r="I27" s="137"/>
      <c r="J27" s="137"/>
      <c r="K27" s="137"/>
      <c r="L27" s="137"/>
    </row>
    <row r="28" spans="1:16" ht="15" customHeight="1" x14ac:dyDescent="0.25">
      <c r="B28" s="137"/>
      <c r="C28" s="137"/>
      <c r="D28" s="137"/>
      <c r="E28" s="137"/>
      <c r="F28" s="137"/>
      <c r="G28" s="137"/>
      <c r="H28" s="137"/>
      <c r="I28" s="137"/>
      <c r="J28" s="137"/>
      <c r="K28" s="137"/>
      <c r="L28" s="137"/>
    </row>
    <row r="29" spans="1:16" ht="15" customHeight="1" x14ac:dyDescent="0.25">
      <c r="B29" s="137"/>
      <c r="C29" s="137"/>
      <c r="D29" s="137"/>
      <c r="E29" s="137"/>
      <c r="F29" s="137"/>
      <c r="G29" s="137"/>
      <c r="H29" s="137"/>
      <c r="I29" s="137"/>
      <c r="J29" s="137"/>
      <c r="K29" s="137"/>
      <c r="L29" s="137"/>
    </row>
    <row r="30" spans="1:16" ht="15" customHeight="1" x14ac:dyDescent="0.25">
      <c r="B30" s="137"/>
      <c r="C30" s="137"/>
      <c r="D30" s="137"/>
      <c r="E30" s="137"/>
      <c r="F30" s="137"/>
      <c r="G30" s="137"/>
      <c r="H30" s="137"/>
      <c r="I30" s="137"/>
      <c r="J30" s="137"/>
      <c r="K30" s="137"/>
      <c r="L30" s="137"/>
    </row>
    <row r="31" spans="1:16" ht="15" customHeight="1" x14ac:dyDescent="0.25">
      <c r="B31" s="137"/>
      <c r="C31" s="137"/>
      <c r="D31" s="137"/>
      <c r="E31" s="137"/>
      <c r="F31" s="137"/>
      <c r="G31" s="137"/>
      <c r="H31" s="137"/>
      <c r="I31" s="137"/>
      <c r="J31" s="137"/>
      <c r="K31" s="137"/>
      <c r="L31" s="137"/>
    </row>
    <row r="32" spans="1:16" x14ac:dyDescent="0.25">
      <c r="G32" s="22"/>
      <c r="H32" s="22"/>
      <c r="I32" s="22"/>
      <c r="J32" s="22"/>
      <c r="K32" s="22"/>
      <c r="L32" s="22"/>
    </row>
    <row r="33" spans="3:12" x14ac:dyDescent="0.25">
      <c r="G33" s="22"/>
      <c r="H33" s="22"/>
      <c r="I33" s="22"/>
      <c r="J33" s="22"/>
      <c r="K33" s="22"/>
      <c r="L33" s="22"/>
    </row>
    <row r="34" spans="3:12" x14ac:dyDescent="0.25">
      <c r="C34" s="133" t="s">
        <v>307</v>
      </c>
      <c r="G34" s="22"/>
      <c r="H34" s="22"/>
      <c r="I34" s="22"/>
      <c r="J34" s="22"/>
      <c r="K34" s="22"/>
      <c r="L34" s="22"/>
    </row>
    <row r="35" spans="3:12" x14ac:dyDescent="0.25">
      <c r="G35" s="22"/>
      <c r="H35" s="22"/>
      <c r="I35" s="22"/>
      <c r="J35" s="22"/>
      <c r="K35" s="22"/>
      <c r="L35" s="22"/>
    </row>
    <row r="36" spans="3:12" x14ac:dyDescent="0.25">
      <c r="G36" s="22"/>
      <c r="H36" s="22"/>
      <c r="I36" s="22"/>
      <c r="J36" s="22"/>
      <c r="K36" s="22"/>
      <c r="L36" s="22"/>
    </row>
    <row r="37" spans="3:12" x14ac:dyDescent="0.25">
      <c r="E37" s="22"/>
      <c r="F37" s="22"/>
      <c r="G37" s="22"/>
      <c r="H37" s="22"/>
      <c r="I37" s="22"/>
      <c r="J37" s="22"/>
      <c r="K37" s="22"/>
      <c r="L37" s="22"/>
    </row>
    <row r="38" spans="3:12" x14ac:dyDescent="0.25">
      <c r="E38" s="22"/>
      <c r="F38" s="22"/>
      <c r="G38" s="22"/>
      <c r="H38" s="22"/>
      <c r="I38" s="22"/>
      <c r="J38" s="22"/>
      <c r="K38" s="22"/>
      <c r="L38" s="22"/>
    </row>
    <row r="39" spans="3:12" x14ac:dyDescent="0.25">
      <c r="E39" s="22"/>
      <c r="F39" s="22"/>
      <c r="G39" s="22"/>
      <c r="H39" s="22"/>
      <c r="I39" s="22"/>
      <c r="J39" s="22"/>
      <c r="K39" s="22"/>
      <c r="L39" s="22"/>
    </row>
    <row r="40" spans="3:12" x14ac:dyDescent="0.25">
      <c r="E40" s="22"/>
      <c r="F40" s="22"/>
      <c r="G40" s="22"/>
      <c r="H40" s="22"/>
      <c r="I40" s="22"/>
      <c r="J40" s="22"/>
      <c r="K40" s="22"/>
      <c r="L40" s="22"/>
    </row>
  </sheetData>
  <mergeCells count="2">
    <mergeCell ref="A1:G1"/>
    <mergeCell ref="B19:L31"/>
  </mergeCells>
  <pageMargins left="0.511811024" right="0.511811024" top="0.78740157499999996" bottom="0.78740157499999996" header="0.31496062000000002" footer="0.3149606200000000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9"/>
  <sheetViews>
    <sheetView workbookViewId="0">
      <selection activeCell="E29" sqref="E29"/>
    </sheetView>
  </sheetViews>
  <sheetFormatPr defaultRowHeight="15" x14ac:dyDescent="0.25"/>
  <cols>
    <col min="1" max="1" width="146.5703125" bestFit="1" customWidth="1"/>
  </cols>
  <sheetData>
    <row r="1" spans="1:12" ht="15" customHeight="1" x14ac:dyDescent="0.25">
      <c r="A1" s="150" t="s">
        <v>278</v>
      </c>
      <c r="B1" s="150"/>
      <c r="C1" s="150"/>
      <c r="D1" s="150"/>
      <c r="E1" s="150"/>
      <c r="F1" s="150"/>
    </row>
    <row r="2" spans="1:12" ht="15" customHeight="1" x14ac:dyDescent="0.25">
      <c r="A2" s="128"/>
      <c r="B2" s="128"/>
      <c r="C2" s="128"/>
      <c r="D2" s="128"/>
      <c r="E2" s="128"/>
      <c r="F2" s="128"/>
    </row>
    <row r="3" spans="1:12" x14ac:dyDescent="0.25">
      <c r="A3" t="s">
        <v>144</v>
      </c>
      <c r="B3">
        <v>107</v>
      </c>
      <c r="C3" s="21">
        <f t="shared" ref="C3:C11" si="0">B3/B$13</f>
        <v>1.9521985039226419E-2</v>
      </c>
    </row>
    <row r="4" spans="1:12" x14ac:dyDescent="0.25">
      <c r="A4" t="s">
        <v>140</v>
      </c>
      <c r="B4">
        <v>162</v>
      </c>
      <c r="C4" s="21">
        <f t="shared" si="0"/>
        <v>2.9556650246305417E-2</v>
      </c>
    </row>
    <row r="5" spans="1:12" x14ac:dyDescent="0.25">
      <c r="A5" t="s">
        <v>143</v>
      </c>
      <c r="B5">
        <v>190</v>
      </c>
      <c r="C5" s="21">
        <f t="shared" si="0"/>
        <v>3.4665207079000185E-2</v>
      </c>
    </row>
    <row r="6" spans="1:12" x14ac:dyDescent="0.25">
      <c r="A6" t="s">
        <v>141</v>
      </c>
      <c r="B6">
        <v>233</v>
      </c>
      <c r="C6" s="21">
        <f t="shared" si="0"/>
        <v>4.2510490786352856E-2</v>
      </c>
    </row>
    <row r="7" spans="1:12" x14ac:dyDescent="0.25">
      <c r="A7" t="s">
        <v>146</v>
      </c>
      <c r="B7">
        <v>325</v>
      </c>
      <c r="C7" s="21">
        <f t="shared" si="0"/>
        <v>5.9295748950921365E-2</v>
      </c>
    </row>
    <row r="8" spans="1:12" x14ac:dyDescent="0.25">
      <c r="A8" t="s">
        <v>147</v>
      </c>
      <c r="B8">
        <v>541</v>
      </c>
      <c r="C8" s="21">
        <f t="shared" si="0"/>
        <v>9.870461594599525E-2</v>
      </c>
    </row>
    <row r="9" spans="1:12" x14ac:dyDescent="0.25">
      <c r="A9" t="s">
        <v>145</v>
      </c>
      <c r="B9">
        <v>891</v>
      </c>
      <c r="C9" s="21">
        <f t="shared" si="0"/>
        <v>0.1625615763546798</v>
      </c>
    </row>
    <row r="10" spans="1:12" x14ac:dyDescent="0.25">
      <c r="A10" t="s">
        <v>142</v>
      </c>
      <c r="B10">
        <v>1955</v>
      </c>
      <c r="C10" s="21">
        <f t="shared" si="0"/>
        <v>0.35668673599708084</v>
      </c>
    </row>
    <row r="11" spans="1:12" x14ac:dyDescent="0.25">
      <c r="A11" t="s">
        <v>139</v>
      </c>
      <c r="B11">
        <v>2057</v>
      </c>
      <c r="C11" s="21">
        <f t="shared" si="0"/>
        <v>0.37529647874475458</v>
      </c>
    </row>
    <row r="13" spans="1:12" x14ac:dyDescent="0.25">
      <c r="A13" s="4" t="s">
        <v>79</v>
      </c>
      <c r="B13" s="44">
        <v>5481</v>
      </c>
    </row>
    <row r="15" spans="1:12" x14ac:dyDescent="0.25">
      <c r="B15" s="137" t="s">
        <v>279</v>
      </c>
      <c r="C15" s="137"/>
      <c r="D15" s="137"/>
      <c r="E15" s="137"/>
      <c r="F15" s="137"/>
      <c r="G15" s="137"/>
      <c r="H15" s="137"/>
      <c r="I15" s="137"/>
      <c r="J15" s="137"/>
      <c r="K15" s="137"/>
      <c r="L15" s="137"/>
    </row>
    <row r="16" spans="1:12" x14ac:dyDescent="0.25">
      <c r="B16" s="137"/>
      <c r="C16" s="137"/>
      <c r="D16" s="137"/>
      <c r="E16" s="137"/>
      <c r="F16" s="137"/>
      <c r="G16" s="137"/>
      <c r="H16" s="137"/>
      <c r="I16" s="137"/>
      <c r="J16" s="137"/>
      <c r="K16" s="137"/>
      <c r="L16" s="137"/>
    </row>
    <row r="17" spans="2:12" x14ac:dyDescent="0.25">
      <c r="B17" s="137"/>
      <c r="C17" s="137"/>
      <c r="D17" s="137"/>
      <c r="E17" s="137"/>
      <c r="F17" s="137"/>
      <c r="G17" s="137"/>
      <c r="H17" s="137"/>
      <c r="I17" s="137"/>
      <c r="J17" s="137"/>
      <c r="K17" s="137"/>
      <c r="L17" s="137"/>
    </row>
    <row r="18" spans="2:12" x14ac:dyDescent="0.25">
      <c r="B18" s="137"/>
      <c r="C18" s="137"/>
      <c r="D18" s="137"/>
      <c r="E18" s="137"/>
      <c r="F18" s="137"/>
      <c r="G18" s="137"/>
      <c r="H18" s="137"/>
      <c r="I18" s="137"/>
      <c r="J18" s="137"/>
      <c r="K18" s="137"/>
      <c r="L18" s="137"/>
    </row>
    <row r="19" spans="2:12" x14ac:dyDescent="0.25">
      <c r="B19" s="137"/>
      <c r="C19" s="137"/>
      <c r="D19" s="137"/>
      <c r="E19" s="137"/>
      <c r="F19" s="137"/>
      <c r="G19" s="137"/>
      <c r="H19" s="137"/>
      <c r="I19" s="137"/>
      <c r="J19" s="137"/>
      <c r="K19" s="137"/>
      <c r="L19" s="137"/>
    </row>
    <row r="20" spans="2:12" x14ac:dyDescent="0.25">
      <c r="B20" s="137"/>
      <c r="C20" s="137"/>
      <c r="D20" s="137"/>
      <c r="E20" s="137"/>
      <c r="F20" s="137"/>
      <c r="G20" s="137"/>
      <c r="H20" s="137"/>
      <c r="I20" s="137"/>
      <c r="J20" s="137"/>
      <c r="K20" s="137"/>
      <c r="L20" s="137"/>
    </row>
    <row r="21" spans="2:12" x14ac:dyDescent="0.25">
      <c r="B21" s="137"/>
      <c r="C21" s="137"/>
      <c r="D21" s="137"/>
      <c r="E21" s="137"/>
      <c r="F21" s="137"/>
      <c r="G21" s="137"/>
      <c r="H21" s="137"/>
      <c r="I21" s="137"/>
      <c r="J21" s="137"/>
      <c r="K21" s="137"/>
      <c r="L21" s="137"/>
    </row>
    <row r="22" spans="2:12" x14ac:dyDescent="0.25">
      <c r="B22" s="137"/>
      <c r="C22" s="137"/>
      <c r="D22" s="137"/>
      <c r="E22" s="137"/>
      <c r="F22" s="137"/>
      <c r="G22" s="137"/>
      <c r="H22" s="137"/>
      <c r="I22" s="137"/>
      <c r="J22" s="137"/>
      <c r="K22" s="137"/>
      <c r="L22" s="137"/>
    </row>
    <row r="23" spans="2:12" x14ac:dyDescent="0.25">
      <c r="B23" s="137"/>
      <c r="C23" s="137"/>
      <c r="D23" s="137"/>
      <c r="E23" s="137"/>
      <c r="F23" s="137"/>
      <c r="G23" s="137"/>
      <c r="H23" s="137"/>
      <c r="I23" s="137"/>
      <c r="J23" s="137"/>
      <c r="K23" s="137"/>
      <c r="L23" s="137"/>
    </row>
    <row r="24" spans="2:12" x14ac:dyDescent="0.25">
      <c r="B24" s="137"/>
      <c r="C24" s="137"/>
      <c r="D24" s="137"/>
      <c r="E24" s="137"/>
      <c r="F24" s="137"/>
      <c r="G24" s="137"/>
      <c r="H24" s="137"/>
      <c r="I24" s="137"/>
      <c r="J24" s="137"/>
      <c r="K24" s="137"/>
      <c r="L24" s="137"/>
    </row>
    <row r="25" spans="2:12" x14ac:dyDescent="0.25">
      <c r="B25" s="137"/>
      <c r="C25" s="137"/>
      <c r="D25" s="137"/>
      <c r="E25" s="137"/>
      <c r="F25" s="137"/>
      <c r="G25" s="137"/>
      <c r="H25" s="137"/>
      <c r="I25" s="137"/>
      <c r="J25" s="137"/>
      <c r="K25" s="137"/>
      <c r="L25" s="137"/>
    </row>
    <row r="26" spans="2:12" x14ac:dyDescent="0.25">
      <c r="B26" s="137"/>
      <c r="C26" s="137"/>
      <c r="D26" s="137"/>
      <c r="E26" s="137"/>
      <c r="F26" s="137"/>
      <c r="G26" s="137"/>
      <c r="H26" s="137"/>
      <c r="I26" s="137"/>
      <c r="J26" s="137"/>
      <c r="K26" s="137"/>
      <c r="L26" s="137"/>
    </row>
    <row r="27" spans="2:12" x14ac:dyDescent="0.25">
      <c r="B27" s="137"/>
      <c r="C27" s="137"/>
      <c r="D27" s="137"/>
      <c r="E27" s="137"/>
      <c r="F27" s="137"/>
      <c r="G27" s="137"/>
      <c r="H27" s="137"/>
      <c r="I27" s="137"/>
      <c r="J27" s="137"/>
      <c r="K27" s="137"/>
      <c r="L27" s="137"/>
    </row>
    <row r="29" spans="2:12" x14ac:dyDescent="0.25">
      <c r="E29" s="133" t="s">
        <v>292</v>
      </c>
    </row>
  </sheetData>
  <autoFilter ref="A2:C2">
    <sortState ref="A3:C11">
      <sortCondition ref="B2"/>
    </sortState>
  </autoFilter>
  <mergeCells count="2">
    <mergeCell ref="A1:F1"/>
    <mergeCell ref="B15:L27"/>
  </mergeCells>
  <pageMargins left="0.511811024" right="0.511811024" top="0.78740157499999996" bottom="0.78740157499999996" header="0.31496062000000002" footer="0.31496062000000002"/>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W27"/>
  <sheetViews>
    <sheetView workbookViewId="0">
      <selection activeCell="N17" sqref="N17"/>
    </sheetView>
  </sheetViews>
  <sheetFormatPr defaultRowHeight="15" x14ac:dyDescent="0.25"/>
  <cols>
    <col min="1" max="1" width="5" bestFit="1" customWidth="1"/>
    <col min="2" max="2" width="14" customWidth="1"/>
    <col min="3" max="3" width="13.42578125" bestFit="1" customWidth="1"/>
    <col min="4" max="4" width="10.5703125" bestFit="1" customWidth="1"/>
    <col min="6" max="6" width="12" customWidth="1"/>
  </cols>
  <sheetData>
    <row r="1" spans="1:23" x14ac:dyDescent="0.25">
      <c r="A1" s="147" t="s">
        <v>280</v>
      </c>
      <c r="B1" s="147"/>
      <c r="C1" s="147"/>
      <c r="D1" s="147"/>
      <c r="E1" s="147"/>
      <c r="F1" s="147"/>
      <c r="G1" s="147"/>
      <c r="H1" s="147"/>
      <c r="I1" s="147"/>
      <c r="J1" s="147"/>
      <c r="K1" s="147"/>
      <c r="L1" s="147"/>
      <c r="M1" s="147"/>
      <c r="N1" s="147"/>
      <c r="O1" s="147"/>
      <c r="P1" s="147"/>
      <c r="Q1" s="147"/>
      <c r="R1" s="147"/>
      <c r="S1" s="147"/>
      <c r="T1" s="147"/>
      <c r="U1" s="147"/>
      <c r="V1" s="147"/>
      <c r="W1" s="147"/>
    </row>
    <row r="2" spans="1:23" ht="60" x14ac:dyDescent="0.25">
      <c r="A2" t="s">
        <v>244</v>
      </c>
      <c r="B2" t="s">
        <v>183</v>
      </c>
      <c r="C2" s="29" t="s">
        <v>89</v>
      </c>
      <c r="D2" s="129" t="s">
        <v>249</v>
      </c>
      <c r="F2" s="91" t="s">
        <v>253</v>
      </c>
    </row>
    <row r="3" spans="1:23" x14ac:dyDescent="0.25">
      <c r="A3">
        <v>2010</v>
      </c>
      <c r="B3" s="106">
        <v>1099</v>
      </c>
      <c r="C3" s="105">
        <v>1590</v>
      </c>
      <c r="D3" s="100">
        <f t="shared" ref="D3:D9" si="0">B3/C3</f>
        <v>0.69119496855345908</v>
      </c>
      <c r="F3" s="86">
        <v>23</v>
      </c>
    </row>
    <row r="4" spans="1:23" x14ac:dyDescent="0.25">
      <c r="A4">
        <v>2011</v>
      </c>
      <c r="B4" s="106">
        <v>1431</v>
      </c>
      <c r="C4" s="105">
        <v>2109</v>
      </c>
      <c r="D4" s="100">
        <f t="shared" si="0"/>
        <v>0.67852062588904694</v>
      </c>
      <c r="F4" s="86">
        <v>31</v>
      </c>
    </row>
    <row r="5" spans="1:23" x14ac:dyDescent="0.25">
      <c r="A5">
        <v>2012</v>
      </c>
      <c r="B5" s="106">
        <v>1561</v>
      </c>
      <c r="C5" s="105">
        <v>2167</v>
      </c>
      <c r="D5" s="100">
        <f t="shared" si="0"/>
        <v>0.72035071527457317</v>
      </c>
      <c r="F5" s="86">
        <v>31</v>
      </c>
    </row>
    <row r="6" spans="1:23" x14ac:dyDescent="0.25">
      <c r="A6">
        <v>2013</v>
      </c>
      <c r="B6" s="106">
        <v>1650</v>
      </c>
      <c r="C6" s="105">
        <v>2249</v>
      </c>
      <c r="D6" s="100">
        <f t="shared" si="0"/>
        <v>0.73365940417963538</v>
      </c>
      <c r="F6" s="86">
        <v>35</v>
      </c>
    </row>
    <row r="7" spans="1:23" x14ac:dyDescent="0.25">
      <c r="A7">
        <v>2014</v>
      </c>
      <c r="B7" s="106">
        <v>1846</v>
      </c>
      <c r="C7" s="105">
        <v>2372</v>
      </c>
      <c r="D7" s="100">
        <f t="shared" si="0"/>
        <v>0.77824620573355818</v>
      </c>
      <c r="F7" s="86">
        <v>22</v>
      </c>
    </row>
    <row r="8" spans="1:23" x14ac:dyDescent="0.25">
      <c r="A8">
        <v>2015</v>
      </c>
      <c r="B8" s="106">
        <v>1973</v>
      </c>
      <c r="C8" s="105">
        <v>2435</v>
      </c>
      <c r="D8" s="100">
        <f t="shared" si="0"/>
        <v>0.81026694045174541</v>
      </c>
      <c r="F8" s="86">
        <v>22</v>
      </c>
    </row>
    <row r="9" spans="1:23" x14ac:dyDescent="0.25">
      <c r="A9">
        <v>2016</v>
      </c>
      <c r="B9" s="86">
        <v>2018</v>
      </c>
      <c r="C9" s="94">
        <v>2521</v>
      </c>
      <c r="D9" s="100">
        <f t="shared" si="0"/>
        <v>0.80047600158667198</v>
      </c>
      <c r="F9" s="86">
        <v>20</v>
      </c>
    </row>
    <row r="10" spans="1:23" x14ac:dyDescent="0.25">
      <c r="C10" s="21"/>
    </row>
    <row r="11" spans="1:23" x14ac:dyDescent="0.25">
      <c r="C11" s="21"/>
    </row>
    <row r="12" spans="1:23" x14ac:dyDescent="0.25">
      <c r="C12" s="21"/>
    </row>
    <row r="13" spans="1:23" x14ac:dyDescent="0.25">
      <c r="C13" s="21"/>
    </row>
    <row r="14" spans="1:23" x14ac:dyDescent="0.25">
      <c r="C14" s="21"/>
    </row>
    <row r="15" spans="1:23" x14ac:dyDescent="0.25">
      <c r="B15" s="137" t="s">
        <v>308</v>
      </c>
      <c r="C15" s="137"/>
      <c r="D15" s="137"/>
      <c r="E15" s="137"/>
      <c r="F15" s="137"/>
      <c r="G15" s="137"/>
      <c r="H15" s="137"/>
      <c r="I15" s="137"/>
      <c r="J15" s="137"/>
      <c r="K15" s="137"/>
      <c r="L15" s="137"/>
    </row>
    <row r="16" spans="1:23" x14ac:dyDescent="0.25">
      <c r="B16" s="137"/>
      <c r="C16" s="137"/>
      <c r="D16" s="137"/>
      <c r="E16" s="137"/>
      <c r="F16" s="137"/>
      <c r="G16" s="137"/>
      <c r="H16" s="137"/>
      <c r="I16" s="137"/>
      <c r="J16" s="137"/>
      <c r="K16" s="137"/>
      <c r="L16" s="137"/>
    </row>
    <row r="17" spans="2:14" x14ac:dyDescent="0.25">
      <c r="B17" s="137"/>
      <c r="C17" s="137"/>
      <c r="D17" s="137"/>
      <c r="E17" s="137"/>
      <c r="F17" s="137"/>
      <c r="G17" s="137"/>
      <c r="H17" s="137"/>
      <c r="I17" s="137"/>
      <c r="J17" s="137"/>
      <c r="K17" s="137"/>
      <c r="L17" s="137"/>
      <c r="N17" s="133" t="s">
        <v>309</v>
      </c>
    </row>
    <row r="18" spans="2:14" x14ac:dyDescent="0.25">
      <c r="B18" s="137"/>
      <c r="C18" s="137"/>
      <c r="D18" s="137"/>
      <c r="E18" s="137"/>
      <c r="F18" s="137"/>
      <c r="G18" s="137"/>
      <c r="H18" s="137"/>
      <c r="I18" s="137"/>
      <c r="J18" s="137"/>
      <c r="K18" s="137"/>
      <c r="L18" s="137"/>
    </row>
    <row r="19" spans="2:14" x14ac:dyDescent="0.25">
      <c r="B19" s="137"/>
      <c r="C19" s="137"/>
      <c r="D19" s="137"/>
      <c r="E19" s="137"/>
      <c r="F19" s="137"/>
      <c r="G19" s="137"/>
      <c r="H19" s="137"/>
      <c r="I19" s="137"/>
      <c r="J19" s="137"/>
      <c r="K19" s="137"/>
      <c r="L19" s="137"/>
    </row>
    <row r="20" spans="2:14" x14ac:dyDescent="0.25">
      <c r="B20" s="137"/>
      <c r="C20" s="137"/>
      <c r="D20" s="137"/>
      <c r="E20" s="137"/>
      <c r="F20" s="137"/>
      <c r="G20" s="137"/>
      <c r="H20" s="137"/>
      <c r="I20" s="137"/>
      <c r="J20" s="137"/>
      <c r="K20" s="137"/>
      <c r="L20" s="137"/>
    </row>
    <row r="21" spans="2:14" x14ac:dyDescent="0.25">
      <c r="B21" s="137"/>
      <c r="C21" s="137"/>
      <c r="D21" s="137"/>
      <c r="E21" s="137"/>
      <c r="F21" s="137"/>
      <c r="G21" s="137"/>
      <c r="H21" s="137"/>
      <c r="I21" s="137"/>
      <c r="J21" s="137"/>
      <c r="K21" s="137"/>
      <c r="L21" s="137"/>
    </row>
    <row r="22" spans="2:14" x14ac:dyDescent="0.25">
      <c r="B22" s="137"/>
      <c r="C22" s="137"/>
      <c r="D22" s="137"/>
      <c r="E22" s="137"/>
      <c r="F22" s="137"/>
      <c r="G22" s="137"/>
      <c r="H22" s="137"/>
      <c r="I22" s="137"/>
      <c r="J22" s="137"/>
      <c r="K22" s="137"/>
      <c r="L22" s="137"/>
    </row>
    <row r="23" spans="2:14" x14ac:dyDescent="0.25">
      <c r="B23" s="137"/>
      <c r="C23" s="137"/>
      <c r="D23" s="137"/>
      <c r="E23" s="137"/>
      <c r="F23" s="137"/>
      <c r="G23" s="137"/>
      <c r="H23" s="137"/>
      <c r="I23" s="137"/>
      <c r="J23" s="137"/>
      <c r="K23" s="137"/>
      <c r="L23" s="137"/>
    </row>
    <row r="24" spans="2:14" x14ac:dyDescent="0.25">
      <c r="B24" s="137"/>
      <c r="C24" s="137"/>
      <c r="D24" s="137"/>
      <c r="E24" s="137"/>
      <c r="F24" s="137"/>
      <c r="G24" s="137"/>
      <c r="H24" s="137"/>
      <c r="I24" s="137"/>
      <c r="J24" s="137"/>
      <c r="K24" s="137"/>
      <c r="L24" s="137"/>
    </row>
    <row r="25" spans="2:14" x14ac:dyDescent="0.25">
      <c r="B25" s="137"/>
      <c r="C25" s="137"/>
      <c r="D25" s="137"/>
      <c r="E25" s="137"/>
      <c r="F25" s="137"/>
      <c r="G25" s="137"/>
      <c r="H25" s="137"/>
      <c r="I25" s="137"/>
      <c r="J25" s="137"/>
      <c r="K25" s="137"/>
      <c r="L25" s="137"/>
    </row>
    <row r="26" spans="2:14" x14ac:dyDescent="0.25">
      <c r="B26" s="137"/>
      <c r="C26" s="137"/>
      <c r="D26" s="137"/>
      <c r="E26" s="137"/>
      <c r="F26" s="137"/>
      <c r="G26" s="137"/>
      <c r="H26" s="137"/>
      <c r="I26" s="137"/>
      <c r="J26" s="137"/>
      <c r="K26" s="137"/>
      <c r="L26" s="137"/>
    </row>
    <row r="27" spans="2:14" x14ac:dyDescent="0.25">
      <c r="B27" s="137"/>
      <c r="C27" s="137"/>
      <c r="D27" s="137"/>
      <c r="E27" s="137"/>
      <c r="F27" s="137"/>
      <c r="G27" s="137"/>
      <c r="H27" s="137"/>
      <c r="I27" s="137"/>
      <c r="J27" s="137"/>
      <c r="K27" s="137"/>
      <c r="L27" s="137"/>
    </row>
  </sheetData>
  <mergeCells count="2">
    <mergeCell ref="B15:L27"/>
    <mergeCell ref="A1:W1"/>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28"/>
  <sheetViews>
    <sheetView workbookViewId="0">
      <selection activeCell="F18" sqref="F18"/>
    </sheetView>
  </sheetViews>
  <sheetFormatPr defaultRowHeight="15" x14ac:dyDescent="0.25"/>
  <cols>
    <col min="1" max="1" width="104.7109375" bestFit="1" customWidth="1"/>
    <col min="2" max="2" width="5" bestFit="1" customWidth="1"/>
    <col min="3" max="3" width="6.140625" bestFit="1" customWidth="1"/>
  </cols>
  <sheetData>
    <row r="1" spans="1:15" s="99" customFormat="1" x14ac:dyDescent="0.25">
      <c r="A1" s="147" t="s">
        <v>254</v>
      </c>
      <c r="B1" s="147"/>
      <c r="C1" s="147"/>
      <c r="D1" s="147"/>
      <c r="E1" s="147"/>
      <c r="F1" s="147"/>
      <c r="G1" s="147"/>
      <c r="H1" s="147"/>
      <c r="I1" s="147"/>
      <c r="J1" s="147"/>
    </row>
    <row r="2" spans="1:15" s="99" customFormat="1" x14ac:dyDescent="0.25">
      <c r="A2" s="127"/>
      <c r="B2" s="127"/>
      <c r="C2" s="127"/>
      <c r="D2" s="127"/>
      <c r="E2" s="127"/>
      <c r="F2" s="127"/>
      <c r="G2" s="127"/>
      <c r="H2" s="127"/>
      <c r="I2" s="127"/>
      <c r="J2" s="127"/>
    </row>
    <row r="3" spans="1:15" x14ac:dyDescent="0.25">
      <c r="A3" t="s">
        <v>171</v>
      </c>
      <c r="B3">
        <v>306</v>
      </c>
      <c r="C3" s="21">
        <f t="shared" ref="C3:C26" si="0">B3/B$28</f>
        <v>0.22801788375558868</v>
      </c>
      <c r="E3" s="137" t="s">
        <v>281</v>
      </c>
      <c r="F3" s="137"/>
      <c r="G3" s="137"/>
      <c r="H3" s="137"/>
      <c r="I3" s="137"/>
      <c r="J3" s="137"/>
      <c r="K3" s="137"/>
      <c r="L3" s="137"/>
      <c r="M3" s="137"/>
      <c r="N3" s="137"/>
      <c r="O3" s="137"/>
    </row>
    <row r="4" spans="1:15" x14ac:dyDescent="0.25">
      <c r="A4" t="s">
        <v>170</v>
      </c>
      <c r="B4">
        <v>318</v>
      </c>
      <c r="C4" s="21">
        <f t="shared" si="0"/>
        <v>0.23695976154992549</v>
      </c>
      <c r="E4" s="137"/>
      <c r="F4" s="137"/>
      <c r="G4" s="137"/>
      <c r="H4" s="137"/>
      <c r="I4" s="137"/>
      <c r="J4" s="137"/>
      <c r="K4" s="137"/>
      <c r="L4" s="137"/>
      <c r="M4" s="137"/>
      <c r="N4" s="137"/>
      <c r="O4" s="137"/>
    </row>
    <row r="5" spans="1:15" x14ac:dyDescent="0.25">
      <c r="A5" t="s">
        <v>167</v>
      </c>
      <c r="B5">
        <v>708</v>
      </c>
      <c r="C5" s="21">
        <f t="shared" si="0"/>
        <v>0.5275707898658718</v>
      </c>
      <c r="E5" s="137"/>
      <c r="F5" s="137"/>
      <c r="G5" s="137"/>
      <c r="H5" s="137"/>
      <c r="I5" s="137"/>
      <c r="J5" s="137"/>
      <c r="K5" s="137"/>
      <c r="L5" s="137"/>
      <c r="M5" s="137"/>
      <c r="N5" s="137"/>
      <c r="O5" s="137"/>
    </row>
    <row r="6" spans="1:15" x14ac:dyDescent="0.25">
      <c r="A6" t="s">
        <v>169</v>
      </c>
      <c r="B6">
        <v>870</v>
      </c>
      <c r="C6" s="21">
        <f t="shared" si="0"/>
        <v>0.64828614008941876</v>
      </c>
      <c r="E6" s="137"/>
      <c r="F6" s="137"/>
      <c r="G6" s="137"/>
      <c r="H6" s="137"/>
      <c r="I6" s="137"/>
      <c r="J6" s="137"/>
      <c r="K6" s="137"/>
      <c r="L6" s="137"/>
      <c r="M6" s="137"/>
      <c r="N6" s="137"/>
      <c r="O6" s="137"/>
    </row>
    <row r="7" spans="1:15" x14ac:dyDescent="0.25">
      <c r="A7" t="s">
        <v>165</v>
      </c>
      <c r="B7">
        <v>953</v>
      </c>
      <c r="C7" s="21">
        <f t="shared" si="0"/>
        <v>0.71013412816691501</v>
      </c>
      <c r="E7" s="137"/>
      <c r="F7" s="137"/>
      <c r="G7" s="137"/>
      <c r="H7" s="137"/>
      <c r="I7" s="137"/>
      <c r="J7" s="137"/>
      <c r="K7" s="137"/>
      <c r="L7" s="137"/>
      <c r="M7" s="137"/>
      <c r="N7" s="137"/>
      <c r="O7" s="137"/>
    </row>
    <row r="8" spans="1:15" x14ac:dyDescent="0.25">
      <c r="A8" t="s">
        <v>153</v>
      </c>
      <c r="B8">
        <v>983</v>
      </c>
      <c r="C8" s="21">
        <f t="shared" si="0"/>
        <v>0.73248882265275705</v>
      </c>
      <c r="E8" s="137"/>
      <c r="F8" s="137"/>
      <c r="G8" s="137"/>
      <c r="H8" s="137"/>
      <c r="I8" s="137"/>
      <c r="J8" s="137"/>
      <c r="K8" s="137"/>
      <c r="L8" s="137"/>
      <c r="M8" s="137"/>
      <c r="N8" s="137"/>
      <c r="O8" s="137"/>
    </row>
    <row r="9" spans="1:15" x14ac:dyDescent="0.25">
      <c r="A9" t="s">
        <v>152</v>
      </c>
      <c r="B9">
        <v>1020</v>
      </c>
      <c r="C9" s="21">
        <f t="shared" si="0"/>
        <v>0.76005961251862886</v>
      </c>
      <c r="E9" s="137"/>
      <c r="F9" s="137"/>
      <c r="G9" s="137"/>
      <c r="H9" s="137"/>
      <c r="I9" s="137"/>
      <c r="J9" s="137"/>
      <c r="K9" s="137"/>
      <c r="L9" s="137"/>
      <c r="M9" s="137"/>
      <c r="N9" s="137"/>
      <c r="O9" s="137"/>
    </row>
    <row r="10" spans="1:15" x14ac:dyDescent="0.25">
      <c r="A10" t="s">
        <v>158</v>
      </c>
      <c r="B10">
        <v>1042</v>
      </c>
      <c r="C10" s="21">
        <f t="shared" si="0"/>
        <v>0.7764530551415797</v>
      </c>
      <c r="E10" s="137"/>
      <c r="F10" s="137"/>
      <c r="G10" s="137"/>
      <c r="H10" s="137"/>
      <c r="I10" s="137"/>
      <c r="J10" s="137"/>
      <c r="K10" s="137"/>
      <c r="L10" s="137"/>
      <c r="M10" s="137"/>
      <c r="N10" s="137"/>
      <c r="O10" s="137"/>
    </row>
    <row r="11" spans="1:15" x14ac:dyDescent="0.25">
      <c r="A11" t="s">
        <v>161</v>
      </c>
      <c r="B11">
        <v>1075</v>
      </c>
      <c r="C11" s="21">
        <f t="shared" si="0"/>
        <v>0.80104321907600595</v>
      </c>
      <c r="E11" s="137"/>
      <c r="F11" s="137"/>
      <c r="G11" s="137"/>
      <c r="H11" s="137"/>
      <c r="I11" s="137"/>
      <c r="J11" s="137"/>
      <c r="K11" s="137"/>
      <c r="L11" s="137"/>
      <c r="M11" s="137"/>
      <c r="N11" s="137"/>
      <c r="O11" s="137"/>
    </row>
    <row r="12" spans="1:15" x14ac:dyDescent="0.25">
      <c r="A12" t="s">
        <v>168</v>
      </c>
      <c r="B12">
        <v>1109</v>
      </c>
      <c r="C12" s="21">
        <f t="shared" si="0"/>
        <v>0.82637853949329354</v>
      </c>
      <c r="E12" s="137"/>
      <c r="F12" s="137"/>
      <c r="G12" s="137"/>
      <c r="H12" s="137"/>
      <c r="I12" s="137"/>
      <c r="J12" s="137"/>
      <c r="K12" s="137"/>
      <c r="L12" s="137"/>
      <c r="M12" s="137"/>
      <c r="N12" s="137"/>
      <c r="O12" s="137"/>
    </row>
    <row r="13" spans="1:15" x14ac:dyDescent="0.25">
      <c r="A13" t="s">
        <v>149</v>
      </c>
      <c r="B13">
        <v>1150</v>
      </c>
      <c r="C13" s="21">
        <f t="shared" si="0"/>
        <v>0.856929955290611</v>
      </c>
      <c r="E13" s="137"/>
      <c r="F13" s="137"/>
      <c r="G13" s="137"/>
      <c r="H13" s="137"/>
      <c r="I13" s="137"/>
      <c r="J13" s="137"/>
      <c r="K13" s="137"/>
      <c r="L13" s="137"/>
      <c r="M13" s="137"/>
      <c r="N13" s="137"/>
      <c r="O13" s="137"/>
    </row>
    <row r="14" spans="1:15" x14ac:dyDescent="0.25">
      <c r="A14" t="s">
        <v>159</v>
      </c>
      <c r="B14">
        <v>1151</v>
      </c>
      <c r="C14" s="21">
        <f t="shared" si="0"/>
        <v>0.85767511177347244</v>
      </c>
      <c r="E14" s="137"/>
      <c r="F14" s="137"/>
      <c r="G14" s="137"/>
      <c r="H14" s="137"/>
      <c r="I14" s="137"/>
      <c r="J14" s="137"/>
      <c r="K14" s="137"/>
      <c r="L14" s="137"/>
      <c r="M14" s="137"/>
      <c r="N14" s="137"/>
      <c r="O14" s="137"/>
    </row>
    <row r="15" spans="1:15" x14ac:dyDescent="0.25">
      <c r="A15" t="s">
        <v>166</v>
      </c>
      <c r="B15">
        <v>1176</v>
      </c>
      <c r="C15" s="21">
        <f t="shared" si="0"/>
        <v>0.8763040238450075</v>
      </c>
      <c r="E15" s="137"/>
      <c r="F15" s="137"/>
      <c r="G15" s="137"/>
      <c r="H15" s="137"/>
      <c r="I15" s="137"/>
      <c r="J15" s="137"/>
      <c r="K15" s="137"/>
      <c r="L15" s="137"/>
      <c r="M15" s="137"/>
      <c r="N15" s="137"/>
      <c r="O15" s="137"/>
    </row>
    <row r="16" spans="1:15" x14ac:dyDescent="0.25">
      <c r="A16" t="s">
        <v>164</v>
      </c>
      <c r="B16">
        <v>1182</v>
      </c>
      <c r="C16" s="21">
        <f t="shared" si="0"/>
        <v>0.88077496274217582</v>
      </c>
    </row>
    <row r="17" spans="1:6" x14ac:dyDescent="0.25">
      <c r="A17" t="s">
        <v>162</v>
      </c>
      <c r="B17">
        <v>1186</v>
      </c>
      <c r="C17" s="21">
        <f t="shared" si="0"/>
        <v>0.88375558867362147</v>
      </c>
    </row>
    <row r="18" spans="1:6" x14ac:dyDescent="0.25">
      <c r="A18" t="s">
        <v>151</v>
      </c>
      <c r="B18">
        <v>1197</v>
      </c>
      <c r="C18" s="21">
        <f t="shared" si="0"/>
        <v>0.89195230998509689</v>
      </c>
      <c r="F18" s="133" t="s">
        <v>310</v>
      </c>
    </row>
    <row r="19" spans="1:6" x14ac:dyDescent="0.25">
      <c r="A19" t="s">
        <v>163</v>
      </c>
      <c r="B19">
        <v>1201</v>
      </c>
      <c r="C19" s="21">
        <f t="shared" si="0"/>
        <v>0.89493293591654244</v>
      </c>
    </row>
    <row r="20" spans="1:6" x14ac:dyDescent="0.25">
      <c r="A20" t="s">
        <v>160</v>
      </c>
      <c r="B20">
        <v>1202</v>
      </c>
      <c r="C20" s="21">
        <f t="shared" si="0"/>
        <v>0.89567809239940388</v>
      </c>
    </row>
    <row r="21" spans="1:6" x14ac:dyDescent="0.25">
      <c r="A21" t="s">
        <v>40</v>
      </c>
      <c r="B21">
        <v>1206</v>
      </c>
      <c r="C21" s="21">
        <f t="shared" si="0"/>
        <v>0.89865871833084943</v>
      </c>
    </row>
    <row r="22" spans="1:6" x14ac:dyDescent="0.25">
      <c r="A22" t="s">
        <v>154</v>
      </c>
      <c r="B22">
        <v>1210</v>
      </c>
      <c r="C22" s="21">
        <f t="shared" si="0"/>
        <v>0.90163934426229508</v>
      </c>
    </row>
    <row r="23" spans="1:6" x14ac:dyDescent="0.25">
      <c r="A23" t="s">
        <v>150</v>
      </c>
      <c r="B23">
        <v>1261</v>
      </c>
      <c r="C23" s="21">
        <f t="shared" si="0"/>
        <v>0.93964232488822652</v>
      </c>
    </row>
    <row r="24" spans="1:6" x14ac:dyDescent="0.25">
      <c r="A24" t="s">
        <v>155</v>
      </c>
      <c r="B24">
        <v>1271</v>
      </c>
      <c r="C24" s="21">
        <f t="shared" si="0"/>
        <v>0.9470938897168405</v>
      </c>
    </row>
    <row r="25" spans="1:6" x14ac:dyDescent="0.25">
      <c r="A25" t="s">
        <v>156</v>
      </c>
      <c r="B25">
        <v>1286</v>
      </c>
      <c r="C25" s="21">
        <f t="shared" si="0"/>
        <v>0.95827123695976157</v>
      </c>
    </row>
    <row r="26" spans="1:6" x14ac:dyDescent="0.25">
      <c r="A26" t="s">
        <v>148</v>
      </c>
      <c r="B26">
        <v>1297</v>
      </c>
      <c r="C26" s="21">
        <f t="shared" si="0"/>
        <v>0.96646795827123699</v>
      </c>
    </row>
    <row r="28" spans="1:6" x14ac:dyDescent="0.25">
      <c r="A28" s="4" t="s">
        <v>157</v>
      </c>
      <c r="B28" s="44">
        <v>1342</v>
      </c>
    </row>
  </sheetData>
  <autoFilter ref="A2:C2">
    <sortState ref="A3:C26">
      <sortCondition ref="C2"/>
    </sortState>
  </autoFilter>
  <mergeCells count="2">
    <mergeCell ref="A1:J1"/>
    <mergeCell ref="E3:O15"/>
  </mergeCells>
  <pageMargins left="0.511811024" right="0.511811024" top="0.78740157499999996" bottom="0.78740157499999996" header="0.31496062000000002" footer="0.31496062000000002"/>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30"/>
  <sheetViews>
    <sheetView workbookViewId="0">
      <selection activeCell="B30" sqref="B30"/>
    </sheetView>
  </sheetViews>
  <sheetFormatPr defaultRowHeight="15" x14ac:dyDescent="0.25"/>
  <cols>
    <col min="1" max="1" width="61" bestFit="1" customWidth="1"/>
    <col min="2" max="2" width="13.85546875" bestFit="1" customWidth="1"/>
    <col min="3" max="4" width="13.85546875" customWidth="1"/>
  </cols>
  <sheetData>
    <row r="1" spans="1:20" x14ac:dyDescent="0.25">
      <c r="A1" s="147" t="s">
        <v>255</v>
      </c>
      <c r="B1" s="147"/>
      <c r="C1" s="147"/>
      <c r="D1" s="147"/>
      <c r="E1" s="147"/>
      <c r="F1" s="147"/>
      <c r="G1" s="147"/>
      <c r="H1" s="147"/>
      <c r="I1" s="147"/>
      <c r="J1" s="147"/>
      <c r="K1" s="147"/>
      <c r="L1" s="147"/>
      <c r="M1" s="147"/>
      <c r="N1" s="147"/>
      <c r="O1" s="90"/>
      <c r="P1" s="90"/>
      <c r="Q1" s="90"/>
      <c r="R1" s="90"/>
      <c r="S1" s="90"/>
      <c r="T1" s="90"/>
    </row>
    <row r="2" spans="1:20" ht="180" x14ac:dyDescent="0.25">
      <c r="A2" s="80"/>
      <c r="B2" s="81" t="s">
        <v>179</v>
      </c>
      <c r="C2" s="81" t="s">
        <v>180</v>
      </c>
      <c r="D2" s="82" t="s">
        <v>172</v>
      </c>
      <c r="E2" s="79"/>
      <c r="F2" s="79"/>
    </row>
    <row r="3" spans="1:20" x14ac:dyDescent="0.25">
      <c r="A3" t="s">
        <v>173</v>
      </c>
      <c r="B3">
        <v>900</v>
      </c>
      <c r="C3" s="21">
        <f t="shared" ref="C3:C8" si="0">B3/B$13</f>
        <v>0.6706408345752608</v>
      </c>
      <c r="D3" s="84">
        <v>25911</v>
      </c>
    </row>
    <row r="4" spans="1:20" x14ac:dyDescent="0.25">
      <c r="A4" t="s">
        <v>174</v>
      </c>
      <c r="B4">
        <v>1040</v>
      </c>
      <c r="C4" s="21">
        <f t="shared" si="0"/>
        <v>0.77496274217585692</v>
      </c>
      <c r="D4" s="84">
        <v>45021</v>
      </c>
    </row>
    <row r="5" spans="1:20" x14ac:dyDescent="0.25">
      <c r="A5" t="s">
        <v>175</v>
      </c>
      <c r="B5">
        <v>1041</v>
      </c>
      <c r="C5" s="21">
        <f t="shared" si="0"/>
        <v>0.77570789865871836</v>
      </c>
      <c r="D5" s="84">
        <v>18754</v>
      </c>
    </row>
    <row r="6" spans="1:20" x14ac:dyDescent="0.25">
      <c r="A6" t="s">
        <v>176</v>
      </c>
      <c r="B6">
        <v>1150</v>
      </c>
      <c r="C6" s="21">
        <f t="shared" si="0"/>
        <v>0.856929955290611</v>
      </c>
      <c r="D6" s="84">
        <v>66251</v>
      </c>
    </row>
    <row r="7" spans="1:20" x14ac:dyDescent="0.25">
      <c r="A7" t="s">
        <v>177</v>
      </c>
      <c r="B7">
        <v>677</v>
      </c>
      <c r="C7" s="21">
        <f t="shared" si="0"/>
        <v>0.50447093889716843</v>
      </c>
      <c r="D7" s="84">
        <v>7883</v>
      </c>
    </row>
    <row r="8" spans="1:20" x14ac:dyDescent="0.25">
      <c r="A8" t="s">
        <v>178</v>
      </c>
      <c r="B8">
        <v>221</v>
      </c>
      <c r="C8" s="21">
        <f t="shared" si="0"/>
        <v>0.1646795827123696</v>
      </c>
      <c r="D8" s="84">
        <v>5268</v>
      </c>
    </row>
    <row r="9" spans="1:20" x14ac:dyDescent="0.25">
      <c r="C9" s="21"/>
      <c r="D9" s="84">
        <f>SUM(D3:D8)</f>
        <v>169088</v>
      </c>
    </row>
    <row r="10" spans="1:20" x14ac:dyDescent="0.25">
      <c r="A10" t="s">
        <v>181</v>
      </c>
      <c r="B10">
        <v>1285</v>
      </c>
      <c r="C10" s="21">
        <f>B10/B$13</f>
        <v>0.95752608047690013</v>
      </c>
      <c r="D10" s="84">
        <v>171345</v>
      </c>
    </row>
    <row r="11" spans="1:20" x14ac:dyDescent="0.25">
      <c r="A11" t="s">
        <v>182</v>
      </c>
      <c r="B11">
        <v>57</v>
      </c>
      <c r="C11" s="21">
        <f>B11/B$13</f>
        <v>4.2473919523099854E-2</v>
      </c>
      <c r="D11" s="84"/>
    </row>
    <row r="13" spans="1:20" x14ac:dyDescent="0.25">
      <c r="A13" s="4" t="s">
        <v>157</v>
      </c>
      <c r="B13" s="83">
        <v>1342</v>
      </c>
    </row>
    <row r="15" spans="1:20" x14ac:dyDescent="0.25">
      <c r="A15" s="137" t="s">
        <v>282</v>
      </c>
      <c r="B15" s="137"/>
      <c r="C15" s="137"/>
      <c r="D15" s="137"/>
      <c r="E15" s="137"/>
      <c r="F15" s="137"/>
      <c r="G15" s="137"/>
      <c r="H15" s="137"/>
      <c r="I15" s="137"/>
      <c r="J15" s="137"/>
      <c r="K15" s="137"/>
    </row>
    <row r="16" spans="1:20" x14ac:dyDescent="0.25">
      <c r="A16" s="137"/>
      <c r="B16" s="137"/>
      <c r="C16" s="137"/>
      <c r="D16" s="137"/>
      <c r="E16" s="137"/>
      <c r="F16" s="137"/>
      <c r="G16" s="137"/>
      <c r="H16" s="137"/>
      <c r="I16" s="137"/>
      <c r="J16" s="137"/>
      <c r="K16" s="137"/>
    </row>
    <row r="17" spans="1:11" x14ac:dyDescent="0.25">
      <c r="A17" s="137"/>
      <c r="B17" s="137"/>
      <c r="C17" s="137"/>
      <c r="D17" s="137"/>
      <c r="E17" s="137"/>
      <c r="F17" s="137"/>
      <c r="G17" s="137"/>
      <c r="H17" s="137"/>
      <c r="I17" s="137"/>
      <c r="J17" s="137"/>
      <c r="K17" s="137"/>
    </row>
    <row r="18" spans="1:11" x14ac:dyDescent="0.25">
      <c r="A18" s="137"/>
      <c r="B18" s="137"/>
      <c r="C18" s="137"/>
      <c r="D18" s="137"/>
      <c r="E18" s="137"/>
      <c r="F18" s="137"/>
      <c r="G18" s="137"/>
      <c r="H18" s="137"/>
      <c r="I18" s="137"/>
      <c r="J18" s="137"/>
      <c r="K18" s="137"/>
    </row>
    <row r="19" spans="1:11" x14ac:dyDescent="0.25">
      <c r="A19" s="137"/>
      <c r="B19" s="137"/>
      <c r="C19" s="137"/>
      <c r="D19" s="137"/>
      <c r="E19" s="137"/>
      <c r="F19" s="137"/>
      <c r="G19" s="137"/>
      <c r="H19" s="137"/>
      <c r="I19" s="137"/>
      <c r="J19" s="137"/>
      <c r="K19" s="137"/>
    </row>
    <row r="20" spans="1:11" x14ac:dyDescent="0.25">
      <c r="A20" s="137"/>
      <c r="B20" s="137"/>
      <c r="C20" s="137"/>
      <c r="D20" s="137"/>
      <c r="E20" s="137"/>
      <c r="F20" s="137"/>
      <c r="G20" s="137"/>
      <c r="H20" s="137"/>
      <c r="I20" s="137"/>
      <c r="J20" s="137"/>
      <c r="K20" s="137"/>
    </row>
    <row r="21" spans="1:11" x14ac:dyDescent="0.25">
      <c r="A21" s="137"/>
      <c r="B21" s="137"/>
      <c r="C21" s="137"/>
      <c r="D21" s="137"/>
      <c r="E21" s="137"/>
      <c r="F21" s="137"/>
      <c r="G21" s="137"/>
      <c r="H21" s="137"/>
      <c r="I21" s="137"/>
      <c r="J21" s="137"/>
      <c r="K21" s="137"/>
    </row>
    <row r="22" spans="1:11" x14ac:dyDescent="0.25">
      <c r="A22" s="137"/>
      <c r="B22" s="137"/>
      <c r="C22" s="137"/>
      <c r="D22" s="137"/>
      <c r="E22" s="137"/>
      <c r="F22" s="137"/>
      <c r="G22" s="137"/>
      <c r="H22" s="137"/>
      <c r="I22" s="137"/>
      <c r="J22" s="137"/>
      <c r="K22" s="137"/>
    </row>
    <row r="23" spans="1:11" x14ac:dyDescent="0.25">
      <c r="A23" s="137"/>
      <c r="B23" s="137"/>
      <c r="C23" s="137"/>
      <c r="D23" s="137"/>
      <c r="E23" s="137"/>
      <c r="F23" s="137"/>
      <c r="G23" s="137"/>
      <c r="H23" s="137"/>
      <c r="I23" s="137"/>
      <c r="J23" s="137"/>
      <c r="K23" s="137"/>
    </row>
    <row r="24" spans="1:11" x14ac:dyDescent="0.25">
      <c r="A24" s="137"/>
      <c r="B24" s="137"/>
      <c r="C24" s="137"/>
      <c r="D24" s="137"/>
      <c r="E24" s="137"/>
      <c r="F24" s="137"/>
      <c r="G24" s="137"/>
      <c r="H24" s="137"/>
      <c r="I24" s="137"/>
      <c r="J24" s="137"/>
      <c r="K24" s="137"/>
    </row>
    <row r="25" spans="1:11" x14ac:dyDescent="0.25">
      <c r="A25" s="137"/>
      <c r="B25" s="137"/>
      <c r="C25" s="137"/>
      <c r="D25" s="137"/>
      <c r="E25" s="137"/>
      <c r="F25" s="137"/>
      <c r="G25" s="137"/>
      <c r="H25" s="137"/>
      <c r="I25" s="137"/>
      <c r="J25" s="137"/>
      <c r="K25" s="137"/>
    </row>
    <row r="26" spans="1:11" x14ac:dyDescent="0.25">
      <c r="A26" s="137"/>
      <c r="B26" s="137"/>
      <c r="C26" s="137"/>
      <c r="D26" s="137"/>
      <c r="E26" s="137"/>
      <c r="F26" s="137"/>
      <c r="G26" s="137"/>
      <c r="H26" s="137"/>
      <c r="I26" s="137"/>
      <c r="J26" s="137"/>
      <c r="K26" s="137"/>
    </row>
    <row r="27" spans="1:11" x14ac:dyDescent="0.25">
      <c r="A27" s="137"/>
      <c r="B27" s="137"/>
      <c r="C27" s="137"/>
      <c r="D27" s="137"/>
      <c r="E27" s="137"/>
      <c r="F27" s="137"/>
      <c r="G27" s="137"/>
      <c r="H27" s="137"/>
      <c r="I27" s="137"/>
      <c r="J27" s="137"/>
      <c r="K27" s="137"/>
    </row>
    <row r="30" spans="1:11" x14ac:dyDescent="0.25">
      <c r="B30" s="133" t="s">
        <v>311</v>
      </c>
    </row>
  </sheetData>
  <mergeCells count="2">
    <mergeCell ref="A1:N1"/>
    <mergeCell ref="A15:K27"/>
  </mergeCells>
  <pageMargins left="0.511811024" right="0.511811024" top="0.78740157499999996" bottom="0.78740157499999996" header="0.31496062000000002" footer="0.31496062000000002"/>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88"/>
  <sheetViews>
    <sheetView workbookViewId="0">
      <selection activeCell="E61" sqref="E61"/>
    </sheetView>
  </sheetViews>
  <sheetFormatPr defaultColWidth="11.42578125" defaultRowHeight="15" x14ac:dyDescent="0.25"/>
  <cols>
    <col min="1" max="1" width="121" bestFit="1" customWidth="1"/>
  </cols>
  <sheetData>
    <row r="1" spans="1:13" x14ac:dyDescent="0.25">
      <c r="A1" s="147" t="s">
        <v>256</v>
      </c>
      <c r="B1" s="147"/>
      <c r="C1" s="147"/>
      <c r="D1" s="147"/>
      <c r="E1" s="147"/>
      <c r="F1" s="147"/>
      <c r="G1" s="147"/>
      <c r="H1" s="147"/>
      <c r="I1" s="147"/>
      <c r="J1" s="147"/>
      <c r="K1" s="147"/>
      <c r="L1" s="147"/>
      <c r="M1" s="147"/>
    </row>
    <row r="2" spans="1:13" x14ac:dyDescent="0.25">
      <c r="A2" s="87">
        <v>2016</v>
      </c>
      <c r="B2" s="88" t="s">
        <v>183</v>
      </c>
      <c r="C2" s="88" t="s">
        <v>184</v>
      </c>
    </row>
    <row r="3" spans="1:13" x14ac:dyDescent="0.25">
      <c r="A3" s="89" t="s">
        <v>185</v>
      </c>
      <c r="B3" s="89">
        <v>59</v>
      </c>
      <c r="C3" s="20">
        <f t="shared" ref="C3:C25" si="0">B3/B$27</f>
        <v>0.2565217391304348</v>
      </c>
    </row>
    <row r="4" spans="1:13" x14ac:dyDescent="0.25">
      <c r="A4" s="89" t="s">
        <v>186</v>
      </c>
      <c r="B4" s="89">
        <v>77</v>
      </c>
      <c r="C4" s="20">
        <f t="shared" si="0"/>
        <v>0.33478260869565218</v>
      </c>
    </row>
    <row r="5" spans="1:13" x14ac:dyDescent="0.25">
      <c r="A5" s="89" t="s">
        <v>187</v>
      </c>
      <c r="B5" s="89">
        <v>102</v>
      </c>
      <c r="C5" s="20">
        <f t="shared" si="0"/>
        <v>0.44347826086956521</v>
      </c>
    </row>
    <row r="6" spans="1:13" x14ac:dyDescent="0.25">
      <c r="A6" s="89" t="s">
        <v>188</v>
      </c>
      <c r="B6" s="89">
        <v>161</v>
      </c>
      <c r="C6" s="20">
        <f t="shared" si="0"/>
        <v>0.7</v>
      </c>
    </row>
    <row r="7" spans="1:13" x14ac:dyDescent="0.25">
      <c r="A7" s="89" t="s">
        <v>32</v>
      </c>
      <c r="B7" s="89">
        <v>161</v>
      </c>
      <c r="C7" s="20">
        <f t="shared" si="0"/>
        <v>0.7</v>
      </c>
    </row>
    <row r="8" spans="1:13" x14ac:dyDescent="0.25">
      <c r="A8" s="89" t="s">
        <v>189</v>
      </c>
      <c r="B8" s="89">
        <v>177</v>
      </c>
      <c r="C8" s="20">
        <f t="shared" si="0"/>
        <v>0.76956521739130435</v>
      </c>
    </row>
    <row r="9" spans="1:13" x14ac:dyDescent="0.25">
      <c r="A9" s="89" t="s">
        <v>41</v>
      </c>
      <c r="B9" s="89">
        <v>178</v>
      </c>
      <c r="C9" s="20">
        <f t="shared" si="0"/>
        <v>0.77391304347826084</v>
      </c>
    </row>
    <row r="10" spans="1:13" x14ac:dyDescent="0.25">
      <c r="A10" s="89" t="s">
        <v>190</v>
      </c>
      <c r="B10" s="89">
        <v>193</v>
      </c>
      <c r="C10" s="20">
        <f t="shared" si="0"/>
        <v>0.83913043478260874</v>
      </c>
    </row>
    <row r="11" spans="1:13" x14ac:dyDescent="0.25">
      <c r="A11" s="89" t="s">
        <v>153</v>
      </c>
      <c r="B11" s="89">
        <v>196</v>
      </c>
      <c r="C11" s="20">
        <f t="shared" si="0"/>
        <v>0.85217391304347823</v>
      </c>
    </row>
    <row r="12" spans="1:13" x14ac:dyDescent="0.25">
      <c r="A12" s="89" t="s">
        <v>191</v>
      </c>
      <c r="B12" s="89">
        <v>202</v>
      </c>
      <c r="C12" s="20">
        <f t="shared" si="0"/>
        <v>0.87826086956521743</v>
      </c>
    </row>
    <row r="13" spans="1:13" x14ac:dyDescent="0.25">
      <c r="A13" s="89" t="s">
        <v>161</v>
      </c>
      <c r="B13" s="89">
        <v>218</v>
      </c>
      <c r="C13" s="20">
        <f t="shared" si="0"/>
        <v>0.94782608695652171</v>
      </c>
    </row>
    <row r="14" spans="1:13" x14ac:dyDescent="0.25">
      <c r="A14" s="89" t="s">
        <v>44</v>
      </c>
      <c r="B14" s="89">
        <v>218</v>
      </c>
      <c r="C14" s="20">
        <f t="shared" si="0"/>
        <v>0.94782608695652171</v>
      </c>
    </row>
    <row r="15" spans="1:13" x14ac:dyDescent="0.25">
      <c r="A15" s="89" t="s">
        <v>193</v>
      </c>
      <c r="B15" s="89">
        <v>221</v>
      </c>
      <c r="C15" s="20">
        <f t="shared" si="0"/>
        <v>0.96086956521739131</v>
      </c>
    </row>
    <row r="16" spans="1:13" x14ac:dyDescent="0.25">
      <c r="A16" s="89" t="s">
        <v>195</v>
      </c>
      <c r="B16" s="89">
        <v>221</v>
      </c>
      <c r="C16" s="20">
        <f t="shared" si="0"/>
        <v>0.96086956521739131</v>
      </c>
    </row>
    <row r="17" spans="1:16" x14ac:dyDescent="0.25">
      <c r="A17" s="89" t="s">
        <v>33</v>
      </c>
      <c r="B17" s="89">
        <v>222</v>
      </c>
      <c r="C17" s="20">
        <f t="shared" si="0"/>
        <v>0.9652173913043478</v>
      </c>
    </row>
    <row r="18" spans="1:16" x14ac:dyDescent="0.25">
      <c r="A18" s="89" t="s">
        <v>36</v>
      </c>
      <c r="B18" s="89">
        <v>223</v>
      </c>
      <c r="C18" s="20">
        <f t="shared" si="0"/>
        <v>0.9695652173913043</v>
      </c>
    </row>
    <row r="19" spans="1:16" x14ac:dyDescent="0.25">
      <c r="A19" s="89" t="s">
        <v>194</v>
      </c>
      <c r="B19" s="89">
        <v>223</v>
      </c>
      <c r="C19" s="20">
        <f t="shared" si="0"/>
        <v>0.9695652173913043</v>
      </c>
    </row>
    <row r="20" spans="1:16" x14ac:dyDescent="0.25">
      <c r="A20" s="89" t="s">
        <v>192</v>
      </c>
      <c r="B20" s="89">
        <v>224</v>
      </c>
      <c r="C20" s="20">
        <f t="shared" si="0"/>
        <v>0.97391304347826091</v>
      </c>
    </row>
    <row r="21" spans="1:16" x14ac:dyDescent="0.25">
      <c r="A21" s="89" t="s">
        <v>196</v>
      </c>
      <c r="B21" s="89">
        <v>224</v>
      </c>
      <c r="C21" s="20">
        <f t="shared" si="0"/>
        <v>0.97391304347826091</v>
      </c>
    </row>
    <row r="22" spans="1:16" x14ac:dyDescent="0.25">
      <c r="A22" s="89" t="s">
        <v>45</v>
      </c>
      <c r="B22" s="89">
        <v>225</v>
      </c>
      <c r="C22" s="20">
        <f t="shared" si="0"/>
        <v>0.97826086956521741</v>
      </c>
    </row>
    <row r="23" spans="1:16" x14ac:dyDescent="0.25">
      <c r="A23" s="89" t="s">
        <v>198</v>
      </c>
      <c r="B23" s="89">
        <v>227</v>
      </c>
      <c r="C23" s="20">
        <f t="shared" si="0"/>
        <v>0.9869565217391304</v>
      </c>
    </row>
    <row r="24" spans="1:16" x14ac:dyDescent="0.25">
      <c r="A24" s="89" t="s">
        <v>197</v>
      </c>
      <c r="B24" s="89">
        <v>229</v>
      </c>
      <c r="C24" s="20">
        <f t="shared" si="0"/>
        <v>0.9956521739130435</v>
      </c>
    </row>
    <row r="25" spans="1:16" x14ac:dyDescent="0.25">
      <c r="A25" s="89" t="s">
        <v>199</v>
      </c>
      <c r="B25" s="89">
        <v>230</v>
      </c>
      <c r="C25" s="20">
        <f t="shared" si="0"/>
        <v>1</v>
      </c>
    </row>
    <row r="26" spans="1:16" x14ac:dyDescent="0.25">
      <c r="A26" s="89"/>
      <c r="B26" s="89"/>
      <c r="C26" s="89"/>
    </row>
    <row r="27" spans="1:16" x14ac:dyDescent="0.25">
      <c r="A27" s="89" t="s">
        <v>201</v>
      </c>
      <c r="B27" s="89">
        <v>230</v>
      </c>
      <c r="C27" s="20">
        <f t="shared" ref="C27" si="1">B27/B$27</f>
        <v>1</v>
      </c>
    </row>
    <row r="29" spans="1:16" x14ac:dyDescent="0.25">
      <c r="A29" s="87">
        <v>2015</v>
      </c>
      <c r="B29" s="88" t="s">
        <v>183</v>
      </c>
      <c r="C29" s="88" t="s">
        <v>184</v>
      </c>
      <c r="D29" s="90"/>
      <c r="E29" s="90"/>
      <c r="F29" s="90"/>
      <c r="G29" s="90"/>
      <c r="H29" s="90"/>
      <c r="I29" s="90"/>
      <c r="J29" s="90"/>
      <c r="K29" s="90"/>
      <c r="L29" s="90"/>
      <c r="M29" s="90"/>
      <c r="N29" s="90"/>
      <c r="O29" s="90"/>
      <c r="P29" s="90"/>
    </row>
    <row r="30" spans="1:16" x14ac:dyDescent="0.25">
      <c r="A30" s="89" t="s">
        <v>185</v>
      </c>
      <c r="B30" s="89">
        <v>66</v>
      </c>
      <c r="C30" s="20">
        <f>B30/B$54</f>
        <v>0.28085106382978725</v>
      </c>
    </row>
    <row r="31" spans="1:16" x14ac:dyDescent="0.25">
      <c r="A31" s="89" t="s">
        <v>186</v>
      </c>
      <c r="B31" s="89">
        <v>86</v>
      </c>
      <c r="C31" s="20">
        <f t="shared" ref="C31:C54" si="2">B31/B$54</f>
        <v>0.36595744680851061</v>
      </c>
    </row>
    <row r="32" spans="1:16" x14ac:dyDescent="0.25">
      <c r="A32" s="89" t="s">
        <v>187</v>
      </c>
      <c r="B32" s="89">
        <v>101</v>
      </c>
      <c r="C32" s="20">
        <f t="shared" si="2"/>
        <v>0.4297872340425532</v>
      </c>
    </row>
    <row r="33" spans="1:3" x14ac:dyDescent="0.25">
      <c r="A33" s="89" t="s">
        <v>188</v>
      </c>
      <c r="B33" s="89">
        <v>154</v>
      </c>
      <c r="C33" s="20">
        <f t="shared" si="2"/>
        <v>0.65531914893617016</v>
      </c>
    </row>
    <row r="34" spans="1:3" x14ac:dyDescent="0.25">
      <c r="A34" s="89" t="s">
        <v>32</v>
      </c>
      <c r="B34" s="89">
        <v>170</v>
      </c>
      <c r="C34" s="20">
        <f t="shared" si="2"/>
        <v>0.72340425531914898</v>
      </c>
    </row>
    <row r="35" spans="1:3" x14ac:dyDescent="0.25">
      <c r="A35" s="89" t="s">
        <v>41</v>
      </c>
      <c r="B35" s="89">
        <v>180</v>
      </c>
      <c r="C35" s="20">
        <f t="shared" si="2"/>
        <v>0.76595744680851063</v>
      </c>
    </row>
    <row r="36" spans="1:3" x14ac:dyDescent="0.25">
      <c r="A36" s="89" t="s">
        <v>189</v>
      </c>
      <c r="B36" s="89">
        <v>181</v>
      </c>
      <c r="C36" s="20">
        <f t="shared" si="2"/>
        <v>0.77021276595744681</v>
      </c>
    </row>
    <row r="37" spans="1:3" x14ac:dyDescent="0.25">
      <c r="A37" s="89" t="s">
        <v>190</v>
      </c>
      <c r="B37" s="89">
        <v>184</v>
      </c>
      <c r="C37" s="20">
        <f t="shared" si="2"/>
        <v>0.78297872340425534</v>
      </c>
    </row>
    <row r="38" spans="1:3" x14ac:dyDescent="0.25">
      <c r="A38" s="89" t="s">
        <v>153</v>
      </c>
      <c r="B38" s="89">
        <v>198</v>
      </c>
      <c r="C38" s="20">
        <f t="shared" si="2"/>
        <v>0.8425531914893617</v>
      </c>
    </row>
    <row r="39" spans="1:3" x14ac:dyDescent="0.25">
      <c r="A39" s="89" t="s">
        <v>191</v>
      </c>
      <c r="B39" s="89">
        <v>201</v>
      </c>
      <c r="C39" s="20">
        <f t="shared" si="2"/>
        <v>0.85531914893617023</v>
      </c>
    </row>
    <row r="40" spans="1:3" x14ac:dyDescent="0.25">
      <c r="A40" s="89" t="s">
        <v>36</v>
      </c>
      <c r="B40" s="89">
        <v>218</v>
      </c>
      <c r="C40" s="20">
        <f t="shared" si="2"/>
        <v>0.92765957446808511</v>
      </c>
    </row>
    <row r="41" spans="1:3" x14ac:dyDescent="0.25">
      <c r="A41" s="89" t="s">
        <v>161</v>
      </c>
      <c r="B41" s="89">
        <v>218</v>
      </c>
      <c r="C41" s="20">
        <f t="shared" si="2"/>
        <v>0.92765957446808511</v>
      </c>
    </row>
    <row r="42" spans="1:3" x14ac:dyDescent="0.25">
      <c r="A42" s="89" t="s">
        <v>44</v>
      </c>
      <c r="B42" s="89">
        <v>222</v>
      </c>
      <c r="C42" s="20">
        <f t="shared" si="2"/>
        <v>0.94468085106382982</v>
      </c>
    </row>
    <row r="43" spans="1:3" x14ac:dyDescent="0.25">
      <c r="A43" s="89" t="s">
        <v>192</v>
      </c>
      <c r="B43" s="89">
        <v>222</v>
      </c>
      <c r="C43" s="20">
        <f t="shared" si="2"/>
        <v>0.94468085106382982</v>
      </c>
    </row>
    <row r="44" spans="1:3" x14ac:dyDescent="0.25">
      <c r="A44" s="89" t="s">
        <v>193</v>
      </c>
      <c r="B44" s="89">
        <v>224</v>
      </c>
      <c r="C44" s="20">
        <f t="shared" si="2"/>
        <v>0.95319148936170217</v>
      </c>
    </row>
    <row r="45" spans="1:3" x14ac:dyDescent="0.25">
      <c r="A45" s="89" t="s">
        <v>194</v>
      </c>
      <c r="B45" s="89">
        <v>224</v>
      </c>
      <c r="C45" s="20">
        <f t="shared" si="2"/>
        <v>0.95319148936170217</v>
      </c>
    </row>
    <row r="46" spans="1:3" x14ac:dyDescent="0.25">
      <c r="A46" s="89" t="s">
        <v>33</v>
      </c>
      <c r="B46" s="89">
        <v>226</v>
      </c>
      <c r="C46" s="20">
        <f t="shared" si="2"/>
        <v>0.96170212765957441</v>
      </c>
    </row>
    <row r="47" spans="1:3" x14ac:dyDescent="0.25">
      <c r="A47" s="89" t="s">
        <v>195</v>
      </c>
      <c r="B47" s="89">
        <v>226</v>
      </c>
      <c r="C47" s="20">
        <f t="shared" si="2"/>
        <v>0.96170212765957441</v>
      </c>
    </row>
    <row r="48" spans="1:3" x14ac:dyDescent="0.25">
      <c r="A48" s="89" t="s">
        <v>196</v>
      </c>
      <c r="B48" s="89">
        <v>226</v>
      </c>
      <c r="C48" s="20">
        <f t="shared" si="2"/>
        <v>0.96170212765957441</v>
      </c>
    </row>
    <row r="49" spans="1:5" x14ac:dyDescent="0.25">
      <c r="A49" s="89" t="s">
        <v>197</v>
      </c>
      <c r="B49" s="89">
        <v>230</v>
      </c>
      <c r="C49" s="20">
        <f t="shared" si="2"/>
        <v>0.97872340425531912</v>
      </c>
    </row>
    <row r="50" spans="1:5" x14ac:dyDescent="0.25">
      <c r="A50" s="89" t="s">
        <v>45</v>
      </c>
      <c r="B50" s="89">
        <v>231</v>
      </c>
      <c r="C50" s="20">
        <f t="shared" si="2"/>
        <v>0.98297872340425529</v>
      </c>
    </row>
    <row r="51" spans="1:5" x14ac:dyDescent="0.25">
      <c r="A51" s="89" t="s">
        <v>198</v>
      </c>
      <c r="B51" s="89">
        <v>231</v>
      </c>
      <c r="C51" s="20">
        <f t="shared" si="2"/>
        <v>0.98297872340425529</v>
      </c>
    </row>
    <row r="52" spans="1:5" x14ac:dyDescent="0.25">
      <c r="A52" s="89" t="s">
        <v>199</v>
      </c>
      <c r="B52" s="89">
        <v>232</v>
      </c>
      <c r="C52" s="20">
        <f t="shared" si="2"/>
        <v>0.98723404255319147</v>
      </c>
    </row>
    <row r="53" spans="1:5" x14ac:dyDescent="0.25">
      <c r="A53" s="89"/>
      <c r="B53" s="89"/>
      <c r="C53" s="89"/>
    </row>
    <row r="54" spans="1:5" x14ac:dyDescent="0.25">
      <c r="A54" s="89" t="s">
        <v>201</v>
      </c>
      <c r="B54" s="89">
        <v>235</v>
      </c>
      <c r="C54" s="20">
        <f t="shared" si="2"/>
        <v>1</v>
      </c>
    </row>
    <row r="60" spans="1:5" ht="15" customHeight="1" x14ac:dyDescent="0.25">
      <c r="A60" s="151" t="s">
        <v>313</v>
      </c>
      <c r="B60" s="151"/>
    </row>
    <row r="61" spans="1:5" x14ac:dyDescent="0.25">
      <c r="A61" s="151"/>
      <c r="B61" s="151"/>
      <c r="E61" s="133" t="s">
        <v>312</v>
      </c>
    </row>
    <row r="62" spans="1:5" x14ac:dyDescent="0.25">
      <c r="A62" s="151"/>
      <c r="B62" s="151"/>
    </row>
    <row r="63" spans="1:5" x14ac:dyDescent="0.25">
      <c r="A63" s="151"/>
      <c r="B63" s="151"/>
    </row>
    <row r="64" spans="1:5" x14ac:dyDescent="0.25">
      <c r="A64" s="22"/>
      <c r="B64" s="22"/>
    </row>
    <row r="65" spans="1:2" x14ac:dyDescent="0.25">
      <c r="A65" s="22"/>
      <c r="B65" s="22"/>
    </row>
    <row r="66" spans="1:2" x14ac:dyDescent="0.25">
      <c r="A66" s="22"/>
      <c r="B66" s="22"/>
    </row>
    <row r="67" spans="1:2" x14ac:dyDescent="0.25">
      <c r="A67" s="22"/>
      <c r="B67" s="22"/>
    </row>
    <row r="88" spans="4:4" x14ac:dyDescent="0.25">
      <c r="D88" t="s">
        <v>200</v>
      </c>
    </row>
  </sheetData>
  <sortState ref="A3:C25">
    <sortCondition ref="B3:B25"/>
  </sortState>
  <mergeCells count="2">
    <mergeCell ref="A60:B63"/>
    <mergeCell ref="A1:M1"/>
  </mergeCells>
  <pageMargins left="0.511811024" right="0.511811024" top="0.78740157499999996" bottom="0.78740157499999996" header="0.31496062000000002" footer="0.31496062000000002"/>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27"/>
  <sheetViews>
    <sheetView topLeftCell="C1" workbookViewId="0">
      <selection activeCell="C19" sqref="C19"/>
    </sheetView>
  </sheetViews>
  <sheetFormatPr defaultRowHeight="15" x14ac:dyDescent="0.25"/>
  <cols>
    <col min="1" max="1" width="64.5703125" customWidth="1"/>
    <col min="2" max="2" width="21.140625" bestFit="1" customWidth="1"/>
    <col min="3" max="8" width="21.140625" customWidth="1"/>
  </cols>
  <sheetData>
    <row r="1" spans="1:9" x14ac:dyDescent="0.25">
      <c r="A1" s="136" t="s">
        <v>259</v>
      </c>
      <c r="B1" s="136"/>
      <c r="C1" s="136"/>
      <c r="D1" s="136"/>
      <c r="E1" s="136"/>
    </row>
    <row r="2" spans="1:9" ht="45" x14ac:dyDescent="0.25">
      <c r="A2" s="91" t="s">
        <v>235</v>
      </c>
      <c r="B2" s="93" t="s">
        <v>229</v>
      </c>
      <c r="C2" s="93" t="s">
        <v>230</v>
      </c>
      <c r="D2" s="93" t="s">
        <v>231</v>
      </c>
      <c r="E2" s="93" t="s">
        <v>237</v>
      </c>
      <c r="F2" s="93" t="s">
        <v>232</v>
      </c>
      <c r="G2" s="93" t="s">
        <v>233</v>
      </c>
      <c r="H2" s="93" t="s">
        <v>234</v>
      </c>
    </row>
    <row r="3" spans="1:9" x14ac:dyDescent="0.25">
      <c r="A3" s="4" t="s">
        <v>236</v>
      </c>
      <c r="B3" s="72">
        <v>2998</v>
      </c>
      <c r="C3" s="72">
        <v>27</v>
      </c>
      <c r="D3" s="72">
        <v>35</v>
      </c>
      <c r="E3" s="72">
        <v>258</v>
      </c>
      <c r="F3" s="72">
        <v>705</v>
      </c>
      <c r="G3" s="72">
        <v>91</v>
      </c>
      <c r="H3" s="72">
        <v>1667</v>
      </c>
      <c r="I3" s="101">
        <f>SUM(B3:H3)</f>
        <v>5781</v>
      </c>
    </row>
    <row r="4" spans="1:9" ht="30" x14ac:dyDescent="0.25">
      <c r="A4" s="29" t="s">
        <v>238</v>
      </c>
      <c r="B4" s="72">
        <v>2965</v>
      </c>
      <c r="C4" s="72">
        <v>25</v>
      </c>
      <c r="D4" s="72">
        <v>33</v>
      </c>
      <c r="E4" s="72">
        <v>240</v>
      </c>
      <c r="F4" s="72">
        <v>610</v>
      </c>
      <c r="G4" s="72">
        <v>83</v>
      </c>
      <c r="H4" s="72">
        <v>1417</v>
      </c>
      <c r="I4" s="101">
        <f t="shared" ref="I4:I5" si="0">SUM(B4:H4)</f>
        <v>5373</v>
      </c>
    </row>
    <row r="5" spans="1:9" x14ac:dyDescent="0.25">
      <c r="A5" s="5" t="s">
        <v>257</v>
      </c>
      <c r="B5" s="72">
        <v>2931</v>
      </c>
      <c r="C5" s="72">
        <v>22</v>
      </c>
      <c r="D5" s="72">
        <v>33</v>
      </c>
      <c r="E5" s="72">
        <v>219</v>
      </c>
      <c r="F5" s="72">
        <v>514</v>
      </c>
      <c r="G5" s="72">
        <v>72</v>
      </c>
      <c r="H5" s="72">
        <v>1138</v>
      </c>
      <c r="I5" s="101">
        <f t="shared" si="0"/>
        <v>4929</v>
      </c>
    </row>
    <row r="6" spans="1:9" ht="45" x14ac:dyDescent="0.25">
      <c r="A6" s="5" t="s">
        <v>239</v>
      </c>
      <c r="B6" s="102">
        <f>B5/B4</f>
        <v>0.98853288364249581</v>
      </c>
      <c r="C6" s="102">
        <f t="shared" ref="C6:I6" si="1">C5/C4</f>
        <v>0.88</v>
      </c>
      <c r="D6" s="102">
        <f t="shared" si="1"/>
        <v>1</v>
      </c>
      <c r="E6" s="102">
        <f t="shared" si="1"/>
        <v>0.91249999999999998</v>
      </c>
      <c r="F6" s="102">
        <f t="shared" si="1"/>
        <v>0.84262295081967209</v>
      </c>
      <c r="G6" s="102">
        <f t="shared" si="1"/>
        <v>0.86746987951807231</v>
      </c>
      <c r="H6" s="102">
        <f t="shared" si="1"/>
        <v>0.80310515172900498</v>
      </c>
      <c r="I6" s="102">
        <f t="shared" si="1"/>
        <v>0.91736460078168625</v>
      </c>
    </row>
    <row r="7" spans="1:9" x14ac:dyDescent="0.25">
      <c r="A7" s="5" t="s">
        <v>258</v>
      </c>
      <c r="B7" s="84">
        <f>B4-B5</f>
        <v>34</v>
      </c>
      <c r="C7" s="84">
        <f t="shared" ref="C7:I7" si="2">C4-C5</f>
        <v>3</v>
      </c>
      <c r="D7" s="84">
        <f t="shared" si="2"/>
        <v>0</v>
      </c>
      <c r="E7" s="84">
        <f t="shared" si="2"/>
        <v>21</v>
      </c>
      <c r="F7" s="84">
        <f t="shared" si="2"/>
        <v>96</v>
      </c>
      <c r="G7" s="84">
        <f t="shared" si="2"/>
        <v>11</v>
      </c>
      <c r="H7" s="84">
        <f t="shared" si="2"/>
        <v>279</v>
      </c>
      <c r="I7" s="84">
        <f t="shared" si="2"/>
        <v>444</v>
      </c>
    </row>
    <row r="10" spans="1:9" ht="15" customHeight="1" x14ac:dyDescent="0.25">
      <c r="C10" s="137" t="s">
        <v>314</v>
      </c>
      <c r="D10" s="137"/>
      <c r="E10" s="137"/>
      <c r="F10" s="137"/>
      <c r="G10" s="137"/>
    </row>
    <row r="11" spans="1:9" x14ac:dyDescent="0.25">
      <c r="C11" s="137"/>
      <c r="D11" s="137"/>
      <c r="E11" s="137"/>
      <c r="F11" s="137"/>
      <c r="G11" s="137"/>
    </row>
    <row r="12" spans="1:9" x14ac:dyDescent="0.25">
      <c r="C12" s="137"/>
      <c r="D12" s="137"/>
      <c r="E12" s="137"/>
      <c r="F12" s="137"/>
      <c r="G12" s="137"/>
    </row>
    <row r="13" spans="1:9" x14ac:dyDescent="0.25">
      <c r="C13" s="137"/>
      <c r="D13" s="137"/>
      <c r="E13" s="137"/>
      <c r="F13" s="137"/>
      <c r="G13" s="137"/>
    </row>
    <row r="14" spans="1:9" x14ac:dyDescent="0.25">
      <c r="C14" s="137"/>
      <c r="D14" s="137"/>
      <c r="E14" s="137"/>
      <c r="F14" s="137"/>
      <c r="G14" s="137"/>
    </row>
    <row r="15" spans="1:9" x14ac:dyDescent="0.25">
      <c r="C15" s="137"/>
      <c r="D15" s="137"/>
      <c r="E15" s="137"/>
      <c r="F15" s="137"/>
      <c r="G15" s="137"/>
    </row>
    <row r="19" spans="3:7" x14ac:dyDescent="0.25">
      <c r="C19" s="133" t="s">
        <v>315</v>
      </c>
    </row>
    <row r="22" spans="3:7" x14ac:dyDescent="0.25">
      <c r="C22" s="137"/>
      <c r="D22" s="137"/>
      <c r="E22" s="137"/>
      <c r="F22" s="137"/>
      <c r="G22" s="137"/>
    </row>
    <row r="23" spans="3:7" x14ac:dyDescent="0.25">
      <c r="C23" s="137"/>
      <c r="D23" s="137"/>
      <c r="E23" s="137"/>
      <c r="F23" s="137"/>
      <c r="G23" s="137"/>
    </row>
    <row r="24" spans="3:7" x14ac:dyDescent="0.25">
      <c r="C24" s="137"/>
      <c r="D24" s="137"/>
      <c r="E24" s="137"/>
      <c r="F24" s="137"/>
      <c r="G24" s="137"/>
    </row>
    <row r="25" spans="3:7" x14ac:dyDescent="0.25">
      <c r="C25" s="137"/>
      <c r="D25" s="137"/>
      <c r="E25" s="137"/>
      <c r="F25" s="137"/>
      <c r="G25" s="137"/>
    </row>
    <row r="26" spans="3:7" x14ac:dyDescent="0.25">
      <c r="C26" s="137"/>
      <c r="D26" s="137"/>
      <c r="E26" s="137"/>
      <c r="F26" s="137"/>
      <c r="G26" s="137"/>
    </row>
    <row r="27" spans="3:7" x14ac:dyDescent="0.25">
      <c r="C27" s="137"/>
      <c r="D27" s="137"/>
      <c r="E27" s="137"/>
      <c r="F27" s="137"/>
      <c r="G27" s="137"/>
    </row>
  </sheetData>
  <mergeCells count="3">
    <mergeCell ref="A1:E1"/>
    <mergeCell ref="C10:G15"/>
    <mergeCell ref="C22:G27"/>
  </mergeCells>
  <pageMargins left="0.511811024" right="0.511811024" top="0.78740157499999996" bottom="0.78740157499999996" header="0.31496062000000002" footer="0.31496062000000002"/>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E38"/>
  <sheetViews>
    <sheetView workbookViewId="0">
      <selection activeCell="C38" sqref="C38"/>
    </sheetView>
  </sheetViews>
  <sheetFormatPr defaultRowHeight="15" x14ac:dyDescent="0.25"/>
  <cols>
    <col min="1" max="1" width="99.42578125" bestFit="1" customWidth="1"/>
    <col min="2" max="2" width="5" bestFit="1" customWidth="1"/>
    <col min="3" max="3" width="6.140625" bestFit="1" customWidth="1"/>
  </cols>
  <sheetData>
    <row r="1" spans="1:3" x14ac:dyDescent="0.25">
      <c r="A1" s="150" t="s">
        <v>316</v>
      </c>
      <c r="B1" s="150"/>
      <c r="C1" s="150"/>
    </row>
    <row r="2" spans="1:3" x14ac:dyDescent="0.25">
      <c r="A2" s="128"/>
      <c r="B2" s="128"/>
      <c r="C2" s="128"/>
    </row>
    <row r="3" spans="1:3" x14ac:dyDescent="0.25">
      <c r="A3" t="s">
        <v>214</v>
      </c>
      <c r="B3">
        <v>53</v>
      </c>
      <c r="C3" s="21">
        <f t="shared" ref="C3:C19" si="0">B3/B$21</f>
        <v>9.1679640200657327E-3</v>
      </c>
    </row>
    <row r="4" spans="1:3" x14ac:dyDescent="0.25">
      <c r="A4" t="s">
        <v>67</v>
      </c>
      <c r="B4">
        <v>2610</v>
      </c>
      <c r="C4" s="21">
        <f t="shared" si="0"/>
        <v>0.45147898287493515</v>
      </c>
    </row>
    <row r="5" spans="1:3" x14ac:dyDescent="0.25">
      <c r="A5" t="s">
        <v>215</v>
      </c>
      <c r="B5">
        <v>2831</v>
      </c>
      <c r="C5" s="21">
        <f t="shared" si="0"/>
        <v>0.48970766303407715</v>
      </c>
    </row>
    <row r="6" spans="1:3" x14ac:dyDescent="0.25">
      <c r="A6" t="s">
        <v>212</v>
      </c>
      <c r="B6">
        <v>3325</v>
      </c>
      <c r="C6" s="21">
        <f t="shared" si="0"/>
        <v>0.57516000691921809</v>
      </c>
    </row>
    <row r="7" spans="1:3" x14ac:dyDescent="0.25">
      <c r="A7" t="s">
        <v>206</v>
      </c>
      <c r="B7">
        <v>3364</v>
      </c>
      <c r="C7" s="21">
        <f t="shared" si="0"/>
        <v>0.5819062445943608</v>
      </c>
    </row>
    <row r="8" spans="1:3" x14ac:dyDescent="0.25">
      <c r="A8" t="s">
        <v>204</v>
      </c>
      <c r="B8">
        <v>3509</v>
      </c>
      <c r="C8" s="21">
        <f t="shared" si="0"/>
        <v>0.60698841030963502</v>
      </c>
    </row>
    <row r="9" spans="1:3" x14ac:dyDescent="0.25">
      <c r="A9" t="s">
        <v>205</v>
      </c>
      <c r="B9">
        <v>3573</v>
      </c>
      <c r="C9" s="21">
        <f t="shared" si="0"/>
        <v>0.61805915931499744</v>
      </c>
    </row>
    <row r="10" spans="1:3" x14ac:dyDescent="0.25">
      <c r="A10" t="s">
        <v>209</v>
      </c>
      <c r="B10">
        <v>3768</v>
      </c>
      <c r="C10" s="21">
        <f t="shared" si="0"/>
        <v>0.65179034769071098</v>
      </c>
    </row>
    <row r="11" spans="1:3" x14ac:dyDescent="0.25">
      <c r="A11" t="s">
        <v>66</v>
      </c>
      <c r="B11">
        <v>4100</v>
      </c>
      <c r="C11" s="21">
        <f t="shared" si="0"/>
        <v>0.70921985815602839</v>
      </c>
    </row>
    <row r="12" spans="1:3" x14ac:dyDescent="0.25">
      <c r="A12" t="s">
        <v>213</v>
      </c>
      <c r="B12">
        <v>4154</v>
      </c>
      <c r="C12" s="21">
        <f t="shared" si="0"/>
        <v>0.71856080262930289</v>
      </c>
    </row>
    <row r="13" spans="1:3" x14ac:dyDescent="0.25">
      <c r="A13" t="s">
        <v>210</v>
      </c>
      <c r="B13">
        <v>4436</v>
      </c>
      <c r="C13" s="21">
        <f t="shared" si="0"/>
        <v>0.76734129043418098</v>
      </c>
    </row>
    <row r="14" spans="1:3" x14ac:dyDescent="0.25">
      <c r="A14" t="s">
        <v>211</v>
      </c>
      <c r="B14">
        <v>4551</v>
      </c>
      <c r="C14" s="21">
        <f t="shared" si="0"/>
        <v>0.78723404255319152</v>
      </c>
    </row>
    <row r="15" spans="1:3" x14ac:dyDescent="0.25">
      <c r="A15" t="s">
        <v>203</v>
      </c>
      <c r="B15">
        <v>4554</v>
      </c>
      <c r="C15" s="21">
        <f t="shared" si="0"/>
        <v>0.78775298391281789</v>
      </c>
    </row>
    <row r="16" spans="1:3" x14ac:dyDescent="0.25">
      <c r="A16" t="s">
        <v>208</v>
      </c>
      <c r="B16">
        <v>4767</v>
      </c>
      <c r="C16" s="21">
        <f t="shared" si="0"/>
        <v>0.8245978204462896</v>
      </c>
    </row>
    <row r="17" spans="1:5" x14ac:dyDescent="0.25">
      <c r="A17" t="s">
        <v>207</v>
      </c>
      <c r="B17">
        <v>4794</v>
      </c>
      <c r="C17" s="21">
        <f t="shared" si="0"/>
        <v>0.82926829268292679</v>
      </c>
    </row>
    <row r="18" spans="1:5" x14ac:dyDescent="0.25">
      <c r="A18" t="s">
        <v>71</v>
      </c>
      <c r="B18">
        <v>4923</v>
      </c>
      <c r="C18" s="21">
        <f t="shared" si="0"/>
        <v>0.85158277114686043</v>
      </c>
    </row>
    <row r="19" spans="1:5" x14ac:dyDescent="0.25">
      <c r="A19" t="s">
        <v>113</v>
      </c>
      <c r="B19">
        <v>4968</v>
      </c>
      <c r="C19" s="21">
        <f t="shared" si="0"/>
        <v>0.85936689154125578</v>
      </c>
    </row>
    <row r="21" spans="1:5" x14ac:dyDescent="0.25">
      <c r="A21" s="4" t="s">
        <v>202</v>
      </c>
      <c r="B21" s="44">
        <v>5781</v>
      </c>
    </row>
    <row r="30" spans="1:5" x14ac:dyDescent="0.25">
      <c r="A30" s="137" t="s">
        <v>283</v>
      </c>
      <c r="B30" s="137"/>
      <c r="C30" s="137"/>
      <c r="D30" s="137"/>
      <c r="E30" s="137"/>
    </row>
    <row r="31" spans="1:5" x14ac:dyDescent="0.25">
      <c r="A31" s="137"/>
      <c r="B31" s="137"/>
      <c r="C31" s="137"/>
      <c r="D31" s="137"/>
      <c r="E31" s="137"/>
    </row>
    <row r="32" spans="1:5" x14ac:dyDescent="0.25">
      <c r="A32" s="137"/>
      <c r="B32" s="137"/>
      <c r="C32" s="137"/>
      <c r="D32" s="137"/>
      <c r="E32" s="137"/>
    </row>
    <row r="33" spans="1:5" x14ac:dyDescent="0.25">
      <c r="A33" s="137"/>
      <c r="B33" s="137"/>
      <c r="C33" s="137"/>
      <c r="D33" s="137"/>
      <c r="E33" s="137"/>
    </row>
    <row r="34" spans="1:5" x14ac:dyDescent="0.25">
      <c r="A34" s="137"/>
      <c r="B34" s="137"/>
      <c r="C34" s="137"/>
      <c r="D34" s="137"/>
      <c r="E34" s="137"/>
    </row>
    <row r="35" spans="1:5" x14ac:dyDescent="0.25">
      <c r="A35" s="137"/>
      <c r="B35" s="137"/>
      <c r="C35" s="137"/>
      <c r="D35" s="137"/>
      <c r="E35" s="137"/>
    </row>
    <row r="38" spans="1:5" x14ac:dyDescent="0.25">
      <c r="C38" s="135" t="s">
        <v>317</v>
      </c>
    </row>
  </sheetData>
  <autoFilter ref="A2:C2">
    <sortState ref="A3:C19">
      <sortCondition ref="C2"/>
    </sortState>
  </autoFilter>
  <mergeCells count="2">
    <mergeCell ref="A1:C1"/>
    <mergeCell ref="A30:E35"/>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I26"/>
  <sheetViews>
    <sheetView workbookViewId="0">
      <selection activeCell="M20" sqref="M20:AI20"/>
    </sheetView>
  </sheetViews>
  <sheetFormatPr defaultRowHeight="15" x14ac:dyDescent="0.25"/>
  <cols>
    <col min="1" max="1" width="13.140625" bestFit="1" customWidth="1"/>
    <col min="6" max="6" width="13" customWidth="1"/>
  </cols>
  <sheetData>
    <row r="1" spans="1:23" ht="15" customHeight="1" x14ac:dyDescent="0.25">
      <c r="A1" s="154" t="s">
        <v>260</v>
      </c>
      <c r="B1" s="154"/>
      <c r="C1" s="154"/>
      <c r="D1" s="154"/>
      <c r="E1" s="154"/>
      <c r="F1" s="154"/>
      <c r="G1" s="154"/>
      <c r="H1" s="154"/>
      <c r="I1" s="154"/>
      <c r="J1" s="154"/>
      <c r="K1" s="154"/>
      <c r="L1" s="154"/>
      <c r="M1" s="154"/>
      <c r="N1" s="154"/>
      <c r="O1" s="154"/>
      <c r="P1" s="154"/>
      <c r="Q1" s="154"/>
      <c r="R1" s="154"/>
      <c r="S1" s="154"/>
      <c r="T1" s="154"/>
      <c r="U1" s="154"/>
      <c r="V1" s="154"/>
      <c r="W1" s="154"/>
    </row>
    <row r="2" spans="1:23" ht="120" customHeight="1" x14ac:dyDescent="0.25">
      <c r="A2" s="107" t="s">
        <v>226</v>
      </c>
      <c r="B2" s="152" t="s">
        <v>261</v>
      </c>
      <c r="C2" s="152"/>
      <c r="D2" s="153" t="s">
        <v>262</v>
      </c>
      <c r="E2" s="153"/>
      <c r="F2" s="108" t="s">
        <v>79</v>
      </c>
    </row>
    <row r="3" spans="1:23" x14ac:dyDescent="0.25">
      <c r="A3" s="89" t="s">
        <v>61</v>
      </c>
      <c r="B3" s="114">
        <v>41</v>
      </c>
      <c r="C3" s="111">
        <f t="shared" ref="C3:C7" si="0">B3/$F3</f>
        <v>9.2550790067720087E-2</v>
      </c>
      <c r="D3" s="116">
        <v>25</v>
      </c>
      <c r="E3" s="111">
        <f t="shared" ref="E3:E7" si="1">D3/$F3</f>
        <v>5.6433408577878104E-2</v>
      </c>
      <c r="F3" s="115">
        <v>443</v>
      </c>
    </row>
    <row r="4" spans="1:23" x14ac:dyDescent="0.25">
      <c r="A4" s="89" t="s">
        <v>62</v>
      </c>
      <c r="B4" s="114">
        <v>66</v>
      </c>
      <c r="C4" s="111">
        <f t="shared" si="0"/>
        <v>3.7225042301184431E-2</v>
      </c>
      <c r="D4" s="116">
        <v>43</v>
      </c>
      <c r="E4" s="111">
        <f t="shared" si="1"/>
        <v>2.4252679075014102E-2</v>
      </c>
      <c r="F4" s="115">
        <v>1773</v>
      </c>
    </row>
    <row r="5" spans="1:23" x14ac:dyDescent="0.25">
      <c r="A5" s="89" t="s">
        <v>63</v>
      </c>
      <c r="B5" s="114">
        <v>205</v>
      </c>
      <c r="C5" s="111">
        <f t="shared" si="0"/>
        <v>0.12545899632802937</v>
      </c>
      <c r="D5" s="116">
        <v>176</v>
      </c>
      <c r="E5" s="111">
        <f t="shared" si="1"/>
        <v>0.10771113831089352</v>
      </c>
      <c r="F5" s="115">
        <v>1634</v>
      </c>
    </row>
    <row r="6" spans="1:23" x14ac:dyDescent="0.25">
      <c r="A6" s="89" t="s">
        <v>64</v>
      </c>
      <c r="B6" s="114">
        <v>188</v>
      </c>
      <c r="C6" s="111">
        <f t="shared" si="0"/>
        <v>0.1598639455782313</v>
      </c>
      <c r="D6" s="116">
        <v>176</v>
      </c>
      <c r="E6" s="111">
        <f t="shared" si="1"/>
        <v>0.14965986394557823</v>
      </c>
      <c r="F6" s="115">
        <v>1176</v>
      </c>
    </row>
    <row r="7" spans="1:23" x14ac:dyDescent="0.25">
      <c r="A7" s="89" t="s">
        <v>65</v>
      </c>
      <c r="B7" s="114">
        <v>22</v>
      </c>
      <c r="C7" s="111">
        <f t="shared" si="0"/>
        <v>4.8351648351648353E-2</v>
      </c>
      <c r="D7" s="116">
        <v>11</v>
      </c>
      <c r="E7" s="111">
        <f t="shared" si="1"/>
        <v>2.4175824175824177E-2</v>
      </c>
      <c r="F7" s="115">
        <v>455</v>
      </c>
    </row>
    <row r="8" spans="1:23" x14ac:dyDescent="0.25">
      <c r="A8" s="109" t="s">
        <v>136</v>
      </c>
      <c r="B8" s="110">
        <v>522</v>
      </c>
      <c r="C8" s="111">
        <f>B8/$F8</f>
        <v>9.5238095238095233E-2</v>
      </c>
      <c r="D8" s="112">
        <v>431</v>
      </c>
      <c r="E8" s="111">
        <f>D8/$F8</f>
        <v>7.8635285531837254E-2</v>
      </c>
      <c r="F8" s="113">
        <v>5481</v>
      </c>
    </row>
    <row r="9" spans="1:23" x14ac:dyDescent="0.25">
      <c r="C9" s="7"/>
    </row>
    <row r="18" spans="1:35" ht="15" customHeight="1" x14ac:dyDescent="0.25">
      <c r="A18" s="137" t="s">
        <v>318</v>
      </c>
      <c r="B18" s="137"/>
      <c r="C18" s="137"/>
      <c r="D18" s="137"/>
      <c r="E18" s="137"/>
      <c r="F18" s="137"/>
      <c r="G18" s="137"/>
      <c r="H18" s="137"/>
      <c r="I18" s="137"/>
    </row>
    <row r="19" spans="1:35" x14ac:dyDescent="0.25">
      <c r="A19" s="137"/>
      <c r="B19" s="137"/>
      <c r="C19" s="137"/>
      <c r="D19" s="137"/>
      <c r="E19" s="137"/>
      <c r="F19" s="137"/>
      <c r="G19" s="137"/>
      <c r="H19" s="137"/>
      <c r="I19" s="137"/>
    </row>
    <row r="20" spans="1:35" x14ac:dyDescent="0.25">
      <c r="A20" s="137"/>
      <c r="B20" s="137"/>
      <c r="C20" s="137"/>
      <c r="D20" s="137"/>
      <c r="E20" s="137"/>
      <c r="F20" s="137"/>
      <c r="G20" s="137"/>
      <c r="H20" s="137"/>
      <c r="I20" s="137"/>
      <c r="M20" s="155" t="s">
        <v>319</v>
      </c>
      <c r="N20" s="155"/>
      <c r="O20" s="155"/>
      <c r="P20" s="155"/>
      <c r="Q20" s="155"/>
      <c r="R20" s="155"/>
      <c r="S20" s="155"/>
      <c r="T20" s="155"/>
      <c r="U20" s="155"/>
      <c r="V20" s="155"/>
      <c r="W20" s="155"/>
      <c r="X20" s="155"/>
      <c r="Y20" s="155"/>
      <c r="Z20" s="155"/>
      <c r="AA20" s="155"/>
      <c r="AB20" s="155"/>
      <c r="AC20" s="155"/>
      <c r="AD20" s="155"/>
      <c r="AE20" s="155"/>
      <c r="AF20" s="155"/>
      <c r="AG20" s="155"/>
      <c r="AH20" s="155"/>
      <c r="AI20" s="155"/>
    </row>
    <row r="21" spans="1:35" x14ac:dyDescent="0.25">
      <c r="A21" s="137"/>
      <c r="B21" s="137"/>
      <c r="C21" s="137"/>
      <c r="D21" s="137"/>
      <c r="E21" s="137"/>
      <c r="F21" s="137"/>
      <c r="G21" s="137"/>
      <c r="H21" s="137"/>
      <c r="I21" s="137"/>
    </row>
    <row r="22" spans="1:35" x14ac:dyDescent="0.25">
      <c r="A22" s="137"/>
      <c r="B22" s="137"/>
      <c r="C22" s="137"/>
      <c r="D22" s="137"/>
      <c r="E22" s="137"/>
      <c r="F22" s="137"/>
      <c r="G22" s="137"/>
      <c r="H22" s="137"/>
      <c r="I22" s="137"/>
    </row>
    <row r="23" spans="1:35" x14ac:dyDescent="0.25">
      <c r="A23" s="137"/>
      <c r="B23" s="137"/>
      <c r="C23" s="137"/>
      <c r="D23" s="137"/>
      <c r="E23" s="137"/>
      <c r="F23" s="137"/>
      <c r="G23" s="137"/>
      <c r="H23" s="137"/>
      <c r="I23" s="137"/>
    </row>
    <row r="24" spans="1:35" x14ac:dyDescent="0.25">
      <c r="A24" s="137"/>
      <c r="B24" s="137"/>
      <c r="C24" s="137"/>
      <c r="D24" s="137"/>
      <c r="E24" s="137"/>
      <c r="F24" s="137"/>
      <c r="G24" s="137"/>
      <c r="H24" s="137"/>
      <c r="I24" s="137"/>
    </row>
    <row r="25" spans="1:35" x14ac:dyDescent="0.25">
      <c r="A25" s="137"/>
      <c r="B25" s="137"/>
      <c r="C25" s="137"/>
      <c r="D25" s="137"/>
      <c r="E25" s="137"/>
      <c r="F25" s="137"/>
      <c r="G25" s="137"/>
      <c r="H25" s="137"/>
      <c r="I25" s="137"/>
    </row>
    <row r="26" spans="1:35" x14ac:dyDescent="0.25">
      <c r="A26" s="137"/>
      <c r="B26" s="137"/>
      <c r="C26" s="137"/>
      <c r="D26" s="137"/>
      <c r="E26" s="137"/>
      <c r="F26" s="137"/>
      <c r="G26" s="137"/>
      <c r="H26" s="137"/>
      <c r="I26" s="137"/>
    </row>
  </sheetData>
  <mergeCells count="5">
    <mergeCell ref="A18:I26"/>
    <mergeCell ref="B2:C2"/>
    <mergeCell ref="D2:E2"/>
    <mergeCell ref="A1:W1"/>
    <mergeCell ref="M20:AI20"/>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F23"/>
  <sheetViews>
    <sheetView workbookViewId="0">
      <selection activeCell="J25" sqref="J25"/>
    </sheetView>
  </sheetViews>
  <sheetFormatPr defaultRowHeight="15" x14ac:dyDescent="0.25"/>
  <cols>
    <col min="1" max="1" width="58.85546875" bestFit="1" customWidth="1"/>
    <col min="2" max="2" width="9.7109375" bestFit="1" customWidth="1"/>
    <col min="3" max="4" width="6.140625" bestFit="1" customWidth="1"/>
    <col min="5" max="6" width="6.85546875" bestFit="1" customWidth="1"/>
    <col min="7" max="7" width="7.85546875" bestFit="1" customWidth="1"/>
    <col min="8" max="8" width="9.7109375" bestFit="1" customWidth="1"/>
    <col min="9" max="9" width="4.85546875" bestFit="1" customWidth="1"/>
    <col min="10" max="10" width="5.85546875" bestFit="1" customWidth="1"/>
    <col min="11" max="12" width="6.85546875" bestFit="1" customWidth="1"/>
    <col min="13" max="13" width="5.7109375" bestFit="1" customWidth="1"/>
    <col min="14" max="14" width="11.5703125" bestFit="1" customWidth="1"/>
    <col min="15" max="15" width="11.42578125" customWidth="1"/>
    <col min="16" max="16" width="16" bestFit="1" customWidth="1"/>
  </cols>
  <sheetData>
    <row r="1" spans="1:22" ht="30" customHeight="1" x14ac:dyDescent="0.25">
      <c r="A1" s="150" t="s">
        <v>263</v>
      </c>
      <c r="B1" s="150"/>
      <c r="C1" s="150"/>
      <c r="D1" s="150"/>
      <c r="E1" s="150"/>
      <c r="F1" s="150"/>
      <c r="G1" s="150"/>
      <c r="H1" s="150"/>
      <c r="I1" s="150"/>
      <c r="J1" s="150"/>
      <c r="K1" s="150"/>
      <c r="L1" s="150"/>
      <c r="M1" s="150"/>
      <c r="N1" s="150"/>
      <c r="O1" s="150"/>
      <c r="P1" s="150"/>
      <c r="Q1" s="150"/>
      <c r="R1" s="150"/>
      <c r="S1" s="150"/>
      <c r="T1" s="150"/>
      <c r="U1" s="150"/>
      <c r="V1" s="150"/>
    </row>
    <row r="2" spans="1:22" x14ac:dyDescent="0.25">
      <c r="A2" s="92"/>
      <c r="B2" s="156" t="s">
        <v>225</v>
      </c>
      <c r="C2" s="156"/>
      <c r="D2" s="156"/>
      <c r="E2" s="156"/>
      <c r="F2" s="156"/>
      <c r="G2" s="156"/>
      <c r="H2" s="156"/>
      <c r="I2" s="156"/>
      <c r="J2" s="156"/>
      <c r="K2" s="156"/>
      <c r="L2" s="156"/>
      <c r="M2" s="156"/>
    </row>
    <row r="3" spans="1:22" ht="45" x14ac:dyDescent="0.25">
      <c r="A3" s="92"/>
      <c r="B3" s="88" t="s">
        <v>224</v>
      </c>
      <c r="C3" s="49" t="s">
        <v>219</v>
      </c>
      <c r="D3" s="49" t="s">
        <v>220</v>
      </c>
      <c r="E3" s="88" t="s">
        <v>221</v>
      </c>
      <c r="F3" s="88" t="s">
        <v>222</v>
      </c>
      <c r="G3" s="49" t="s">
        <v>223</v>
      </c>
      <c r="H3" s="88" t="s">
        <v>224</v>
      </c>
      <c r="I3" s="49" t="s">
        <v>219</v>
      </c>
      <c r="J3" s="49" t="s">
        <v>220</v>
      </c>
      <c r="K3" s="88" t="s">
        <v>221</v>
      </c>
      <c r="L3" s="88" t="s">
        <v>222</v>
      </c>
      <c r="M3" s="49" t="s">
        <v>223</v>
      </c>
      <c r="N3" s="146" t="s">
        <v>217</v>
      </c>
      <c r="O3" s="146"/>
      <c r="P3" s="18" t="s">
        <v>218</v>
      </c>
    </row>
    <row r="4" spans="1:22" ht="45" x14ac:dyDescent="0.25">
      <c r="A4" s="130" t="s">
        <v>265</v>
      </c>
      <c r="B4" s="132">
        <f t="shared" ref="B4:G5" si="0">H4/$B$7</f>
        <v>0.33333333333333331</v>
      </c>
      <c r="C4" s="132">
        <f t="shared" si="0"/>
        <v>0.49616858237547895</v>
      </c>
      <c r="D4" s="132">
        <f t="shared" si="0"/>
        <v>0.12452107279693486</v>
      </c>
      <c r="E4" s="132">
        <f t="shared" si="0"/>
        <v>2.681992337164751E-2</v>
      </c>
      <c r="F4" s="132">
        <f t="shared" si="0"/>
        <v>1.3409961685823755E-2</v>
      </c>
      <c r="G4" s="132">
        <f t="shared" si="0"/>
        <v>5.7471264367816091E-3</v>
      </c>
      <c r="H4" s="88">
        <v>174</v>
      </c>
      <c r="I4" s="88">
        <v>259</v>
      </c>
      <c r="J4" s="88">
        <v>65</v>
      </c>
      <c r="K4" s="88">
        <v>14</v>
      </c>
      <c r="L4" s="88">
        <v>7</v>
      </c>
      <c r="M4" s="88">
        <v>3</v>
      </c>
      <c r="N4" s="94">
        <v>348</v>
      </c>
      <c r="O4" s="7">
        <f>N4/B$7</f>
        <v>0.66666666666666663</v>
      </c>
      <c r="P4" s="85">
        <v>2341</v>
      </c>
    </row>
    <row r="5" spans="1:22" ht="45" x14ac:dyDescent="0.25">
      <c r="A5" s="131" t="s">
        <v>264</v>
      </c>
      <c r="B5" s="132">
        <f t="shared" si="0"/>
        <v>0.54980842911877392</v>
      </c>
      <c r="C5" s="132">
        <f t="shared" si="0"/>
        <v>0.31992337164750956</v>
      </c>
      <c r="D5" s="132">
        <f t="shared" si="0"/>
        <v>9.3869731800766285E-2</v>
      </c>
      <c r="E5" s="132">
        <f t="shared" si="0"/>
        <v>2.2988505747126436E-2</v>
      </c>
      <c r="F5" s="132">
        <f t="shared" si="0"/>
        <v>5.7471264367816091E-3</v>
      </c>
      <c r="G5" s="132">
        <f t="shared" si="0"/>
        <v>7.6628352490421452E-3</v>
      </c>
      <c r="H5" s="88">
        <v>287</v>
      </c>
      <c r="I5" s="88">
        <v>167</v>
      </c>
      <c r="J5" s="88">
        <v>49</v>
      </c>
      <c r="K5" s="88">
        <v>12</v>
      </c>
      <c r="L5" s="88">
        <v>3</v>
      </c>
      <c r="M5" s="88">
        <v>4</v>
      </c>
      <c r="N5" s="85">
        <v>235</v>
      </c>
      <c r="O5" s="7">
        <f>N5/B$7</f>
        <v>0.45019157088122608</v>
      </c>
      <c r="P5" s="85">
        <v>1837</v>
      </c>
    </row>
    <row r="7" spans="1:22" ht="30" x14ac:dyDescent="0.25">
      <c r="A7" s="92" t="s">
        <v>216</v>
      </c>
      <c r="B7" s="94">
        <v>522</v>
      </c>
      <c r="C7" s="7"/>
      <c r="D7" s="86"/>
      <c r="E7" s="86"/>
      <c r="F7" s="86"/>
      <c r="G7" s="86"/>
    </row>
    <row r="8" spans="1:22" x14ac:dyDescent="0.25">
      <c r="A8" s="4" t="s">
        <v>79</v>
      </c>
      <c r="B8" s="86">
        <v>5482</v>
      </c>
    </row>
    <row r="10" spans="1:22" x14ac:dyDescent="0.25">
      <c r="A10" s="137" t="s">
        <v>284</v>
      </c>
      <c r="B10" s="137"/>
      <c r="C10" s="137"/>
      <c r="D10" s="137"/>
      <c r="E10" s="137"/>
      <c r="F10" s="137"/>
      <c r="G10" s="137"/>
      <c r="H10" s="137"/>
      <c r="I10" s="137"/>
    </row>
    <row r="11" spans="1:22" x14ac:dyDescent="0.25">
      <c r="A11" s="137"/>
      <c r="B11" s="137"/>
      <c r="C11" s="137"/>
      <c r="D11" s="137"/>
      <c r="E11" s="137"/>
      <c r="F11" s="137"/>
      <c r="G11" s="137"/>
      <c r="H11" s="137"/>
      <c r="I11" s="137"/>
    </row>
    <row r="12" spans="1:22" x14ac:dyDescent="0.25">
      <c r="A12" s="137"/>
      <c r="B12" s="137"/>
      <c r="C12" s="137"/>
      <c r="D12" s="137"/>
      <c r="E12" s="137"/>
      <c r="F12" s="137"/>
      <c r="G12" s="137"/>
      <c r="H12" s="137"/>
      <c r="I12" s="137"/>
    </row>
    <row r="13" spans="1:22" x14ac:dyDescent="0.25">
      <c r="A13" s="137"/>
      <c r="B13" s="137"/>
      <c r="C13" s="137"/>
      <c r="D13" s="137"/>
      <c r="E13" s="137"/>
      <c r="F13" s="137"/>
      <c r="G13" s="137"/>
      <c r="H13" s="137"/>
      <c r="I13" s="137"/>
    </row>
    <row r="14" spans="1:22" x14ac:dyDescent="0.25">
      <c r="A14" s="137"/>
      <c r="B14" s="137"/>
      <c r="C14" s="137"/>
      <c r="D14" s="137"/>
      <c r="E14" s="137"/>
      <c r="F14" s="137"/>
      <c r="G14" s="137"/>
      <c r="H14" s="137"/>
      <c r="I14" s="137"/>
    </row>
    <row r="15" spans="1:22" x14ac:dyDescent="0.25">
      <c r="A15" s="137"/>
      <c r="B15" s="137"/>
      <c r="C15" s="137"/>
      <c r="D15" s="137"/>
      <c r="E15" s="137"/>
      <c r="F15" s="137"/>
      <c r="G15" s="137"/>
      <c r="H15" s="137"/>
      <c r="I15" s="137"/>
    </row>
    <row r="16" spans="1:22" x14ac:dyDescent="0.25">
      <c r="A16" s="137"/>
      <c r="B16" s="137"/>
      <c r="C16" s="137"/>
      <c r="D16" s="137"/>
      <c r="E16" s="137"/>
      <c r="F16" s="137"/>
      <c r="G16" s="137"/>
      <c r="H16" s="137"/>
      <c r="I16" s="137"/>
    </row>
    <row r="17" spans="1:32" x14ac:dyDescent="0.25">
      <c r="A17" s="137"/>
      <c r="B17" s="137"/>
      <c r="C17" s="137"/>
      <c r="D17" s="137"/>
      <c r="E17" s="137"/>
      <c r="F17" s="137"/>
      <c r="G17" s="137"/>
      <c r="H17" s="137"/>
      <c r="I17" s="137"/>
    </row>
    <row r="18" spans="1:32" x14ac:dyDescent="0.25">
      <c r="A18" s="137"/>
      <c r="B18" s="137"/>
      <c r="C18" s="137"/>
      <c r="D18" s="137"/>
      <c r="E18" s="137"/>
      <c r="F18" s="137"/>
      <c r="G18" s="137"/>
      <c r="H18" s="137"/>
      <c r="I18" s="137"/>
    </row>
    <row r="23" spans="1:32" x14ac:dyDescent="0.25">
      <c r="J23" s="155" t="s">
        <v>320</v>
      </c>
      <c r="K23" s="155"/>
      <c r="L23" s="155"/>
      <c r="M23" s="155"/>
      <c r="N23" s="155"/>
      <c r="O23" s="155"/>
      <c r="P23" s="155"/>
      <c r="Q23" s="155"/>
      <c r="R23" s="155"/>
      <c r="S23" s="155"/>
      <c r="T23" s="155"/>
      <c r="U23" s="155"/>
      <c r="V23" s="155"/>
      <c r="W23" s="155"/>
      <c r="X23" s="155"/>
      <c r="Y23" s="155"/>
      <c r="Z23" s="155"/>
      <c r="AA23" s="155"/>
      <c r="AB23" s="155"/>
      <c r="AC23" s="155"/>
      <c r="AD23" s="155"/>
      <c r="AE23" s="155"/>
      <c r="AF23" s="155"/>
    </row>
  </sheetData>
  <mergeCells count="5">
    <mergeCell ref="N3:O3"/>
    <mergeCell ref="A10:I18"/>
    <mergeCell ref="A1:V1"/>
    <mergeCell ref="B2:M2"/>
    <mergeCell ref="J23:AF23"/>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24</vt:i4>
      </vt:variant>
    </vt:vector>
  </HeadingPairs>
  <TitlesOfParts>
    <vt:vector size="24" baseType="lpstr">
      <vt:lpstr>Índice</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Cinthia Barros dos Santos</dc:creator>
  <cp:lastModifiedBy>Valdson Silva Cleto</cp:lastModifiedBy>
  <dcterms:created xsi:type="dcterms:W3CDTF">2017-10-26T18:24:27Z</dcterms:created>
  <dcterms:modified xsi:type="dcterms:W3CDTF">2018-09-21T21:45:48Z</dcterms:modified>
</cp:coreProperties>
</file>