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models\DemoS_012\"/>
    </mc:Choice>
  </mc:AlternateContent>
  <xr:revisionPtr revIDLastSave="0" documentId="13_ncr:1_{FD868162-5BEE-474A-A693-EEDEF162A46A}" xr6:coauthVersionLast="45" xr6:coauthVersionMax="45" xr10:uidLastSave="{00000000-0000-0000-0000-000000000000}"/>
  <bookViews>
    <workbookView xWindow="-120" yWindow="-120" windowWidth="29040" windowHeight="15990" tabRatio="901" activeTab="1" xr2:uid="{00000000-000D-0000-FFFF-FFFF00000000}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  <sheet name="TOTCO2" sheetId="155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55" l="1"/>
  <c r="F11" i="155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F14" i="133" s="1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T14" i="133" s="1"/>
  <c r="U12" i="133"/>
  <c r="D13" i="133"/>
  <c r="E13" i="133"/>
  <c r="F13" i="133"/>
  <c r="G13" i="133"/>
  <c r="H13" i="133"/>
  <c r="I13" i="133"/>
  <c r="J13" i="133"/>
  <c r="K13" i="133"/>
  <c r="L13" i="133"/>
  <c r="M13" i="133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L17" i="142" s="1"/>
  <c r="D5" i="133"/>
  <c r="G12" i="132" s="1"/>
  <c r="E5" i="133"/>
  <c r="G12" i="136" s="1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G14" i="132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3" s="1"/>
  <c r="D7" i="133"/>
  <c r="E7" i="133"/>
  <c r="G15" i="136" s="1"/>
  <c r="F7" i="133"/>
  <c r="G15" i="137"/>
  <c r="G7" i="133"/>
  <c r="F24" i="147" s="1"/>
  <c r="H7" i="133"/>
  <c r="F25" i="147" s="1"/>
  <c r="I7" i="133"/>
  <c r="F26" i="147" s="1"/>
  <c r="J7" i="133"/>
  <c r="F27" i="147" s="1"/>
  <c r="K7" i="133"/>
  <c r="F28" i="147" s="1"/>
  <c r="L7" i="133"/>
  <c r="F29" i="147"/>
  <c r="M7" i="133"/>
  <c r="F30" i="147" s="1"/>
  <c r="N7" i="133"/>
  <c r="O7" i="133"/>
  <c r="P7" i="133"/>
  <c r="Q7" i="133"/>
  <c r="R7" i="133"/>
  <c r="S7" i="133"/>
  <c r="T7" i="133"/>
  <c r="U7" i="133"/>
  <c r="F16" i="153" s="1"/>
  <c r="D5" i="142"/>
  <c r="K8" i="142" s="1"/>
  <c r="D4" i="142"/>
  <c r="K7" i="142" s="1"/>
  <c r="D3" i="142"/>
  <c r="K6" i="142" s="1"/>
  <c r="D2" i="142"/>
  <c r="C5" i="142"/>
  <c r="J8" i="142"/>
  <c r="D17" i="142" s="1"/>
  <c r="C4" i="142"/>
  <c r="J7" i="142"/>
  <c r="D16" i="142" s="1"/>
  <c r="C3" i="142"/>
  <c r="J6" i="142" s="1"/>
  <c r="D15" i="142" s="1"/>
  <c r="C2" i="142"/>
  <c r="J5" i="142" s="1"/>
  <c r="D14" i="142" s="1"/>
  <c r="E15" i="153"/>
  <c r="H16" i="153"/>
  <c r="H15" i="153"/>
  <c r="F2" i="153"/>
  <c r="E2" i="153"/>
  <c r="L15" i="153" s="1"/>
  <c r="D2" i="153"/>
  <c r="C2" i="153"/>
  <c r="D15" i="153" s="1"/>
  <c r="D18" i="148"/>
  <c r="D17" i="148"/>
  <c r="D16" i="148"/>
  <c r="D15" i="148"/>
  <c r="D14" i="148"/>
  <c r="D13" i="148"/>
  <c r="D12" i="148"/>
  <c r="C12" i="148"/>
  <c r="L12" i="148"/>
  <c r="M12" i="148"/>
  <c r="G2" i="148"/>
  <c r="E2" i="148"/>
  <c r="N12" i="148" s="1"/>
  <c r="O12" i="148"/>
  <c r="E11" i="148"/>
  <c r="E23" i="147"/>
  <c r="E30" i="147" s="1"/>
  <c r="E22" i="147"/>
  <c r="E29" i="147"/>
  <c r="E21" i="147"/>
  <c r="E28" i="147"/>
  <c r="E20" i="147"/>
  <c r="E27" i="147"/>
  <c r="E19" i="147"/>
  <c r="E26" i="147" s="1"/>
  <c r="E18" i="147"/>
  <c r="E25" i="147"/>
  <c r="E17" i="147"/>
  <c r="E24" i="147" s="1"/>
  <c r="H24" i="147"/>
  <c r="H17" i="147"/>
  <c r="E8" i="147"/>
  <c r="D8" i="147"/>
  <c r="K11" i="147" s="1"/>
  <c r="C8" i="147"/>
  <c r="C30" i="147" s="1"/>
  <c r="E7" i="147"/>
  <c r="D7" i="147"/>
  <c r="K10" i="147"/>
  <c r="C7" i="147"/>
  <c r="E6" i="147"/>
  <c r="D6" i="147"/>
  <c r="C6" i="147"/>
  <c r="D21" i="147" s="1"/>
  <c r="C28" i="147"/>
  <c r="E5" i="147"/>
  <c r="D5" i="147"/>
  <c r="C5" i="147"/>
  <c r="C27" i="147" s="1"/>
  <c r="E4" i="147"/>
  <c r="D4" i="147"/>
  <c r="K7" i="147" s="1"/>
  <c r="C4" i="147"/>
  <c r="J7" i="147"/>
  <c r="E3" i="147"/>
  <c r="D3" i="147"/>
  <c r="K6" i="147"/>
  <c r="C3" i="147"/>
  <c r="J6" i="147"/>
  <c r="F2" i="147"/>
  <c r="E2" i="147"/>
  <c r="L9" i="147"/>
  <c r="D2" i="147"/>
  <c r="K5" i="147" s="1"/>
  <c r="C2" i="147"/>
  <c r="D17" i="147" s="1"/>
  <c r="D2" i="144"/>
  <c r="K5" i="144"/>
  <c r="C2" i="144"/>
  <c r="J11" i="144" s="1"/>
  <c r="B11" i="144" s="1"/>
  <c r="H11" i="144"/>
  <c r="F2" i="144"/>
  <c r="E2" i="144"/>
  <c r="M11" i="144" s="1"/>
  <c r="L5" i="144"/>
  <c r="F2" i="142"/>
  <c r="E13" i="142" s="1"/>
  <c r="H14" i="142"/>
  <c r="J17" i="142" s="1"/>
  <c r="E2" i="137"/>
  <c r="N13" i="137" s="1"/>
  <c r="F2" i="137"/>
  <c r="E2" i="136"/>
  <c r="N13" i="136" s="1"/>
  <c r="F2" i="136"/>
  <c r="E2" i="132"/>
  <c r="M12" i="132" s="1"/>
  <c r="F2" i="132"/>
  <c r="F10" i="132" s="1"/>
  <c r="I11" i="137"/>
  <c r="I11" i="136"/>
  <c r="K12" i="136" s="1"/>
  <c r="B12" i="136" s="1"/>
  <c r="I11" i="132"/>
  <c r="D2" i="137"/>
  <c r="C2" i="137"/>
  <c r="K12" i="137" s="1"/>
  <c r="B12" i="137" s="1"/>
  <c r="I15" i="137"/>
  <c r="I14" i="137"/>
  <c r="D2" i="136"/>
  <c r="C2" i="136"/>
  <c r="K5" i="136" s="1"/>
  <c r="I15" i="136"/>
  <c r="I14" i="136"/>
  <c r="I15" i="132"/>
  <c r="K15" i="132" s="1"/>
  <c r="I14" i="132"/>
  <c r="D2" i="132"/>
  <c r="L5" i="132" s="1"/>
  <c r="C2" i="132"/>
  <c r="K13" i="132" s="1"/>
  <c r="G11" i="132"/>
  <c r="C25" i="147"/>
  <c r="N12" i="136"/>
  <c r="L6" i="142"/>
  <c r="E10" i="136"/>
  <c r="M14" i="142"/>
  <c r="L7" i="142"/>
  <c r="L15" i="142"/>
  <c r="C16" i="153"/>
  <c r="J20" i="147"/>
  <c r="B20" i="147" s="1"/>
  <c r="E14" i="153"/>
  <c r="F10" i="144"/>
  <c r="L5" i="137"/>
  <c r="K11" i="132"/>
  <c r="B11" i="132" s="1"/>
  <c r="F13" i="142"/>
  <c r="L14" i="142"/>
  <c r="L5" i="142"/>
  <c r="F14" i="153"/>
  <c r="M16" i="142"/>
  <c r="K12" i="132"/>
  <c r="L12" i="132" s="1"/>
  <c r="M17" i="142"/>
  <c r="M14" i="132"/>
  <c r="L16" i="153"/>
  <c r="B12" i="148"/>
  <c r="G12" i="137"/>
  <c r="J25" i="147"/>
  <c r="J23" i="147"/>
  <c r="D18" i="147"/>
  <c r="D23" i="147"/>
  <c r="L25" i="147"/>
  <c r="L11" i="144"/>
  <c r="E10" i="144"/>
  <c r="N14" i="137"/>
  <c r="M5" i="137"/>
  <c r="F10" i="137"/>
  <c r="M15" i="137"/>
  <c r="E10" i="137"/>
  <c r="M13" i="137"/>
  <c r="G10" i="137"/>
  <c r="N11" i="137"/>
  <c r="N15" i="137"/>
  <c r="K14" i="136"/>
  <c r="B14" i="136" s="1"/>
  <c r="K11" i="136"/>
  <c r="B11" i="136" s="1"/>
  <c r="J9" i="147"/>
  <c r="J24" i="147"/>
  <c r="G11" i="137"/>
  <c r="D14" i="133"/>
  <c r="L11" i="132"/>
  <c r="J30" i="147"/>
  <c r="B30" i="147" s="1"/>
  <c r="J28" i="147"/>
  <c r="B28" i="147" s="1"/>
  <c r="I14" i="133" l="1"/>
  <c r="K14" i="133"/>
  <c r="E14" i="133"/>
  <c r="O14" i="133"/>
  <c r="H8" i="133"/>
  <c r="T8" i="133"/>
  <c r="L8" i="133"/>
  <c r="K8" i="133"/>
  <c r="M8" i="133"/>
  <c r="G11" i="136"/>
  <c r="L15" i="132"/>
  <c r="B15" i="132"/>
  <c r="B17" i="142"/>
  <c r="K17" i="142"/>
  <c r="C15" i="136"/>
  <c r="D12" i="136"/>
  <c r="D14" i="136"/>
  <c r="D11" i="136"/>
  <c r="E10" i="132"/>
  <c r="N13" i="132"/>
  <c r="K14" i="132"/>
  <c r="L12" i="137"/>
  <c r="G8" i="133"/>
  <c r="G12" i="148"/>
  <c r="J14" i="133"/>
  <c r="H14" i="133"/>
  <c r="K5" i="137"/>
  <c r="N14" i="136"/>
  <c r="J27" i="147"/>
  <c r="E12" i="148"/>
  <c r="G14" i="133"/>
  <c r="K15" i="137"/>
  <c r="B15" i="137" s="1"/>
  <c r="K15" i="136"/>
  <c r="B15" i="136" s="1"/>
  <c r="B12" i="132"/>
  <c r="M15" i="132"/>
  <c r="G10" i="136"/>
  <c r="E18" i="148"/>
  <c r="F12" i="148"/>
  <c r="J16" i="142"/>
  <c r="K13" i="136"/>
  <c r="B13" i="136" s="1"/>
  <c r="J15" i="153"/>
  <c r="B15" i="153" s="1"/>
  <c r="S8" i="133"/>
  <c r="L14" i="136"/>
  <c r="M5" i="132"/>
  <c r="G10" i="132"/>
  <c r="L11" i="136"/>
  <c r="K13" i="137"/>
  <c r="J16" i="153"/>
  <c r="B16" i="153" s="1"/>
  <c r="V6" i="133"/>
  <c r="S14" i="133"/>
  <c r="J15" i="142"/>
  <c r="B15" i="142" s="1"/>
  <c r="J14" i="142"/>
  <c r="B14" i="142" s="1"/>
  <c r="M15" i="136"/>
  <c r="K14" i="137"/>
  <c r="B14" i="137" s="1"/>
  <c r="K11" i="137"/>
  <c r="B11" i="137" s="1"/>
  <c r="J5" i="144"/>
  <c r="D11" i="144" s="1"/>
  <c r="F8" i="133"/>
  <c r="J8" i="133"/>
  <c r="E16" i="148"/>
  <c r="N11" i="132"/>
  <c r="B25" i="147"/>
  <c r="K25" i="147"/>
  <c r="L14" i="137"/>
  <c r="L30" i="147"/>
  <c r="L29" i="147"/>
  <c r="L8" i="147"/>
  <c r="L10" i="147"/>
  <c r="L23" i="147"/>
  <c r="L22" i="147"/>
  <c r="L11" i="147"/>
  <c r="L26" i="147"/>
  <c r="L6" i="147"/>
  <c r="L28" i="147"/>
  <c r="L17" i="147"/>
  <c r="L27" i="147"/>
  <c r="L24" i="147"/>
  <c r="L21" i="147"/>
  <c r="L19" i="147"/>
  <c r="L5" i="147"/>
  <c r="L18" i="147"/>
  <c r="L7" i="147"/>
  <c r="B23" i="147"/>
  <c r="K23" i="147"/>
  <c r="L13" i="132"/>
  <c r="B13" i="132"/>
  <c r="K15" i="142"/>
  <c r="D8" i="133"/>
  <c r="V13" i="133"/>
  <c r="M14" i="133"/>
  <c r="V7" i="133"/>
  <c r="K30" i="147"/>
  <c r="D19" i="147"/>
  <c r="C26" i="147"/>
  <c r="K5" i="142"/>
  <c r="K14" i="142"/>
  <c r="K24" i="147"/>
  <c r="B24" i="147"/>
  <c r="E16" i="147"/>
  <c r="K11" i="144"/>
  <c r="J10" i="147"/>
  <c r="D22" i="147"/>
  <c r="C29" i="147"/>
  <c r="J18" i="147"/>
  <c r="J22" i="147"/>
  <c r="B22" i="147" s="1"/>
  <c r="J17" i="147"/>
  <c r="J21" i="147"/>
  <c r="O8" i="133"/>
  <c r="U14" i="133"/>
  <c r="L14" i="133"/>
  <c r="N8" i="133"/>
  <c r="E8" i="133"/>
  <c r="N14" i="133"/>
  <c r="V10" i="133"/>
  <c r="L20" i="147"/>
  <c r="J19" i="147"/>
  <c r="V12" i="133"/>
  <c r="L12" i="136"/>
  <c r="G15" i="132"/>
  <c r="K28" i="147"/>
  <c r="F16" i="147"/>
  <c r="L13" i="136"/>
  <c r="L5" i="136"/>
  <c r="K20" i="147"/>
  <c r="K8" i="147"/>
  <c r="I8" i="133"/>
  <c r="U8" i="133"/>
  <c r="E14" i="148"/>
  <c r="C15" i="137"/>
  <c r="M11" i="136"/>
  <c r="V11" i="133"/>
  <c r="D12" i="137"/>
  <c r="V5" i="133"/>
  <c r="V8" i="133" s="1"/>
  <c r="L11" i="137"/>
  <c r="D13" i="136"/>
  <c r="N12" i="137"/>
  <c r="M11" i="137"/>
  <c r="L16" i="142"/>
  <c r="D20" i="147"/>
  <c r="M11" i="132"/>
  <c r="C24" i="147"/>
  <c r="J5" i="147"/>
  <c r="K5" i="132"/>
  <c r="M14" i="137"/>
  <c r="K9" i="147"/>
  <c r="J11" i="147"/>
  <c r="L8" i="142"/>
  <c r="E13" i="148"/>
  <c r="E17" i="148"/>
  <c r="M15" i="142"/>
  <c r="F10" i="136"/>
  <c r="E15" i="148"/>
  <c r="J26" i="147"/>
  <c r="N11" i="136"/>
  <c r="J29" i="147"/>
  <c r="N15" i="136"/>
  <c r="M12" i="137"/>
  <c r="N12" i="132"/>
  <c r="N14" i="132"/>
  <c r="J8" i="147"/>
  <c r="M5" i="136"/>
  <c r="M14" i="136"/>
  <c r="N15" i="132"/>
  <c r="M12" i="136"/>
  <c r="M13" i="132"/>
  <c r="M13" i="136"/>
  <c r="B13" i="137" l="1"/>
  <c r="L13" i="137"/>
  <c r="B16" i="142"/>
  <c r="K16" i="142"/>
  <c r="B27" i="147"/>
  <c r="K27" i="147"/>
  <c r="L14" i="132"/>
  <c r="B14" i="132"/>
  <c r="L15" i="137"/>
  <c r="K15" i="153"/>
  <c r="D14" i="137"/>
  <c r="D13" i="137"/>
  <c r="D11" i="137"/>
  <c r="L15" i="136"/>
  <c r="K16" i="153"/>
  <c r="D11" i="132"/>
  <c r="D13" i="132"/>
  <c r="D14" i="132"/>
  <c r="C15" i="132"/>
  <c r="D12" i="132"/>
  <c r="B29" i="147"/>
  <c r="K29" i="147"/>
  <c r="K17" i="147"/>
  <c r="B17" i="147"/>
  <c r="K22" i="147"/>
  <c r="B19" i="147"/>
  <c r="K19" i="147"/>
  <c r="K26" i="147"/>
  <c r="B26" i="147"/>
  <c r="K18" i="147"/>
  <c r="B18" i="147"/>
  <c r="V14" i="133"/>
  <c r="K21" i="147"/>
  <c r="B21" i="1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<sst xmlns="http://schemas.openxmlformats.org/spreadsheetml/2006/main" count="605" uniqueCount="161">
  <si>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</si>
  <si>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</si>
  <si>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</si>
  <si>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</si>
  <si>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</si>
  <si>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</si>
  <si>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</si>
  <si>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</si>
  <si>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</si>
  <si>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</si>
  <si>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</si>
  <si>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</si>
  <si>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</si>
  <si>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</si>
  <si>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</si>
  <si>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</si>
  <si>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</si>
  <si>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</si>
  <si>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</si>
  <si>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</si>
  <si>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</si>
  <si>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</si>
  <si>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</si>
  <si>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</si>
  <si>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</si>
  <si>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</si>
  <si>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</si>
  <si>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</si>
  <si>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</si>
  <si>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</si>
  <si>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</si>
  <si>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</si>
  <si>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</si>
  <si>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</si>
  <si>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</si>
  <si>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</si>
  <si>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</si>
  <si>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</si>
  <si>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</si>
  <si>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</si>
  <si>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</si>
  <si>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</si>
  <si>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</si>
  <si>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</si>
  <si>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</si>
  <si>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</si>
  <si>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</si>
  <si>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</si>
  <si>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</si>
  <si>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</si>
  <si>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</si>
  <si>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</si>
  <si>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</si>
  <si>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</si>
  <si>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</si>
  <si>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</si>
  <si>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</si>
  <si>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</si>
  <si>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</si>
  <si>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</si>
  <si>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</si>
  <si>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</si>
  <si>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</si>
  <si>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</si>
  <si>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</si>
  <si>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</si>
  <si>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</si>
  <si>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</si>
  <si>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</si>
  <si>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</si>
  <si>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</si>
  <si>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</si>
  <si>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</si>
  <si>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</si>
  <si>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</si>
  <si>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</si>
  <si>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</si>
  <si>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</si>
  <si>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</si>
  <si>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</si>
  <si>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</si>
  <si>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</si>
  <si>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</si>
  <si>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</si>
  <si>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</si>
  <si>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</si>
  <si>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</si>
  <si>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</si>
  <si>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</si>
  <si>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</si>
  <si>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</si>
  <si>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</si>
  <si>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</si>
  <si>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</si>
  <si>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</si>
  <si>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</si>
  <si>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</si>
  <si>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</si>
  <si>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</si>
  <si>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</si>
  <si>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</si>
  <si>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</si>
  <si>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</si>
  <si>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</si>
  <si>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</si>
  <si>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</si>
  <si>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</si>
  <si>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</si>
  <si>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</si>
  <si>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</si>
  <si>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</si>
  <si>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</si>
  <si>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</si>
  <si>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</si>
  <si>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</si>
  <si>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</si>
  <si>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</si>
  <si>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</si>
  <si>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</si>
  <si>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</si>
  <si>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</si>
  <si>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</si>
  <si>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</si>
  <si>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</si>
  <si>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</si>
  <si>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</si>
  <si>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</si>
  <si>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</si>
  <si>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</si>
  <si>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</si>
  <si>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</si>
  <si>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</si>
  <si>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</si>
  <si>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</si>
  <si>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</si>
  <si>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</si>
  <si>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</si>
  <si>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</si>
  <si>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</si>
  <si>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</si>
  <si>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</si>
  <si>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</si>
  <si>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</si>
  <si>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</si>
  <si>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</si>
  <si>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</si>
  <si>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</si>
  <si>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</si>
  <si>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</si>
  <si>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</si>
  <si>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</si>
  <si>
    <t>Reference Energy System</t>
  </si>
  <si>
    <t>Objective Function by Scenario</t>
  </si>
  <si>
    <t>_SysCost Result table</t>
  </si>
  <si>
    <t>Run names:</t>
  </si>
  <si>
    <t xml:space="preserve"> DemoS_012</t>
  </si>
  <si>
    <t xml:space="preserve"> DemoS_012a</t>
  </si>
  <si>
    <t xml:space="preserve"> DemoS_012b</t>
  </si>
  <si>
    <t xml:space="preserve"> DemoS_012d</t>
  </si>
  <si>
    <t xml:space="preserve"> DemoS_012e</t>
  </si>
  <si>
    <t xml:space="preserve"> DemoS_012c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</si>
</sst>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\Te\x\t"/>
  </numFmts>
  <fonts count="31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5" applyNumberFormat="0" applyAlignment="0" applyProtection="0"/>
    <xf numFmtId="43" fontId="16" fillId="0" borderId="0" applyFont="0" applyFill="0" applyBorder="0" applyAlignment="0" applyProtection="0"/>
    <xf numFmtId="0" fontId="19" fillId="8" borderId="0" applyNumberFormat="0" applyBorder="0" applyAlignment="0" applyProtection="0"/>
    <xf numFmtId="0" fontId="20" fillId="9" borderId="15" applyNumberFormat="0" applyAlignment="0" applyProtection="0"/>
    <xf numFmtId="43" fontId="15" fillId="0" borderId="0" applyFont="0" applyFill="0" applyBorder="0" applyAlignment="0" applyProtection="0"/>
    <xf numFmtId="0" fontId="21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135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7" fillId="6" borderId="0" xfId="4"/>
    <xf numFmtId="0" fontId="22" fillId="0" borderId="0" xfId="7" applyFont="1" applyFill="1"/>
    <xf numFmtId="0" fontId="23" fillId="0" borderId="0" xfId="0" applyFont="1" applyFill="1"/>
    <xf numFmtId="0" fontId="22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3" borderId="3" xfId="1" applyFont="1" applyBorder="1" applyAlignment="1">
      <alignment horizontal="center" wrapText="1"/>
    </xf>
    <xf numFmtId="0" fontId="24" fillId="3" borderId="3" xfId="1" applyFont="1" applyBorder="1" applyAlignment="1">
      <alignment horizontal="left" wrapText="1"/>
    </xf>
    <xf numFmtId="0" fontId="24" fillId="3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2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5" fillId="0" borderId="0" xfId="0" applyFont="1"/>
    <xf numFmtId="0" fontId="4" fillId="0" borderId="5" xfId="0" applyFont="1" applyBorder="1"/>
    <xf numFmtId="0" fontId="4" fillId="0" borderId="6" xfId="0" applyFont="1" applyBorder="1"/>
    <xf numFmtId="9" fontId="23" fillId="0" borderId="6" xfId="18" applyFont="1" applyBorder="1" applyAlignment="1"/>
    <xf numFmtId="0" fontId="4" fillId="0" borderId="7" xfId="0" applyFont="1" applyBorder="1"/>
    <xf numFmtId="9" fontId="23" fillId="0" borderId="7" xfId="18" applyFont="1" applyBorder="1" applyAlignment="1"/>
    <xf numFmtId="0" fontId="4" fillId="0" borderId="0" xfId="0" applyFont="1" applyBorder="1"/>
    <xf numFmtId="9" fontId="23" fillId="0" borderId="0" xfId="18" applyFont="1" applyBorder="1" applyAlignment="1"/>
    <xf numFmtId="0" fontId="17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2" fontId="4" fillId="0" borderId="0" xfId="11" applyNumberFormat="1"/>
    <xf numFmtId="0" fontId="26" fillId="0" borderId="0" xfId="7" applyFont="1" applyFill="1"/>
    <xf numFmtId="0" fontId="27" fillId="0" borderId="0" xfId="4" applyFont="1" applyFill="1" applyAlignment="1">
      <alignment wrapText="1"/>
    </xf>
    <xf numFmtId="0" fontId="4" fillId="0" borderId="0" xfId="11" applyFont="1" applyFill="1"/>
    <xf numFmtId="0" fontId="17" fillId="0" borderId="0" xfId="4" applyFill="1"/>
    <xf numFmtId="0" fontId="5" fillId="0" borderId="0" xfId="11" applyFont="1"/>
    <xf numFmtId="0" fontId="3" fillId="2" borderId="1" xfId="11" applyFont="1" applyFill="1" applyBorder="1" applyAlignment="1">
      <alignment horizontal="left"/>
    </xf>
    <xf numFmtId="0" fontId="3" fillId="2" borderId="4" xfId="11" applyFont="1" applyFill="1" applyBorder="1" applyAlignment="1">
      <alignment horizontal="left"/>
    </xf>
    <xf numFmtId="2" fontId="4" fillId="0" borderId="0" xfId="11" applyNumberFormat="1" applyFont="1" applyFill="1" applyBorder="1"/>
    <xf numFmtId="2" fontId="4" fillId="0" borderId="0" xfId="11" applyNumberFormat="1" applyFill="1" applyBorder="1"/>
    <xf numFmtId="1" fontId="4" fillId="0" borderId="0" xfId="11" applyNumberFormat="1" applyFill="1" applyBorder="1"/>
    <xf numFmtId="9" fontId="4" fillId="0" borderId="0" xfId="11" applyNumberFormat="1"/>
    <xf numFmtId="0" fontId="24" fillId="3" borderId="3" xfId="1" applyFont="1" applyBorder="1" applyAlignment="1">
      <alignment horizontal="left" wrapText="1"/>
    </xf>
    <xf numFmtId="0" fontId="28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8" fillId="12" borderId="0" xfId="0" applyFont="1" applyFill="1"/>
    <xf numFmtId="1" fontId="20" fillId="9" borderId="0" xfId="8" applyNumberFormat="1" applyBorder="1" applyAlignment="1"/>
    <xf numFmtId="1" fontId="0" fillId="13" borderId="0" xfId="0" applyNumberFormat="1" applyFill="1" applyBorder="1" applyAlignment="1"/>
    <xf numFmtId="0" fontId="28" fillId="0" borderId="0" xfId="0" applyFont="1" applyFill="1"/>
    <xf numFmtId="164" fontId="18" fillId="7" borderId="5" xfId="5" applyNumberFormat="1" applyBorder="1" applyAlignment="1">
      <alignment horizontal="right" vertical="center"/>
    </xf>
    <xf numFmtId="1" fontId="18" fillId="7" borderId="16" xfId="5" applyNumberFormat="1" applyBorder="1" applyAlignment="1">
      <alignment horizontal="right"/>
    </xf>
    <xf numFmtId="1" fontId="18" fillId="7" borderId="17" xfId="5" applyNumberFormat="1" applyBorder="1" applyAlignment="1">
      <alignment horizontal="right"/>
    </xf>
    <xf numFmtId="1" fontId="18" fillId="7" borderId="18" xfId="5" applyNumberFormat="1" applyBorder="1" applyAlignment="1">
      <alignment horizontal="right"/>
    </xf>
    <xf numFmtId="164" fontId="9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64" fontId="9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18" fillId="7" borderId="19" xfId="5" applyNumberFormat="1" applyBorder="1" applyAlignment="1">
      <alignment horizontal="right"/>
    </xf>
    <xf numFmtId="0" fontId="22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9" applyFont="1" applyFill="1"/>
    <xf numFmtId="0" fontId="4" fillId="14" borderId="0" xfId="11" applyFill="1"/>
    <xf numFmtId="2" fontId="4" fillId="14" borderId="0" xfId="11" applyNumberFormat="1" applyFill="1"/>
    <xf numFmtId="0" fontId="3" fillId="0" borderId="0" xfId="0" applyFont="1" applyFill="1"/>
    <xf numFmtId="0" fontId="29" fillId="0" borderId="0" xfId="0" applyFont="1"/>
    <xf numFmtId="0" fontId="3" fillId="2" borderId="1" xfId="13" applyFont="1" applyFill="1" applyBorder="1" applyAlignment="1">
      <alignment horizontal="center" vertical="center" wrapText="1"/>
    </xf>
    <xf numFmtId="0" fontId="3" fillId="2" borderId="1" xfId="13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7" fillId="4" borderId="0" xfId="2"/>
    <xf numFmtId="0" fontId="4" fillId="15" borderId="0" xfId="11" applyFill="1"/>
    <xf numFmtId="164" fontId="8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64" fontId="9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64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1" applyFont="1" applyFill="1" applyBorder="1" applyAlignment="1">
      <alignment horizontal="center" wrapText="1"/>
    </xf>
    <xf numFmtId="1" fontId="4" fillId="15" borderId="0" xfId="11" applyNumberFormat="1" applyFont="1" applyFill="1"/>
    <xf numFmtId="0" fontId="4" fillId="14" borderId="0" xfId="10" applyFont="1" applyFill="1"/>
    <xf numFmtId="1" fontId="4" fillId="14" borderId="0" xfId="0" applyNumberFormat="1" applyFont="1" applyFill="1"/>
    <xf numFmtId="0" fontId="30" fillId="5" borderId="2" xfId="3" applyFont="1" applyBorder="1" applyAlignment="1">
      <alignment horizontal="left" vertical="center"/>
    </xf>
    <xf numFmtId="0" fontId="14" fillId="0" borderId="0" xfId="0" applyFont="1" applyBorder="1" applyAlignment="1"/>
    <xf numFmtId="0" fontId="3" fillId="16" borderId="0" xfId="0" applyFont="1" applyFill="1"/>
    <xf numFmtId="0" fontId="17" fillId="0" borderId="0" xfId="4" applyFill="1" applyAlignment="1">
      <alignment wrapText="1"/>
    </xf>
    <xf numFmtId="0" fontId="19" fillId="0" borderId="0" xfId="7" applyFill="1" applyBorder="1" applyAlignment="1">
      <alignment horizontal="right"/>
    </xf>
    <xf numFmtId="0" fontId="3" fillId="0" borderId="0" xfId="13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left" wrapText="1"/>
    </xf>
    <xf numFmtId="0" fontId="24" fillId="0" borderId="0" xfId="1" applyFont="1" applyFill="1" applyBorder="1" applyAlignment="1">
      <alignment horizontal="center" wrapText="1"/>
    </xf>
    <xf numFmtId="0" fontId="4" fillId="2" borderId="3" xfId="0" applyFont="1" applyFill="1" applyBorder="1"/>
    <xf numFmtId="0" fontId="4" fillId="0" borderId="0" xfId="0" applyFont="1" applyFill="1" applyBorder="1" applyAlignment="1">
      <alignment horizontal="left" vertical="center" wrapText="1"/>
    </xf>
    <xf numFmtId="1" fontId="15" fillId="0" borderId="0" xfId="9" applyNumberFormat="1" applyFill="1" applyBorder="1" applyAlignment="1">
      <alignment horizontal="center"/>
    </xf>
    <xf numFmtId="0" fontId="4" fillId="17" borderId="3" xfId="0" applyFont="1" applyFill="1" applyBorder="1"/>
    <xf numFmtId="165" fontId="5" fillId="0" borderId="0" xfId="0" applyNumberFormat="1" applyFont="1"/>
    <xf numFmtId="165" fontId="4" fillId="0" borderId="0" xfId="0" applyNumberFormat="1" applyFont="1"/>
    <xf numFmtId="165" fontId="3" fillId="2" borderId="1" xfId="0" applyNumberFormat="1" applyFont="1" applyFill="1" applyBorder="1" applyAlignment="1">
      <alignment horizontal="left"/>
    </xf>
    <xf numFmtId="165" fontId="3" fillId="2" borderId="4" xfId="0" applyNumberFormat="1" applyFont="1" applyFill="1" applyBorder="1" applyAlignment="1">
      <alignment horizontal="left"/>
    </xf>
    <xf numFmtId="165" fontId="24" fillId="3" borderId="3" xfId="1" applyNumberFormat="1" applyFont="1" applyBorder="1" applyAlignment="1">
      <alignment horizontal="left" wrapText="1"/>
    </xf>
    <xf numFmtId="165" fontId="4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  <xf numFmtId="165" fontId="24" fillId="3" borderId="3" xfId="1" applyNumberFormat="1" applyFont="1" applyBorder="1" applyAlignment="1">
      <alignment horizontal="center" wrapText="1"/>
    </xf>
    <xf numFmtId="165" fontId="0" fillId="0" borderId="0" xfId="0" applyNumberFormat="1" applyFill="1" applyAlignment="1">
      <alignment wrapText="1"/>
    </xf>
    <xf numFmtId="165" fontId="5" fillId="0" borderId="0" xfId="11" applyNumberFormat="1" applyFont="1"/>
    <xf numFmtId="165" fontId="4" fillId="0" borderId="0" xfId="11" applyNumberFormat="1" applyFont="1"/>
    <xf numFmtId="165" fontId="3" fillId="2" borderId="1" xfId="11" applyNumberFormat="1" applyFont="1" applyFill="1" applyBorder="1" applyAlignment="1">
      <alignment horizontal="left"/>
    </xf>
    <xf numFmtId="165" fontId="3" fillId="2" borderId="4" xfId="11" applyNumberFormat="1" applyFont="1" applyFill="1" applyBorder="1" applyAlignment="1">
      <alignment horizontal="left"/>
    </xf>
    <xf numFmtId="165" fontId="4" fillId="0" borderId="0" xfId="11" applyNumberFormat="1" applyFont="1" applyFill="1"/>
    <xf numFmtId="165" fontId="4" fillId="0" borderId="0" xfId="11" applyNumberFormat="1" applyFill="1"/>
    <xf numFmtId="165" fontId="4" fillId="0" borderId="0" xfId="11" applyNumberFormat="1"/>
    <xf numFmtId="165" fontId="4" fillId="0" borderId="0" xfId="11" applyNumberFormat="1" applyFill="1" applyAlignment="1">
      <alignment wrapText="1"/>
    </xf>
    <xf numFmtId="0" fontId="3" fillId="0" borderId="0" xfId="0" applyFont="1"/>
    <xf numFmtId="0" fontId="14" fillId="0" borderId="9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30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Migliaia_tab emissioni" xfId="9" xr:uid="{00000000-0005-0000-0000-000008000000}"/>
    <cellStyle name="Neutral" xfId="10" builtinId="28"/>
    <cellStyle name="Normal" xfId="0" builtinId="0"/>
    <cellStyle name="Normal 10" xfId="11" xr:uid="{00000000-0005-0000-0000-00000B000000}"/>
    <cellStyle name="Normal 2" xfId="12" xr:uid="{00000000-0005-0000-0000-00000C000000}"/>
    <cellStyle name="Normal 4" xfId="13" xr:uid="{00000000-0005-0000-0000-00000D000000}"/>
    <cellStyle name="Normal 4 2" xfId="14" xr:uid="{00000000-0005-0000-0000-00000E000000}"/>
    <cellStyle name="Normal 8" xfId="15" xr:uid="{00000000-0005-0000-0000-00000F000000}"/>
    <cellStyle name="Normal 9 2" xfId="16" xr:uid="{00000000-0005-0000-0000-000010000000}"/>
    <cellStyle name="Normale_B2020" xfId="17" xr:uid="{00000000-0005-0000-0000-000011000000}"/>
    <cellStyle name="Percent" xfId="18" builtinId="5"/>
    <cellStyle name="Percent 2" xfId="19" xr:uid="{00000000-0005-0000-0000-000013000000}"/>
    <cellStyle name="Percent 3" xfId="20" xr:uid="{00000000-0005-0000-0000-000014000000}"/>
    <cellStyle name="Percent 3 2" xfId="21" xr:uid="{00000000-0005-0000-0000-000015000000}"/>
    <cellStyle name="Percent 3 3" xfId="22" xr:uid="{00000000-0005-0000-0000-000016000000}"/>
    <cellStyle name="Percent 4" xfId="23" xr:uid="{00000000-0005-0000-0000-000017000000}"/>
    <cellStyle name="Percent 4 2" xfId="24" xr:uid="{00000000-0005-0000-0000-000018000000}"/>
    <cellStyle name="Percent 4 3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94B775-B042-4FE0-8809-2E49FBF94E1F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F3CEAA-5378-46B4-978D-EB49D7371E52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38100</xdr:rowOff>
    </xdr:from>
    <xdr:to>
      <xdr:col>8</xdr:col>
      <xdr:colOff>600075</xdr:colOff>
      <xdr:row>18</xdr:row>
      <xdr:rowOff>144341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882E9C-A971-4727-97FB-00384AAB31D0}"/>
            </a:ext>
          </a:extLst>
        </xdr:cNvPr>
        <xdr:cNvSpPr txBox="1"/>
      </xdr:nvSpPr>
      <xdr:spPr>
        <a:xfrm>
          <a:off x="600075" y="2428875"/>
          <a:ext cx="5019675" cy="915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19050</xdr:rowOff>
    </xdr:from>
    <xdr:to>
      <xdr:col>2</xdr:col>
      <xdr:colOff>285750</xdr:colOff>
      <xdr:row>38</xdr:row>
      <xdr:rowOff>152400</xdr:rowOff>
    </xdr:to>
    <xdr:pic>
      <xdr:nvPicPr>
        <xdr:cNvPr id="55463" name="Picture 6">
          <a:extLst>
            <a:ext uri="{FF2B5EF4-FFF2-40B4-BE49-F238E27FC236}">
              <a16:creationId xmlns:a16="http://schemas.microsoft.com/office/drawing/2014/main" id="{5C2D028D-1DC7-4BE4-A471-B2ED9B9EF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27</xdr:row>
      <xdr:rowOff>0</xdr:rowOff>
    </xdr:from>
    <xdr:to>
      <xdr:col>14</xdr:col>
      <xdr:colOff>561975</xdr:colOff>
      <xdr:row>33</xdr:row>
      <xdr:rowOff>142875</xdr:rowOff>
    </xdr:to>
    <xdr:pic>
      <xdr:nvPicPr>
        <xdr:cNvPr id="55464" name="Picture 15">
          <a:extLst>
            <a:ext uri="{FF2B5EF4-FFF2-40B4-BE49-F238E27FC236}">
              <a16:creationId xmlns:a16="http://schemas.microsoft.com/office/drawing/2014/main" id="{910AA829-1FB4-4634-8C8E-D05344832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62</xdr:row>
      <xdr:rowOff>0</xdr:rowOff>
    </xdr:from>
    <xdr:to>
      <xdr:col>8</xdr:col>
      <xdr:colOff>561975</xdr:colOff>
      <xdr:row>69</xdr:row>
      <xdr:rowOff>57150</xdr:rowOff>
    </xdr:to>
    <xdr:pic>
      <xdr:nvPicPr>
        <xdr:cNvPr id="55465" name="Picture 7">
          <a:extLst>
            <a:ext uri="{FF2B5EF4-FFF2-40B4-BE49-F238E27FC236}">
              <a16:creationId xmlns:a16="http://schemas.microsoft.com/office/drawing/2014/main" id="{F9F3CCF4-36CF-4CCC-846A-B4929B996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93</xdr:row>
      <xdr:rowOff>47625</xdr:rowOff>
    </xdr:from>
    <xdr:to>
      <xdr:col>9</xdr:col>
      <xdr:colOff>466725</xdr:colOff>
      <xdr:row>105</xdr:row>
      <xdr:rowOff>142875</xdr:rowOff>
    </xdr:to>
    <xdr:pic>
      <xdr:nvPicPr>
        <xdr:cNvPr id="55466" name="Picture 18">
          <a:extLst>
            <a:ext uri="{FF2B5EF4-FFF2-40B4-BE49-F238E27FC236}">
              <a16:creationId xmlns:a16="http://schemas.microsoft.com/office/drawing/2014/main" id="{FB74EC2A-DCB8-4D07-B1AD-72F2FDFB2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69</xdr:row>
      <xdr:rowOff>57150</xdr:rowOff>
    </xdr:from>
    <xdr:to>
      <xdr:col>8</xdr:col>
      <xdr:colOff>361950</xdr:colOff>
      <xdr:row>76</xdr:row>
      <xdr:rowOff>95250</xdr:rowOff>
    </xdr:to>
    <xdr:pic>
      <xdr:nvPicPr>
        <xdr:cNvPr id="55467" name="Picture 19">
          <a:extLst>
            <a:ext uri="{FF2B5EF4-FFF2-40B4-BE49-F238E27FC236}">
              <a16:creationId xmlns:a16="http://schemas.microsoft.com/office/drawing/2014/main" id="{91F16C8B-3594-4724-9BA3-D96E9C2C1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76</xdr:row>
      <xdr:rowOff>95250</xdr:rowOff>
    </xdr:from>
    <xdr:to>
      <xdr:col>8</xdr:col>
      <xdr:colOff>361950</xdr:colOff>
      <xdr:row>83</xdr:row>
      <xdr:rowOff>133350</xdr:rowOff>
    </xdr:to>
    <xdr:pic>
      <xdr:nvPicPr>
        <xdr:cNvPr id="55468" name="Picture 20">
          <a:extLst>
            <a:ext uri="{FF2B5EF4-FFF2-40B4-BE49-F238E27FC236}">
              <a16:creationId xmlns:a16="http://schemas.microsoft.com/office/drawing/2014/main" id="{E8822146-D225-4A75-B7DB-B99A21C57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83</xdr:row>
      <xdr:rowOff>123825</xdr:rowOff>
    </xdr:from>
    <xdr:to>
      <xdr:col>9</xdr:col>
      <xdr:colOff>0</xdr:colOff>
      <xdr:row>93</xdr:row>
      <xdr:rowOff>47625</xdr:rowOff>
    </xdr:to>
    <xdr:pic>
      <xdr:nvPicPr>
        <xdr:cNvPr id="55469" name="Picture 21">
          <a:extLst>
            <a:ext uri="{FF2B5EF4-FFF2-40B4-BE49-F238E27FC236}">
              <a16:creationId xmlns:a16="http://schemas.microsoft.com/office/drawing/2014/main" id="{53D9DCDE-8533-4F15-9B88-A1C8E4C2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53</xdr:row>
      <xdr:rowOff>133350</xdr:rowOff>
    </xdr:from>
    <xdr:to>
      <xdr:col>10</xdr:col>
      <xdr:colOff>28575</xdr:colOff>
      <xdr:row>62</xdr:row>
      <xdr:rowOff>9525</xdr:rowOff>
    </xdr:to>
    <xdr:pic>
      <xdr:nvPicPr>
        <xdr:cNvPr id="55470" name="Picture 22">
          <a:extLst>
            <a:ext uri="{FF2B5EF4-FFF2-40B4-BE49-F238E27FC236}">
              <a16:creationId xmlns:a16="http://schemas.microsoft.com/office/drawing/2014/main" id="{CC7AA162-223E-48AB-9B92-90CB2316C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39</xdr:row>
      <xdr:rowOff>161925</xdr:rowOff>
    </xdr:from>
    <xdr:to>
      <xdr:col>11</xdr:col>
      <xdr:colOff>9525</xdr:colOff>
      <xdr:row>53</xdr:row>
      <xdr:rowOff>133350</xdr:rowOff>
    </xdr:to>
    <xdr:pic>
      <xdr:nvPicPr>
        <xdr:cNvPr id="55471" name="Picture 23">
          <a:extLst>
            <a:ext uri="{FF2B5EF4-FFF2-40B4-BE49-F238E27FC236}">
              <a16:creationId xmlns:a16="http://schemas.microsoft.com/office/drawing/2014/main" id="{F1A8FD0C-D870-431D-8BF7-52D5F29BE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</xdr:row>
      <xdr:rowOff>19050</xdr:rowOff>
    </xdr:from>
    <xdr:to>
      <xdr:col>9</xdr:col>
      <xdr:colOff>419100</xdr:colOff>
      <xdr:row>39</xdr:row>
      <xdr:rowOff>161925</xdr:rowOff>
    </xdr:to>
    <xdr:pic>
      <xdr:nvPicPr>
        <xdr:cNvPr id="55472" name="Picture 24">
          <a:extLst>
            <a:ext uri="{FF2B5EF4-FFF2-40B4-BE49-F238E27FC236}">
              <a16:creationId xmlns:a16="http://schemas.microsoft.com/office/drawing/2014/main" id="{8B9CA5A6-F06C-45E8-8785-6F708C8F7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34</xdr:row>
      <xdr:rowOff>85725</xdr:rowOff>
    </xdr:from>
    <xdr:to>
      <xdr:col>17</xdr:col>
      <xdr:colOff>180975</xdr:colOff>
      <xdr:row>48</xdr:row>
      <xdr:rowOff>104775</xdr:rowOff>
    </xdr:to>
    <xdr:pic>
      <xdr:nvPicPr>
        <xdr:cNvPr id="55473" name="Picture 25">
          <a:extLst>
            <a:ext uri="{FF2B5EF4-FFF2-40B4-BE49-F238E27FC236}">
              <a16:creationId xmlns:a16="http://schemas.microsoft.com/office/drawing/2014/main" id="{80F92041-D8F8-4398-99B1-D845E6B80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48</xdr:row>
      <xdr:rowOff>114300</xdr:rowOff>
    </xdr:from>
    <xdr:to>
      <xdr:col>17</xdr:col>
      <xdr:colOff>28575</xdr:colOff>
      <xdr:row>61</xdr:row>
      <xdr:rowOff>85725</xdr:rowOff>
    </xdr:to>
    <xdr:pic>
      <xdr:nvPicPr>
        <xdr:cNvPr id="55474" name="Picture 26">
          <a:extLst>
            <a:ext uri="{FF2B5EF4-FFF2-40B4-BE49-F238E27FC236}">
              <a16:creationId xmlns:a16="http://schemas.microsoft.com/office/drawing/2014/main" id="{3AD0730F-2BC3-4501-8FC0-AA2A23BD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61</xdr:row>
      <xdr:rowOff>95250</xdr:rowOff>
    </xdr:from>
    <xdr:to>
      <xdr:col>17</xdr:col>
      <xdr:colOff>66675</xdr:colOff>
      <xdr:row>74</xdr:row>
      <xdr:rowOff>95250</xdr:rowOff>
    </xdr:to>
    <xdr:pic>
      <xdr:nvPicPr>
        <xdr:cNvPr id="55475" name="Picture 27">
          <a:extLst>
            <a:ext uri="{FF2B5EF4-FFF2-40B4-BE49-F238E27FC236}">
              <a16:creationId xmlns:a16="http://schemas.microsoft.com/office/drawing/2014/main" id="{4F55746D-E0A8-4A18-A031-2E3047EEF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74</xdr:row>
      <xdr:rowOff>104775</xdr:rowOff>
    </xdr:from>
    <xdr:to>
      <xdr:col>16</xdr:col>
      <xdr:colOff>85725</xdr:colOff>
      <xdr:row>86</xdr:row>
      <xdr:rowOff>85725</xdr:rowOff>
    </xdr:to>
    <xdr:pic>
      <xdr:nvPicPr>
        <xdr:cNvPr id="55476" name="Picture 28">
          <a:extLst>
            <a:ext uri="{FF2B5EF4-FFF2-40B4-BE49-F238E27FC236}">
              <a16:creationId xmlns:a16="http://schemas.microsoft.com/office/drawing/2014/main" id="{8273A281-C90A-4CA2-ACF4-BF9A68BF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86</xdr:row>
      <xdr:rowOff>95250</xdr:rowOff>
    </xdr:from>
    <xdr:to>
      <xdr:col>17</xdr:col>
      <xdr:colOff>200025</xdr:colOff>
      <xdr:row>100</xdr:row>
      <xdr:rowOff>57150</xdr:rowOff>
    </xdr:to>
    <xdr:pic>
      <xdr:nvPicPr>
        <xdr:cNvPr id="55477" name="Picture 29">
          <a:extLst>
            <a:ext uri="{FF2B5EF4-FFF2-40B4-BE49-F238E27FC236}">
              <a16:creationId xmlns:a16="http://schemas.microsoft.com/office/drawing/2014/main" id="{E8FD1350-3D75-4D2E-9298-87BAFD888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100</xdr:row>
      <xdr:rowOff>57150</xdr:rowOff>
    </xdr:from>
    <xdr:to>
      <xdr:col>15</xdr:col>
      <xdr:colOff>190500</xdr:colOff>
      <xdr:row>108</xdr:row>
      <xdr:rowOff>152400</xdr:rowOff>
    </xdr:to>
    <xdr:pic>
      <xdr:nvPicPr>
        <xdr:cNvPr id="55478" name="Picture 30">
          <a:extLst>
            <a:ext uri="{FF2B5EF4-FFF2-40B4-BE49-F238E27FC236}">
              <a16:creationId xmlns:a16="http://schemas.microsoft.com/office/drawing/2014/main" id="{48012AC2-003C-4EAB-8088-5F24EAAD2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108</xdr:row>
      <xdr:rowOff>114300</xdr:rowOff>
    </xdr:from>
    <xdr:to>
      <xdr:col>17</xdr:col>
      <xdr:colOff>38100</xdr:colOff>
      <xdr:row>121</xdr:row>
      <xdr:rowOff>38100</xdr:rowOff>
    </xdr:to>
    <xdr:pic>
      <xdr:nvPicPr>
        <xdr:cNvPr id="55479" name="Picture 31">
          <a:extLst>
            <a:ext uri="{FF2B5EF4-FFF2-40B4-BE49-F238E27FC236}">
              <a16:creationId xmlns:a16="http://schemas.microsoft.com/office/drawing/2014/main" id="{57715D3B-CA00-4937-B5F7-5F4F41436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1</xdr:row>
      <xdr:rowOff>38100</xdr:rowOff>
    </xdr:from>
    <xdr:to>
      <xdr:col>12</xdr:col>
      <xdr:colOff>990119</xdr:colOff>
      <xdr:row>17</xdr:row>
      <xdr:rowOff>152029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D01303-03C2-4D48-BC31-9EAEC602D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581400" y="209550"/>
          <a:ext cx="3847619" cy="2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25A2A8-8CA9-4E73-946C-2ADDD87C3854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AF4DAE-CBA4-4E25-A3C6-CF963B2BDE9D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B946AC-CD14-4B02-B7A0-4C2858F65796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2F3135-DB8E-4361-9D0C-8ACE6A6B2654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8BB916-FBA2-4E30-B385-98DB3B6308E1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A8EE48-8877-40A3-9912-0FFF49A12AD5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1D25A9-CA4F-4B76-BA12-8EEEE9BC3254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5BCEEC5-4664-49B4-B308-AB1344B3CF6F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</sheetData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101</v>
      </c>
      <c r="H2" s="54" t="s">
        <v>102</v>
      </c>
      <c r="I2" s="54" t="s">
        <v>103</v>
      </c>
      <c r="J2" s="54" t="s">
        <v>104</v>
      </c>
      <c r="K2" s="54" t="s">
        <v>105</v>
      </c>
      <c r="L2" s="54" t="s">
        <v>106</v>
      </c>
      <c r="M2" s="54" t="s">
        <v>107</v>
      </c>
      <c r="N2" s="54" t="s">
        <v>47</v>
      </c>
      <c r="O2" s="54" t="s">
        <v>132</v>
      </c>
      <c r="P2" s="54" t="s">
        <v>133</v>
      </c>
      <c r="Q2" s="54" t="s">
        <v>134</v>
      </c>
      <c r="R2" s="54" t="s">
        <v>135</v>
      </c>
      <c r="S2" s="54" t="s">
        <v>48</v>
      </c>
      <c r="T2" s="54" t="s">
        <v>49</v>
      </c>
      <c r="U2" s="54" t="s">
        <v>50</v>
      </c>
      <c r="V2" s="54"/>
      <c r="X2" s="7"/>
      <c r="Y2" s="69" t="s">
        <v>123</v>
      </c>
      <c r="Z2" s="15" t="s">
        <v>77</v>
      </c>
      <c r="AA2" s="15" t="s">
        <v>94</v>
      </c>
    </row>
    <row r="3" spans="1:27" ht="38.25" x14ac:dyDescent="0.2">
      <c r="C3" s="101" t="s">
        <v>140</v>
      </c>
      <c r="D3" s="55" t="s">
        <v>51</v>
      </c>
      <c r="E3" s="55" t="s">
        <v>52</v>
      </c>
      <c r="F3" s="55" t="s">
        <v>121</v>
      </c>
      <c r="G3" s="55" t="s">
        <v>114</v>
      </c>
      <c r="H3" s="55" t="s">
        <v>108</v>
      </c>
      <c r="I3" s="55" t="s">
        <v>103</v>
      </c>
      <c r="J3" s="55" t="s">
        <v>109</v>
      </c>
      <c r="K3" s="55" t="s">
        <v>110</v>
      </c>
      <c r="L3" s="55" t="s">
        <v>111</v>
      </c>
      <c r="M3" s="55" t="s">
        <v>112</v>
      </c>
      <c r="N3" s="55" t="s">
        <v>53</v>
      </c>
      <c r="O3" s="55" t="s">
        <v>136</v>
      </c>
      <c r="P3" s="55" t="s">
        <v>137</v>
      </c>
      <c r="Q3" s="55" t="s">
        <v>138</v>
      </c>
      <c r="R3" s="55" t="s">
        <v>139</v>
      </c>
      <c r="S3" s="55" t="s">
        <v>54</v>
      </c>
      <c r="T3" s="55" t="s">
        <v>55</v>
      </c>
      <c r="U3" s="55" t="s">
        <v>83</v>
      </c>
      <c r="V3" s="55" t="s">
        <v>56</v>
      </c>
    </row>
    <row r="4" spans="1:27" x14ac:dyDescent="0.2">
      <c r="C4" s="89" t="s">
        <v>57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7" ht="15" x14ac:dyDescent="0.25">
      <c r="B5" s="56" t="s">
        <v>58</v>
      </c>
      <c r="C5" s="92" t="s">
        <v>59</v>
      </c>
      <c r="D5" s="57">
        <f>[2]EB2!D5</f>
        <v>2834.4252999999999</v>
      </c>
      <c r="E5" s="57">
        <f>[2]EB2!E5</f>
        <v>4739.6981999999998</v>
      </c>
      <c r="F5" s="57">
        <f>[2]EB2!F5</f>
        <v>2686.252</v>
      </c>
      <c r="G5" s="57">
        <f>[2]EB2!G5</f>
        <v>6.4000000000000001E-2</v>
      </c>
      <c r="H5" s="57">
        <f>[2]EB2!H5</f>
        <v>0</v>
      </c>
      <c r="I5" s="57">
        <f>[2]EB2!I5</f>
        <v>0</v>
      </c>
      <c r="J5" s="57">
        <f>[2]EB2!J5</f>
        <v>0</v>
      </c>
      <c r="K5" s="57">
        <f>[2]EB2!K5</f>
        <v>0</v>
      </c>
      <c r="L5" s="57">
        <f>[2]EB2!L5</f>
        <v>0</v>
      </c>
      <c r="M5" s="57">
        <f>[2]EB2!M5</f>
        <v>0</v>
      </c>
      <c r="N5" s="57">
        <f>[2]EB2!N5</f>
        <v>5445</v>
      </c>
      <c r="O5" s="57">
        <f>[2]EB2!O5</f>
        <v>753.98999999999978</v>
      </c>
      <c r="P5" s="57">
        <f>[2]EB2!P5</f>
        <v>502.66000000000008</v>
      </c>
      <c r="Q5" s="57">
        <f>[2]EB2!Q5</f>
        <v>490.09350000000001</v>
      </c>
      <c r="R5" s="57">
        <f>[2]EB2!R5</f>
        <v>125.66500000000008</v>
      </c>
      <c r="S5" s="58">
        <f>[2]EB2!S5</f>
        <v>0</v>
      </c>
      <c r="T5" s="58">
        <f>[2]EB2!T5</f>
        <v>0</v>
      </c>
      <c r="U5" s="57">
        <f>[2]EB2!U5</f>
        <v>0</v>
      </c>
      <c r="V5" s="93">
        <f>SUM(D5:U5)</f>
        <v>17577.847999999998</v>
      </c>
      <c r="X5" s="9"/>
    </row>
    <row r="6" spans="1:27" ht="15" x14ac:dyDescent="0.25">
      <c r="B6" s="56" t="s">
        <v>60</v>
      </c>
      <c r="C6" s="92" t="s">
        <v>61</v>
      </c>
      <c r="D6" s="57">
        <f>[2]EB2!D6</f>
        <v>2261.9348499999996</v>
      </c>
      <c r="E6" s="57">
        <f>[2]EB2!E6</f>
        <v>7975.0373999999993</v>
      </c>
      <c r="F6" s="57">
        <f>[2]EB2!F6</f>
        <v>13824.328000000001</v>
      </c>
      <c r="G6" s="57">
        <f>[2]EB2!G6</f>
        <v>2204.8490000000002</v>
      </c>
      <c r="H6" s="57">
        <f>[2]EB2!H6</f>
        <v>604.98850000000004</v>
      </c>
      <c r="I6" s="57">
        <f>[2]EB2!I6</f>
        <v>326.12950000000001</v>
      </c>
      <c r="J6" s="57">
        <f>[2]EB2!J6</f>
        <v>660</v>
      </c>
      <c r="K6" s="57">
        <f>[2]EB2!K6</f>
        <v>683.1</v>
      </c>
      <c r="L6" s="57">
        <f>[2]EB2!L6</f>
        <v>1079.56</v>
      </c>
      <c r="M6" s="57">
        <f>[2]EB2!M6</f>
        <v>597.03499999999997</v>
      </c>
      <c r="N6" s="57">
        <f>[2]EB2!N6</f>
        <v>0</v>
      </c>
      <c r="O6" s="57">
        <f>[2]EB2!O6</f>
        <v>28.254750000000001</v>
      </c>
      <c r="P6" s="57">
        <f>[2]EB2!P6</f>
        <v>0</v>
      </c>
      <c r="Q6" s="57">
        <f>[2]EB2!Q6</f>
        <v>0</v>
      </c>
      <c r="R6" s="57">
        <f>[2]EB2!R6</f>
        <v>0</v>
      </c>
      <c r="S6" s="58">
        <f>[2]EB2!S6</f>
        <v>3.5000000000000001E-3</v>
      </c>
      <c r="T6" s="58">
        <f>[2]EB2!T6</f>
        <v>7.6499999999999999E-2</v>
      </c>
      <c r="U6" s="57">
        <f>[2]EB2!U6</f>
        <v>583.76</v>
      </c>
      <c r="V6" s="93">
        <f>SUM(D6:U6)</f>
        <v>30829.056999999997</v>
      </c>
    </row>
    <row r="7" spans="1:27" ht="15" x14ac:dyDescent="0.25">
      <c r="B7" s="56" t="s">
        <v>62</v>
      </c>
      <c r="C7" s="92" t="s">
        <v>63</v>
      </c>
      <c r="D7" s="57">
        <f>[2]EB2!D7</f>
        <v>-401.47415000000001</v>
      </c>
      <c r="E7" s="57">
        <f>[2]EB2!E7</f>
        <v>-1509.7986000000001</v>
      </c>
      <c r="F7" s="57">
        <f>[2]EB2!F7</f>
        <v>-1648.4854999999998</v>
      </c>
      <c r="G7" s="57">
        <f>[2]EB2!G7</f>
        <v>-1683.1424999999999</v>
      </c>
      <c r="H7" s="57">
        <f>[2]EB2!H7</f>
        <v>-295.38850000000002</v>
      </c>
      <c r="I7" s="57">
        <f>[2]EB2!I7</f>
        <v>-194.51650000000001</v>
      </c>
      <c r="J7" s="57">
        <f>[2]EB2!J7</f>
        <v>-1500.6420000000001</v>
      </c>
      <c r="K7" s="57">
        <f>[2]EB2!K7</f>
        <v>-400.84</v>
      </c>
      <c r="L7" s="57">
        <f>[2]EB2!L7</f>
        <v>-1239.28</v>
      </c>
      <c r="M7" s="57">
        <f>[2]EB2!M7</f>
        <v>-453.036</v>
      </c>
      <c r="N7" s="57">
        <f>[2]EB2!N7</f>
        <v>0</v>
      </c>
      <c r="O7" s="57">
        <f>[2]EB2!O7</f>
        <v>-18.100999999999999</v>
      </c>
      <c r="P7" s="57">
        <f>[2]EB2!P7</f>
        <v>0</v>
      </c>
      <c r="Q7" s="57">
        <f>[2]EB2!Q7</f>
        <v>0</v>
      </c>
      <c r="R7" s="57">
        <f>[2]EB2!R7</f>
        <v>0</v>
      </c>
      <c r="S7" s="58">
        <f>[2]EB2!S7</f>
        <v>0</v>
      </c>
      <c r="T7" s="58">
        <f>[2]EB2!T7</f>
        <v>-6.4500000000000002E-2</v>
      </c>
      <c r="U7" s="57">
        <f>[2]EB2!U7</f>
        <v>-563.40200000000004</v>
      </c>
      <c r="V7" s="93">
        <f>SUM(D7:U7)</f>
        <v>-9908.1712500000012</v>
      </c>
      <c r="X7" s="9"/>
    </row>
    <row r="8" spans="1:27" ht="15" x14ac:dyDescent="0.25">
      <c r="B8" s="87" t="s">
        <v>129</v>
      </c>
      <c r="C8" s="60" t="s">
        <v>130</v>
      </c>
      <c r="D8" s="61">
        <f>SUM(D5:D7)</f>
        <v>4694.8859999999995</v>
      </c>
      <c r="E8" s="62">
        <f t="shared" ref="E8:U8" si="0">SUM(E5:E7)</f>
        <v>11204.937</v>
      </c>
      <c r="F8" s="62">
        <f t="shared" si="0"/>
        <v>14862.094500000003</v>
      </c>
      <c r="G8" s="62">
        <f t="shared" si="0"/>
        <v>521.77050000000008</v>
      </c>
      <c r="H8" s="62">
        <f t="shared" si="0"/>
        <v>309.60000000000002</v>
      </c>
      <c r="I8" s="62">
        <f t="shared" si="0"/>
        <v>131.613</v>
      </c>
      <c r="J8" s="62">
        <f t="shared" si="0"/>
        <v>-840.64200000000005</v>
      </c>
      <c r="K8" s="62">
        <f t="shared" si="0"/>
        <v>282.26000000000005</v>
      </c>
      <c r="L8" s="62">
        <f t="shared" si="0"/>
        <v>-159.72000000000003</v>
      </c>
      <c r="M8" s="62">
        <f t="shared" si="0"/>
        <v>143.99899999999997</v>
      </c>
      <c r="N8" s="62">
        <f t="shared" si="0"/>
        <v>5445</v>
      </c>
      <c r="O8" s="62">
        <f t="shared" si="0"/>
        <v>764.14374999999984</v>
      </c>
      <c r="P8" s="62"/>
      <c r="Q8" s="62"/>
      <c r="R8" s="62"/>
      <c r="S8" s="62">
        <f t="shared" si="0"/>
        <v>3.5000000000000001E-3</v>
      </c>
      <c r="T8" s="62">
        <f t="shared" si="0"/>
        <v>1.1999999999999997E-2</v>
      </c>
      <c r="U8" s="62">
        <f t="shared" si="0"/>
        <v>20.357999999999947</v>
      </c>
      <c r="V8" s="63">
        <f>SUM(V5:V7)</f>
        <v>38498.733749999999</v>
      </c>
    </row>
    <row r="9" spans="1:27" x14ac:dyDescent="0.2">
      <c r="B9" s="59"/>
      <c r="C9" s="94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5"/>
    </row>
    <row r="10" spans="1:27" x14ac:dyDescent="0.2">
      <c r="B10" s="56" t="s">
        <v>65</v>
      </c>
      <c r="C10" s="64" t="s">
        <v>66</v>
      </c>
      <c r="D10" s="65">
        <f>[2]EB2!D10</f>
        <v>-20.173299999999998</v>
      </c>
      <c r="E10" s="65">
        <f>[2]EB2!E10</f>
        <v>-475.78800000000001</v>
      </c>
      <c r="F10" s="65">
        <f>[2]EB2!F10</f>
        <v>0</v>
      </c>
      <c r="G10" s="65">
        <f>[2]EB2!G10</f>
        <v>-16.283999999999999</v>
      </c>
      <c r="H10" s="65">
        <f>[2]EB2!H10</f>
        <v>-2.1499999999999998E-2</v>
      </c>
      <c r="I10" s="65">
        <f>[2]EB2!I10</f>
        <v>-528.76099999999997</v>
      </c>
      <c r="J10" s="65">
        <f>[2]EB2!J10</f>
        <v>-164.50800000000001</v>
      </c>
      <c r="K10" s="65">
        <f>[2]EB2!K10</f>
        <v>-0.61599999999999999</v>
      </c>
      <c r="L10" s="65">
        <f>[2]EB2!L10</f>
        <v>-205.88</v>
      </c>
      <c r="M10" s="65">
        <f>[2]EB2!M10</f>
        <v>0</v>
      </c>
      <c r="N10" s="65">
        <f>[2]EB2!N10</f>
        <v>0</v>
      </c>
      <c r="O10" s="65">
        <f>[2]EB2!O10</f>
        <v>-1.0707500000000003</v>
      </c>
      <c r="P10" s="65">
        <f>[2]EB2!P10</f>
        <v>0</v>
      </c>
      <c r="Q10" s="65">
        <f>[2]EB2!Q10</f>
        <v>0</v>
      </c>
      <c r="R10" s="65">
        <f>[2]EB2!R10</f>
        <v>0</v>
      </c>
      <c r="S10" s="65">
        <f>[2]EB2!S10</f>
        <v>-0.76</v>
      </c>
      <c r="T10" s="65">
        <f>[2]EB2!T10</f>
        <v>0</v>
      </c>
      <c r="U10" s="65">
        <f>[2]EB2!U10</f>
        <v>0</v>
      </c>
      <c r="V10" s="96">
        <f>SUM(D10:U10)</f>
        <v>-1413.8625499999998</v>
      </c>
    </row>
    <row r="11" spans="1:27" x14ac:dyDescent="0.2">
      <c r="B11" s="56" t="s">
        <v>50</v>
      </c>
      <c r="C11" s="66" t="s">
        <v>67</v>
      </c>
      <c r="D11" s="65">
        <f>[2]EB2!D11</f>
        <v>-3359.3419999999996</v>
      </c>
      <c r="E11" s="65">
        <f>[2]EB2!E11</f>
        <v>-3381.3263999999999</v>
      </c>
      <c r="F11" s="65">
        <f>[2]EB2!F11</f>
        <v>0</v>
      </c>
      <c r="G11" s="65">
        <f>[2]EB2!G11</f>
        <v>-30.160499999999999</v>
      </c>
      <c r="H11" s="65">
        <f>[2]EB2!H11</f>
        <v>0</v>
      </c>
      <c r="I11" s="65">
        <f>[2]EB2!I11</f>
        <v>-23.835000000000001</v>
      </c>
      <c r="J11" s="65">
        <f>[2]EB2!J11</f>
        <v>0</v>
      </c>
      <c r="K11" s="65">
        <f>[2]EB2!K11</f>
        <v>0</v>
      </c>
      <c r="L11" s="65">
        <f>[2]EB2!L11</f>
        <v>-524.78</v>
      </c>
      <c r="M11" s="65">
        <f>[2]EB2!M11</f>
        <v>-33.529000000000003</v>
      </c>
      <c r="N11" s="65">
        <f>[2]EB2!N11</f>
        <v>-5445</v>
      </c>
      <c r="O11" s="65">
        <f>[2]EB2!O11</f>
        <v>-175.75306250000006</v>
      </c>
      <c r="P11" s="65">
        <f>[2]EB2!P11</f>
        <v>-502.66000000000008</v>
      </c>
      <c r="Q11" s="65">
        <f>[2]EB2!Q11</f>
        <v>-490.09350000000001</v>
      </c>
      <c r="R11" s="65">
        <f>[2]EB2!R11</f>
        <v>-68</v>
      </c>
      <c r="S11" s="65">
        <f>[2]EB2!S11</f>
        <v>-16.474499999999999</v>
      </c>
      <c r="T11" s="65">
        <f>[2]EB2!T11</f>
        <v>868.77949999999998</v>
      </c>
      <c r="U11" s="65">
        <f>[2]EB2!U11</f>
        <v>5790.5</v>
      </c>
      <c r="V11" s="96">
        <f>SUM(D11:U11)</f>
        <v>-7391.674462500001</v>
      </c>
    </row>
    <row r="12" spans="1:27" x14ac:dyDescent="0.2">
      <c r="B12" s="56" t="s">
        <v>68</v>
      </c>
      <c r="C12" s="66" t="s">
        <v>69</v>
      </c>
      <c r="D12" s="65">
        <f>[2]EB2!D12</f>
        <v>-56.488599999999991</v>
      </c>
      <c r="E12" s="65">
        <f>[2]EB2!E12</f>
        <v>-180.78059999999999</v>
      </c>
      <c r="F12" s="65">
        <f>[2]EB2!F12</f>
        <v>0</v>
      </c>
      <c r="G12" s="65">
        <f>[2]EB2!G12</f>
        <v>-7.6189999999999998</v>
      </c>
      <c r="H12" s="65">
        <f>[2]EB2!H12</f>
        <v>0</v>
      </c>
      <c r="I12" s="65">
        <f>[2]EB2!I12</f>
        <v>-0.23350000000000001</v>
      </c>
      <c r="J12" s="65">
        <f>[2]EB2!J12</f>
        <v>0</v>
      </c>
      <c r="K12" s="65">
        <f>[2]EB2!K12</f>
        <v>0</v>
      </c>
      <c r="L12" s="65">
        <f>[2]EB2!L12</f>
        <v>-15.2</v>
      </c>
      <c r="M12" s="65">
        <f>[2]EB2!M12</f>
        <v>-1.772</v>
      </c>
      <c r="N12" s="65">
        <f>[2]EB2!N12</f>
        <v>0</v>
      </c>
      <c r="O12" s="65">
        <f>[2]EB2!O12</f>
        <v>-35.051749999999998</v>
      </c>
      <c r="P12" s="65">
        <f>[2]EB2!P12</f>
        <v>0</v>
      </c>
      <c r="Q12" s="65">
        <f>[2]EB2!Q12</f>
        <v>0</v>
      </c>
      <c r="R12" s="65">
        <f>[2]EB2!R12</f>
        <v>0</v>
      </c>
      <c r="S12" s="65">
        <f>[2]EB2!S12</f>
        <v>-0.78449999999999998</v>
      </c>
      <c r="T12" s="65">
        <f>[2]EB2!T12</f>
        <v>329.37150000000003</v>
      </c>
      <c r="U12" s="65">
        <f>[2]EB2!U12</f>
        <v>0</v>
      </c>
      <c r="V12" s="96">
        <f>SUM(D12:U12)</f>
        <v>31.441550000000063</v>
      </c>
    </row>
    <row r="13" spans="1:27" ht="15" x14ac:dyDescent="0.25">
      <c r="B13" s="56" t="s">
        <v>70</v>
      </c>
      <c r="C13" s="66" t="s">
        <v>71</v>
      </c>
      <c r="D13" s="65">
        <f>[2]EB2!D13</f>
        <v>0</v>
      </c>
      <c r="E13" s="65">
        <f>[2]EB2!E13</f>
        <v>0</v>
      </c>
      <c r="F13" s="57">
        <f>[2]EB2!F13</f>
        <v>-15868.2305</v>
      </c>
      <c r="G13" s="57">
        <f>[2]EB2!G13</f>
        <v>5701.34</v>
      </c>
      <c r="H13" s="57">
        <f>[2]EB2!H13</f>
        <v>969.47799999999995</v>
      </c>
      <c r="I13" s="57">
        <f>[2]EB2!I13</f>
        <v>1086.3040000000001</v>
      </c>
      <c r="J13" s="57">
        <f>[2]EB2!J13</f>
        <v>3354.9119999999998</v>
      </c>
      <c r="K13" s="57">
        <f>[2]EB2!K13</f>
        <v>970.28800000000001</v>
      </c>
      <c r="L13" s="57">
        <f>[2]EB2!L13</f>
        <v>2285.1019999999999</v>
      </c>
      <c r="M13" s="57">
        <f>[2]EB2!M13</f>
        <v>1299.9449999999999</v>
      </c>
      <c r="N13" s="65">
        <f>[2]EB2!N13</f>
        <v>0</v>
      </c>
      <c r="O13" s="65">
        <f>[2]EB2!O13</f>
        <v>0</v>
      </c>
      <c r="P13" s="65">
        <f>[2]EB2!P13</f>
        <v>0</v>
      </c>
      <c r="Q13" s="65">
        <f>[2]EB2!Q13</f>
        <v>0</v>
      </c>
      <c r="R13" s="65">
        <f>[2]EB2!R13</f>
        <v>0</v>
      </c>
      <c r="S13" s="65">
        <f>[2]EB2!S13</f>
        <v>0</v>
      </c>
      <c r="T13" s="65">
        <f>[2]EB2!T13</f>
        <v>0</v>
      </c>
      <c r="U13" s="65">
        <f>[2]EB2!U13</f>
        <v>0</v>
      </c>
      <c r="V13" s="96">
        <f>SUM(D13:U13)</f>
        <v>-200.86150000000021</v>
      </c>
    </row>
    <row r="14" spans="1:27" ht="15" x14ac:dyDescent="0.25">
      <c r="B14" s="59"/>
      <c r="C14" s="60" t="s">
        <v>72</v>
      </c>
      <c r="D14" s="68">
        <f>SUM(D10:D13)</f>
        <v>-3436.0038999999997</v>
      </c>
      <c r="E14" s="62">
        <f t="shared" ref="E14:U14" si="1">SUM(E10:E13)</f>
        <v>-4037.895</v>
      </c>
      <c r="F14" s="62">
        <f t="shared" si="1"/>
        <v>-15868.2305</v>
      </c>
      <c r="G14" s="62">
        <f t="shared" si="1"/>
        <v>5647.2764999999999</v>
      </c>
      <c r="H14" s="62">
        <f t="shared" si="1"/>
        <v>969.45650000000001</v>
      </c>
      <c r="I14" s="62">
        <f t="shared" si="1"/>
        <v>533.47450000000003</v>
      </c>
      <c r="J14" s="62">
        <f t="shared" si="1"/>
        <v>3190.404</v>
      </c>
      <c r="K14" s="62">
        <f t="shared" si="1"/>
        <v>969.67200000000003</v>
      </c>
      <c r="L14" s="62">
        <f t="shared" si="1"/>
        <v>1539.2419999999997</v>
      </c>
      <c r="M14" s="62">
        <f t="shared" si="1"/>
        <v>1264.644</v>
      </c>
      <c r="N14" s="62">
        <f t="shared" si="1"/>
        <v>-5445</v>
      </c>
      <c r="O14" s="62">
        <f t="shared" si="1"/>
        <v>-211.87556250000006</v>
      </c>
      <c r="P14" s="62"/>
      <c r="Q14" s="62"/>
      <c r="R14" s="62"/>
      <c r="S14" s="62">
        <f t="shared" si="1"/>
        <v>-18.019000000000002</v>
      </c>
      <c r="T14" s="62">
        <f t="shared" si="1"/>
        <v>1198.1510000000001</v>
      </c>
      <c r="U14" s="62">
        <f t="shared" si="1"/>
        <v>5790.5</v>
      </c>
      <c r="V14" s="63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7" t="s">
        <v>122</v>
      </c>
      <c r="D17" s="57"/>
      <c r="E17" s="57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C4" sqref="C4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13" t="s">
        <v>14</v>
      </c>
      <c r="K2" s="113"/>
      <c r="L2" s="114"/>
      <c r="M2" s="114"/>
      <c r="N2" s="114"/>
      <c r="O2" s="114"/>
      <c r="P2" s="114"/>
      <c r="Q2" s="114"/>
      <c r="R2" s="114"/>
    </row>
    <row r="3" spans="2:18" ht="15" x14ac:dyDescent="0.25">
      <c r="H3" s="104"/>
      <c r="J3" s="115" t="s">
        <v>7</v>
      </c>
      <c r="K3" s="116" t="s">
        <v>30</v>
      </c>
      <c r="L3" s="115" t="s">
        <v>0</v>
      </c>
      <c r="M3" s="115" t="s">
        <v>3</v>
      </c>
      <c r="N3" s="115" t="s">
        <v>4</v>
      </c>
      <c r="O3" s="115" t="s">
        <v>8</v>
      </c>
      <c r="P3" s="115" t="s">
        <v>9</v>
      </c>
      <c r="Q3" s="115" t="s">
        <v>10</v>
      </c>
      <c r="R3" s="115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7" t="s">
        <v>37</v>
      </c>
      <c r="K4" s="117" t="s">
        <v>31</v>
      </c>
      <c r="L4" s="117" t="s">
        <v>26</v>
      </c>
      <c r="M4" s="117" t="s">
        <v>27</v>
      </c>
      <c r="N4" s="117" t="s">
        <v>4</v>
      </c>
      <c r="O4" s="117" t="s">
        <v>40</v>
      </c>
      <c r="P4" s="117" t="s">
        <v>41</v>
      </c>
      <c r="Q4" s="117" t="s">
        <v>28</v>
      </c>
      <c r="R4" s="117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5"/>
      <c r="H8" s="105"/>
      <c r="I8" s="37"/>
      <c r="J8" s="113" t="s">
        <v>15</v>
      </c>
      <c r="K8" s="113"/>
      <c r="L8" s="114"/>
      <c r="M8" s="114"/>
      <c r="N8" s="114"/>
      <c r="O8" s="114"/>
      <c r="P8" s="114"/>
      <c r="Q8" s="114"/>
      <c r="R8" s="114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3" t="s">
        <v>117</v>
      </c>
      <c r="F9" s="84" t="s">
        <v>82</v>
      </c>
      <c r="G9" s="84" t="s">
        <v>80</v>
      </c>
      <c r="H9" s="106"/>
      <c r="I9" s="39"/>
      <c r="J9" s="115" t="s">
        <v>11</v>
      </c>
      <c r="K9" s="116" t="s">
        <v>30</v>
      </c>
      <c r="L9" s="115" t="s">
        <v>1</v>
      </c>
      <c r="M9" s="115" t="s">
        <v>2</v>
      </c>
      <c r="N9" s="115" t="s">
        <v>16</v>
      </c>
      <c r="O9" s="115" t="s">
        <v>17</v>
      </c>
      <c r="P9" s="115" t="s">
        <v>18</v>
      </c>
      <c r="Q9" s="115" t="s">
        <v>19</v>
      </c>
      <c r="R9" s="115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7"/>
      <c r="I10" s="37"/>
      <c r="J10" s="117" t="s">
        <v>38</v>
      </c>
      <c r="K10" s="117" t="s">
        <v>31</v>
      </c>
      <c r="L10" s="117" t="s">
        <v>21</v>
      </c>
      <c r="M10" s="117" t="s">
        <v>22</v>
      </c>
      <c r="N10" s="117" t="s">
        <v>23</v>
      </c>
      <c r="O10" s="117" t="s">
        <v>24</v>
      </c>
      <c r="P10" s="117" t="s">
        <v>43</v>
      </c>
      <c r="Q10" s="117" t="s">
        <v>42</v>
      </c>
      <c r="R10" s="117" t="s">
        <v>25</v>
      </c>
    </row>
    <row r="11" spans="2:18" ht="13.5" thickBot="1" x14ac:dyDescent="0.25">
      <c r="B11" s="53" t="s">
        <v>85</v>
      </c>
      <c r="C11" s="53"/>
      <c r="D11" s="53"/>
      <c r="E11" s="18" t="str">
        <f>$F$2</f>
        <v>Pja</v>
      </c>
      <c r="F11" s="18"/>
      <c r="G11" s="18"/>
      <c r="H11" s="108"/>
      <c r="I11" s="37"/>
      <c r="J11" s="117" t="s">
        <v>81</v>
      </c>
      <c r="K11" s="117"/>
      <c r="L11" s="117"/>
      <c r="M11" s="117"/>
      <c r="N11" s="117"/>
      <c r="O11" s="117"/>
      <c r="P11" s="117"/>
      <c r="Q11" s="117"/>
      <c r="R11" s="117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8">
        <f>'EB2'!G$13/SUM('EB2'!$G$13:$M$13)</f>
        <v>0.36389900563393895</v>
      </c>
      <c r="F12" s="74">
        <f>-SUM('EB2'!F13)/SUM('EB2'!G13:M13)</f>
        <v>1.0128203720739584</v>
      </c>
      <c r="G12" s="72">
        <f>SUM('EB2'!G13:M13)</f>
        <v>15667.368999999999</v>
      </c>
      <c r="H12" s="17"/>
      <c r="I12" s="37"/>
      <c r="J12" s="118" t="s">
        <v>95</v>
      </c>
      <c r="K12" s="119"/>
      <c r="L12" s="119" t="str">
        <f>$B$2&amp;$H$2&amp;'EB2'!F2&amp;"00"</f>
        <v>REFEOIL00</v>
      </c>
      <c r="M12" s="122" t="str">
        <f>$D$2&amp;" "&amp;$H$1&amp;RIGHT(L12,2)</f>
        <v>Refinery Existing00</v>
      </c>
      <c r="N12" s="119" t="str">
        <f>$E$2</f>
        <v>PJ</v>
      </c>
      <c r="O12" s="119" t="str">
        <f>$F$2</f>
        <v>Pja</v>
      </c>
      <c r="P12" s="118"/>
      <c r="Q12" s="118" t="s">
        <v>120</v>
      </c>
      <c r="R12" s="119"/>
    </row>
    <row r="13" spans="2:18" x14ac:dyDescent="0.2">
      <c r="D13" s="35" t="str">
        <f>'EB2'!H2</f>
        <v>KER</v>
      </c>
      <c r="E13" s="78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8">
        <f>'EB2'!I$13/SUM('EB2'!$G$13:$M$13)</f>
        <v>6.9335444898246806E-2</v>
      </c>
      <c r="F14" s="50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8">
        <f>'EB2'!J$13/SUM('EB2'!$G$13:$M$13)</f>
        <v>0.21413371957984778</v>
      </c>
      <c r="F15" s="50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8">
        <f>'EB2'!K$13/SUM('EB2'!$G$13:$M$13)</f>
        <v>6.1930500264594526E-2</v>
      </c>
      <c r="F16" s="50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8">
        <f>'EB2'!L$13/SUM('EB2'!$G$13:$M$13)</f>
        <v>0.1458510359971735</v>
      </c>
      <c r="F17" s="50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8">
        <f>'EB2'!M$13/SUM('EB2'!$G$13:$M$13)</f>
        <v>8.2971493171572083E-2</v>
      </c>
      <c r="F18" s="50"/>
      <c r="G18" s="51"/>
      <c r="H18" s="51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1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2"/>
      <c r="I20" s="38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67"/>
      <c r="C23" s="1" t="s">
        <v>124</v>
      </c>
    </row>
    <row r="24" spans="2:18" x14ac:dyDescent="0.2">
      <c r="B24" s="73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R11"/>
  <sheetViews>
    <sheetView workbookViewId="0">
      <selection activeCell="E37" sqref="E36:E37"/>
    </sheetView>
  </sheetViews>
  <sheetFormatPr defaultRowHeight="12.75" x14ac:dyDescent="0.2"/>
  <cols>
    <col min="2" max="2" width="11.28515625" bestFit="1" customWidth="1"/>
    <col min="5" max="5" width="11.140625" bestFit="1" customWidth="1"/>
    <col min="10" max="10" width="12.7109375" customWidth="1"/>
    <col min="15" max="15" width="11.140625" customWidth="1"/>
  </cols>
  <sheetData>
    <row r="3" spans="2:18" x14ac:dyDescent="0.2">
      <c r="B3" s="46" t="s">
        <v>141</v>
      </c>
      <c r="C3" s="35"/>
      <c r="D3" s="35"/>
      <c r="E3" s="35"/>
      <c r="F3" s="35"/>
      <c r="G3" s="35"/>
      <c r="H3" s="35"/>
    </row>
    <row r="4" spans="2:18" ht="13.5" thickBot="1" x14ac:dyDescent="0.25">
      <c r="B4" s="109" t="s">
        <v>0</v>
      </c>
      <c r="C4" s="112" t="s">
        <v>142</v>
      </c>
      <c r="D4" s="112" t="s">
        <v>143</v>
      </c>
      <c r="E4" s="112" t="s">
        <v>144</v>
      </c>
      <c r="F4" s="112" t="s">
        <v>145</v>
      </c>
      <c r="G4" s="112" t="s">
        <v>146</v>
      </c>
      <c r="H4" s="112" t="s">
        <v>147</v>
      </c>
    </row>
    <row r="5" spans="2:18" x14ac:dyDescent="0.2">
      <c r="B5" s="110" t="s">
        <v>148</v>
      </c>
      <c r="C5" s="111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</row>
    <row r="7" spans="2:18" x14ac:dyDescent="0.2">
      <c r="J7" s="11"/>
      <c r="K7" s="5"/>
      <c r="L7" s="11"/>
      <c r="M7" s="11"/>
      <c r="N7" s="11"/>
      <c r="O7" s="11"/>
      <c r="P7" s="11"/>
      <c r="Q7" s="11"/>
      <c r="R7" s="11"/>
    </row>
    <row r="8" spans="2:18" x14ac:dyDescent="0.2">
      <c r="B8" s="113" t="s">
        <v>14</v>
      </c>
      <c r="C8" s="113"/>
      <c r="D8" s="114"/>
      <c r="E8" s="114"/>
      <c r="F8" s="114"/>
      <c r="G8" s="114"/>
      <c r="H8" s="114"/>
      <c r="I8" s="114"/>
      <c r="J8" s="114"/>
    </row>
    <row r="9" spans="2:18" x14ac:dyDescent="0.2">
      <c r="B9" s="115" t="s">
        <v>7</v>
      </c>
      <c r="C9" s="116" t="s">
        <v>30</v>
      </c>
      <c r="D9" s="115" t="s">
        <v>0</v>
      </c>
      <c r="E9" s="115" t="s">
        <v>3</v>
      </c>
      <c r="F9" s="115" t="s">
        <v>4</v>
      </c>
      <c r="G9" s="115" t="s">
        <v>8</v>
      </c>
      <c r="H9" s="115" t="s">
        <v>9</v>
      </c>
      <c r="I9" s="115" t="s">
        <v>10</v>
      </c>
      <c r="J9" s="115" t="s">
        <v>12</v>
      </c>
    </row>
    <row r="10" spans="2:18" ht="34.5" thickBot="1" x14ac:dyDescent="0.25">
      <c r="B10" s="117" t="s">
        <v>37</v>
      </c>
      <c r="C10" s="117" t="s">
        <v>31</v>
      </c>
      <c r="D10" s="117" t="s">
        <v>26</v>
      </c>
      <c r="E10" s="117" t="s">
        <v>27</v>
      </c>
      <c r="F10" s="117" t="s">
        <v>4</v>
      </c>
      <c r="G10" s="117" t="s">
        <v>40</v>
      </c>
      <c r="H10" s="117" t="s">
        <v>41</v>
      </c>
      <c r="I10" s="117" t="s">
        <v>28</v>
      </c>
      <c r="J10" s="117" t="s">
        <v>29</v>
      </c>
    </row>
    <row r="11" spans="2:18" x14ac:dyDescent="0.2">
      <c r="B11" s="118" t="s">
        <v>149</v>
      </c>
      <c r="C11" s="119"/>
      <c r="D11" s="118" t="str">
        <f>B5</f>
        <v>TOTCO2</v>
      </c>
      <c r="E11" s="118" t="s">
        <v>150</v>
      </c>
      <c r="F11" s="118" t="str">
        <f>'EB2'!AA2</f>
        <v>kt</v>
      </c>
      <c r="G11" s="118"/>
      <c r="H11" s="118"/>
      <c r="I11" s="118"/>
      <c r="J11" s="1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63"/>
  <sheetViews>
    <sheetView tabSelected="1" zoomScale="50" zoomScaleNormal="50" workbookViewId="0">
      <selection activeCell="D9" sqref="D9:F1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2" spans="2:2" ht="18" x14ac:dyDescent="0.25">
      <c r="B2" s="82" t="s">
        <v>152</v>
      </c>
    </row>
    <row r="3" spans="2:2" ht="18" x14ac:dyDescent="0.25">
      <c r="B3" s="82" t="s">
        <v>153</v>
      </c>
    </row>
    <row r="6" spans="2:2" x14ac:dyDescent="0.2">
      <c r="B6" s="131" t="s">
        <v>154</v>
      </c>
    </row>
    <row r="7" spans="2:2" x14ac:dyDescent="0.2">
      <c r="B7" s="1" t="s">
        <v>155</v>
      </c>
    </row>
    <row r="8" spans="2:2" x14ac:dyDescent="0.2">
      <c r="B8" s="1" t="s">
        <v>156</v>
      </c>
    </row>
    <row r="9" spans="2:2" x14ac:dyDescent="0.2">
      <c r="B9" s="1" t="s">
        <v>157</v>
      </c>
    </row>
    <row r="10" spans="2:2" x14ac:dyDescent="0.2">
      <c r="B10" s="1" t="s">
        <v>160</v>
      </c>
    </row>
    <row r="11" spans="2:2" x14ac:dyDescent="0.2">
      <c r="B11" s="1" t="s">
        <v>158</v>
      </c>
    </row>
    <row r="12" spans="2:2" x14ac:dyDescent="0.2">
      <c r="B12" s="1" t="s">
        <v>159</v>
      </c>
    </row>
    <row r="22" spans="2:17" ht="18" x14ac:dyDescent="0.25">
      <c r="B22" s="82" t="s">
        <v>151</v>
      </c>
    </row>
    <row r="24" spans="2:17" ht="18" x14ac:dyDescent="0.25">
      <c r="D24" s="132" t="s">
        <v>131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4"/>
      <c r="Q24" s="102"/>
    </row>
    <row r="25" spans="2:17" ht="12.75" customHeight="1" x14ac:dyDescent="0.2">
      <c r="D25" s="103" t="s">
        <v>126</v>
      </c>
      <c r="E25" s="103"/>
      <c r="F25" s="103"/>
      <c r="G25" s="103"/>
      <c r="H25" s="103"/>
      <c r="I25" s="103"/>
      <c r="M25" s="103" t="s">
        <v>127</v>
      </c>
      <c r="N25" s="103"/>
      <c r="O25" s="103"/>
      <c r="P25" s="103"/>
      <c r="Q25" s="81"/>
    </row>
    <row r="26" spans="2:17" x14ac:dyDescent="0.2">
      <c r="M26" s="103" t="s">
        <v>128</v>
      </c>
      <c r="N26" s="103"/>
      <c r="O26" s="103"/>
      <c r="P26" s="103"/>
    </row>
    <row r="63" spans="13:17" x14ac:dyDescent="0.2">
      <c r="M63" s="81"/>
      <c r="N63" s="81"/>
      <c r="O63" s="81"/>
      <c r="P63" s="5"/>
      <c r="Q63" s="5"/>
    </row>
  </sheetData>
  <mergeCells count="1">
    <mergeCell ref="D24:P2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COA</v>
      </c>
      <c r="L5" s="118" t="str">
        <f>D2</f>
        <v>Solid Fuels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H8" s="5"/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9">
        <v>80000</v>
      </c>
      <c r="F11" s="70">
        <v>2</v>
      </c>
      <c r="G11" s="71">
        <f>'EB2'!$D$5*'EB2'!D21</f>
        <v>2125.8189750000001</v>
      </c>
      <c r="I11" s="118" t="str">
        <f>'EB2'!$B$5</f>
        <v>MIN</v>
      </c>
      <c r="J11" s="119"/>
      <c r="K11" s="119" t="str">
        <f>$I$11&amp;$C$2&amp;1</f>
        <v>MINCOA1</v>
      </c>
      <c r="L11" s="122" t="str">
        <f>"Domestic Supply of "&amp;$D$2&amp; " Step "&amp;RIGHT(K11,1)</f>
        <v>Domestic Supply of Solid Fuels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9">
        <v>160000</v>
      </c>
      <c r="F12" s="70">
        <v>2.5</v>
      </c>
      <c r="G12" s="71">
        <f>'EB2'!$D$5*'EB2'!D22</f>
        <v>708.60632499999997</v>
      </c>
      <c r="I12" s="119"/>
      <c r="J12" s="119"/>
      <c r="K12" s="119" t="str">
        <f>$I$11&amp;$C$2&amp;2</f>
        <v>MINCOA2</v>
      </c>
      <c r="L12" s="122" t="str">
        <f>"Domestic Supply of "&amp;$D$2&amp; " Step "&amp;RIGHT(K12,1)</f>
        <v>Domestic Supply of Solid Fuels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9">
        <v>0</v>
      </c>
      <c r="F13" s="70">
        <v>3</v>
      </c>
      <c r="G13" s="100">
        <v>0</v>
      </c>
      <c r="I13" s="119"/>
      <c r="J13" s="119"/>
      <c r="K13" s="119" t="str">
        <f>$I$11&amp;$C$2&amp;3</f>
        <v>MINCOA3</v>
      </c>
      <c r="L13" s="122" t="str">
        <f>"Domestic Supply of "&amp;$D$2&amp; " Step "&amp;RIGHT(K13,1)</f>
        <v>Domestic Supply of Solid Fuels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70">
        <v>2.75</v>
      </c>
      <c r="G14" s="71">
        <f>'EB2'!D6</f>
        <v>2261.9348499999996</v>
      </c>
      <c r="I14" s="119" t="str">
        <f>'EB2'!$B$6</f>
        <v>IMP</v>
      </c>
      <c r="J14" s="119"/>
      <c r="K14" s="119" t="str">
        <f>$I$14&amp;$C$2&amp;1</f>
        <v>IMPCOA1</v>
      </c>
      <c r="L14" s="122" t="str">
        <f>"Import of "&amp;$D$2&amp; " Step "&amp;RIGHT(K14,1)</f>
        <v>Import of Solid Fuels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70">
        <v>2.75</v>
      </c>
      <c r="G15" s="71">
        <f>-'EB2'!D7</f>
        <v>401.47415000000001</v>
      </c>
      <c r="I15" s="119" t="str">
        <f>'EB2'!B7</f>
        <v>EXP</v>
      </c>
      <c r="J15" s="119"/>
      <c r="K15" s="119" t="str">
        <f>$I$15&amp;$C$2&amp;1</f>
        <v>EXPCOA1</v>
      </c>
      <c r="L15" s="122" t="str">
        <f>"Export of "&amp;$D$2&amp; " Step "&amp;RIGHT(K15,1)</f>
        <v>Export of Solid Fuels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7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3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GAS</v>
      </c>
      <c r="L5" s="118" t="str">
        <f>D2</f>
        <v>Natural Gas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7">
        <v>15000</v>
      </c>
      <c r="F11" s="76">
        <v>3.6</v>
      </c>
      <c r="G11" s="72">
        <f>'EB2'!$E$5*'EB2'!E21</f>
        <v>2369.8490999999999</v>
      </c>
      <c r="I11" s="118" t="str">
        <f>'EB2'!$B$5</f>
        <v>MIN</v>
      </c>
      <c r="J11" s="119"/>
      <c r="K11" s="119" t="str">
        <f>$I$11&amp;$C$2&amp;1</f>
        <v>MINGAS1</v>
      </c>
      <c r="L11" s="122" t="str">
        <f>"Domestic Supply of "&amp;$D$2&amp; " Step "&amp;RIGHT(K11,1)</f>
        <v>Domestic Supply of Natural Gas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7">
        <v>20000</v>
      </c>
      <c r="F12" s="76">
        <v>4.1399999999999997</v>
      </c>
      <c r="G12" s="72">
        <f>'EB2'!$E$5*'EB2'!E22</f>
        <v>2369.8490999999999</v>
      </c>
      <c r="H12" s="5"/>
      <c r="I12" s="119"/>
      <c r="J12" s="119"/>
      <c r="K12" s="119" t="str">
        <f>$I$11&amp;$C$2&amp;2</f>
        <v>MINGAS2</v>
      </c>
      <c r="L12" s="122" t="str">
        <f>"Domestic Supply of "&amp;$D$2&amp; " Step "&amp;RIGHT(K12,1)</f>
        <v>Domestic Supply of Natural Gas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7">
        <v>3000000</v>
      </c>
      <c r="F13" s="76">
        <v>5.4</v>
      </c>
      <c r="G13" s="17"/>
      <c r="I13" s="119"/>
      <c r="J13" s="119"/>
      <c r="K13" s="119" t="str">
        <f>$I$11&amp;$C$2&amp;3</f>
        <v>MINGAS3</v>
      </c>
      <c r="L13" s="122" t="str">
        <f>"Domestic Supply of "&amp;$D$2&amp; " Step "&amp;RIGHT(K13,1)</f>
        <v>Domestic Supply of Natural Gas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6">
        <v>4.5</v>
      </c>
      <c r="G14" s="17"/>
      <c r="I14" s="119" t="str">
        <f>'EB2'!$B$6</f>
        <v>IMP</v>
      </c>
      <c r="J14" s="119"/>
      <c r="K14" s="119" t="str">
        <f>$I$14&amp;$C$2&amp;1</f>
        <v>IMPGAS1</v>
      </c>
      <c r="L14" s="122" t="str">
        <f>"Import of "&amp;$D$2&amp; " Step "&amp;RIGHT(K14,1)</f>
        <v>Import of Natural Gas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6">
        <v>4.5</v>
      </c>
      <c r="G15" s="72">
        <f>-'EB2'!E7</f>
        <v>1509.7986000000001</v>
      </c>
      <c r="H15"/>
      <c r="I15" s="119" t="str">
        <f>'EB2'!B7</f>
        <v>EXP</v>
      </c>
      <c r="J15" s="119"/>
      <c r="K15" s="119" t="str">
        <f>$I$15&amp;$C$2&amp;1</f>
        <v>EXPGAS1</v>
      </c>
      <c r="L15" s="122" t="str">
        <f>"Export of "&amp;$D$2&amp; " Step "&amp;RIGHT(K15,1)</f>
        <v>Export of Natural Gas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1"/>
      <c r="C16" s="11"/>
      <c r="F16" s="75"/>
      <c r="G16" s="75"/>
    </row>
    <row r="17" spans="2:18" s="5" customFormat="1" x14ac:dyDescent="0.2">
      <c r="B17" s="1"/>
      <c r="F17" s="75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7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3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23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23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  <c r="T4" s="5"/>
      <c r="U4" s="5"/>
    </row>
    <row r="5" spans="2:23" x14ac:dyDescent="0.2">
      <c r="I5" s="118" t="s">
        <v>73</v>
      </c>
      <c r="J5" s="119"/>
      <c r="K5" s="118" t="str">
        <f>C2</f>
        <v>OIL</v>
      </c>
      <c r="L5" s="118" t="str">
        <f>D2</f>
        <v>Crude Oil</v>
      </c>
      <c r="M5" s="118" t="str">
        <f>$E$2</f>
        <v>PJ</v>
      </c>
      <c r="N5" s="118"/>
      <c r="O5" s="118"/>
      <c r="P5" s="118"/>
      <c r="Q5" s="118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23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H9" s="5"/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23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7">
        <v>12000</v>
      </c>
      <c r="F11" s="76">
        <v>6.4</v>
      </c>
      <c r="G11" s="72">
        <f>'EB2'!$F$5*'EB2'!F21</f>
        <v>2149.0016000000001</v>
      </c>
      <c r="I11" s="118" t="str">
        <f>'EB2'!$B$5</f>
        <v>MIN</v>
      </c>
      <c r="J11" s="119"/>
      <c r="K11" s="119" t="str">
        <f>$I$11&amp;$C$2&amp;1</f>
        <v>MINOIL1</v>
      </c>
      <c r="L11" s="122" t="str">
        <f>"Domestic Supply of "&amp;$D$2&amp; " Step "&amp;RIGHT(K11,1)</f>
        <v>Domestic Supply of Crude Oil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7">
        <v>10000</v>
      </c>
      <c r="F12" s="76">
        <v>7.3599999999999994</v>
      </c>
      <c r="G12" s="72">
        <f>'EB2'!$F$5*'EB2'!F22</f>
        <v>537.25040000000001</v>
      </c>
      <c r="I12" s="119"/>
      <c r="J12" s="119"/>
      <c r="K12" s="119" t="str">
        <f>$I$11&amp;$C$2&amp;2</f>
        <v>MINOIL2</v>
      </c>
      <c r="L12" s="122" t="str">
        <f>"Domestic Supply of "&amp;$D$2&amp; " Step "&amp;RIGHT(K12,1)</f>
        <v>Domestic Supply of Crude Oil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7">
        <v>1200000</v>
      </c>
      <c r="F13" s="76">
        <v>9.6000000000000014</v>
      </c>
      <c r="G13" s="16"/>
      <c r="I13" s="119"/>
      <c r="J13" s="119"/>
      <c r="K13" s="119" t="str">
        <f>$I$11&amp;$C$2&amp;3</f>
        <v>MINOIL3</v>
      </c>
      <c r="L13" s="122" t="str">
        <f>"Domestic Supply of "&amp;$D$2&amp; " Step "&amp;RIGHT(K13,1)</f>
        <v>Domestic Supply of Crude Oil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6">
        <v>8</v>
      </c>
      <c r="G14" s="16"/>
      <c r="I14" s="119" t="str">
        <f>'EB2'!$B$6</f>
        <v>IMP</v>
      </c>
      <c r="J14" s="119"/>
      <c r="K14" s="119" t="str">
        <f>$I$14&amp;$C$2&amp;1</f>
        <v>IMPOIL1</v>
      </c>
      <c r="L14" s="122" t="str">
        <f>"Import of "&amp;$D$2&amp; " Step "&amp;RIGHT(K14,1)</f>
        <v>Import of Crude Oil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6">
        <v>8</v>
      </c>
      <c r="G15" s="71">
        <f>-'EB2'!F7</f>
        <v>1648.4854999999998</v>
      </c>
      <c r="I15" s="119" t="str">
        <f>'EB2'!B7</f>
        <v>EXP</v>
      </c>
      <c r="J15" s="119"/>
      <c r="K15" s="119" t="str">
        <f>$I$15&amp;$C$2&amp;1</f>
        <v>EXPOIL1</v>
      </c>
      <c r="L15" s="122" t="str">
        <f>"Export of "&amp;$D$2&amp; " Step "&amp;RIGHT(K15,1)</f>
        <v>Export of Crude Oil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V15" s="5"/>
      <c r="W15" s="5"/>
    </row>
    <row r="16" spans="2:23" s="5" customFormat="1" x14ac:dyDescent="0.2">
      <c r="B16" s="11"/>
      <c r="C16" s="11"/>
      <c r="F16" s="75"/>
      <c r="R16"/>
      <c r="T16"/>
      <c r="U16"/>
      <c r="V16"/>
      <c r="W16"/>
    </row>
    <row r="17" spans="2:23" s="5" customFormat="1" x14ac:dyDescent="0.2">
      <c r="B17" s="1"/>
      <c r="F17" s="75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7"/>
      <c r="C23" s="1" t="s">
        <v>124</v>
      </c>
      <c r="R23" s="5"/>
    </row>
    <row r="24" spans="2:23" x14ac:dyDescent="0.2">
      <c r="B24" s="73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8" t="s">
        <v>73</v>
      </c>
      <c r="I5" s="119"/>
      <c r="J5" s="118" t="str">
        <f t="shared" ref="J5:K8" si="0">C2</f>
        <v>BIO</v>
      </c>
      <c r="K5" s="118" t="str">
        <f t="shared" si="0"/>
        <v>Biomass</v>
      </c>
      <c r="L5" s="118" t="str">
        <f>$E$2</f>
        <v>PJ</v>
      </c>
      <c r="M5" s="118"/>
      <c r="N5" s="118"/>
      <c r="O5" s="118"/>
      <c r="P5" s="118"/>
    </row>
    <row r="6" spans="2:17" ht="15.75" x14ac:dyDescent="0.25">
      <c r="B6" s="5"/>
      <c r="C6" s="13"/>
      <c r="D6" s="13"/>
      <c r="H6" s="118"/>
      <c r="I6" s="119"/>
      <c r="J6" s="118" t="str">
        <f t="shared" si="0"/>
        <v>HYD</v>
      </c>
      <c r="K6" s="118" t="str">
        <f t="shared" si="0"/>
        <v>Hydro power</v>
      </c>
      <c r="L6" s="118" t="str">
        <f>$E$2</f>
        <v>PJ</v>
      </c>
      <c r="M6" s="118"/>
      <c r="N6" s="118"/>
      <c r="O6" s="118"/>
      <c r="P6" s="118"/>
    </row>
    <row r="7" spans="2:17" ht="15.75" x14ac:dyDescent="0.25">
      <c r="C7" s="13"/>
      <c r="D7" s="13"/>
      <c r="H7" s="118"/>
      <c r="I7" s="119"/>
      <c r="J7" s="118" t="str">
        <f t="shared" si="0"/>
        <v>WIN</v>
      </c>
      <c r="K7" s="118" t="str">
        <f t="shared" si="0"/>
        <v>Wind energy</v>
      </c>
      <c r="L7" s="118" t="str">
        <f>$E$2</f>
        <v>PJ</v>
      </c>
      <c r="M7" s="118"/>
      <c r="N7" s="118"/>
      <c r="O7" s="118"/>
      <c r="P7" s="118"/>
    </row>
    <row r="8" spans="2:17" ht="15.75" x14ac:dyDescent="0.25">
      <c r="C8" s="13"/>
      <c r="D8" s="13"/>
      <c r="H8" s="118"/>
      <c r="I8" s="119"/>
      <c r="J8" s="118" t="str">
        <f t="shared" si="0"/>
        <v>SOL</v>
      </c>
      <c r="K8" s="118" t="str">
        <f t="shared" si="0"/>
        <v>Solar energy</v>
      </c>
      <c r="L8" s="118" t="str">
        <f>$E$2</f>
        <v>PJ</v>
      </c>
      <c r="M8" s="118"/>
      <c r="N8" s="118"/>
      <c r="O8" s="118"/>
      <c r="P8" s="118"/>
    </row>
    <row r="10" spans="2:17" x14ac:dyDescent="0.2">
      <c r="D10" s="4" t="s">
        <v>13</v>
      </c>
      <c r="E10" s="4"/>
      <c r="H10" s="113" t="s">
        <v>15</v>
      </c>
      <c r="I10" s="113"/>
      <c r="J10" s="120"/>
      <c r="K10" s="120"/>
      <c r="L10" s="120"/>
      <c r="M10" s="120"/>
      <c r="N10" s="120"/>
      <c r="O10" s="120"/>
      <c r="P10" s="120"/>
    </row>
    <row r="11" spans="2:17" x14ac:dyDescent="0.2">
      <c r="B11" s="3" t="s">
        <v>1</v>
      </c>
      <c r="C11" s="22" t="s">
        <v>5</v>
      </c>
      <c r="D11" s="3" t="s">
        <v>6</v>
      </c>
      <c r="E11" s="86" t="s">
        <v>35</v>
      </c>
      <c r="F11" s="86" t="s">
        <v>80</v>
      </c>
      <c r="H11" s="115" t="s">
        <v>11</v>
      </c>
      <c r="I11" s="116" t="s">
        <v>30</v>
      </c>
      <c r="J11" s="115" t="s">
        <v>1</v>
      </c>
      <c r="K11" s="115" t="s">
        <v>2</v>
      </c>
      <c r="L11" s="115" t="s">
        <v>16</v>
      </c>
      <c r="M11" s="115" t="s">
        <v>17</v>
      </c>
      <c r="N11" s="115" t="s">
        <v>18</v>
      </c>
      <c r="O11" s="115" t="s">
        <v>19</v>
      </c>
      <c r="P11" s="115" t="s">
        <v>20</v>
      </c>
    </row>
    <row r="12" spans="2:17" ht="23.25" thickBot="1" x14ac:dyDescent="0.25">
      <c r="B12" s="53" t="s">
        <v>39</v>
      </c>
      <c r="C12" s="53" t="s">
        <v>32</v>
      </c>
      <c r="D12" s="53" t="s">
        <v>33</v>
      </c>
      <c r="E12" s="53" t="s">
        <v>87</v>
      </c>
      <c r="F12" s="53" t="s">
        <v>86</v>
      </c>
      <c r="H12" s="117" t="s">
        <v>38</v>
      </c>
      <c r="I12" s="117" t="s">
        <v>31</v>
      </c>
      <c r="J12" s="117" t="s">
        <v>21</v>
      </c>
      <c r="K12" s="117" t="s">
        <v>22</v>
      </c>
      <c r="L12" s="117" t="s">
        <v>23</v>
      </c>
      <c r="M12" s="117" t="s">
        <v>24</v>
      </c>
      <c r="N12" s="117" t="s">
        <v>43</v>
      </c>
      <c r="O12" s="117" t="s">
        <v>42</v>
      </c>
      <c r="P12" s="117" t="s">
        <v>25</v>
      </c>
    </row>
    <row r="13" spans="2:17" s="37" customFormat="1" ht="13.5" thickBot="1" x14ac:dyDescent="0.25">
      <c r="B13" s="53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7" t="s">
        <v>81</v>
      </c>
      <c r="I13" s="121"/>
      <c r="J13" s="121"/>
      <c r="K13" s="121"/>
      <c r="L13" s="121"/>
      <c r="M13" s="121"/>
      <c r="N13" s="121"/>
      <c r="O13" s="121"/>
      <c r="P13" s="121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6">
        <v>3.1049999999999995</v>
      </c>
      <c r="F14" s="5"/>
      <c r="H14" s="118" t="str">
        <f>'EB2'!$B$5</f>
        <v>MIN</v>
      </c>
      <c r="I14" s="119"/>
      <c r="J14" s="119" t="str">
        <f>$H$14&amp;C2&amp;1</f>
        <v>MINBIO1</v>
      </c>
      <c r="K14" s="122" t="str">
        <f>"Domestic Supply of "&amp;D2&amp; " Step "&amp;RIGHT(J14,1)</f>
        <v>Domestic Supply of Biomass Step 1</v>
      </c>
      <c r="L14" s="119" t="str">
        <f>$E$2</f>
        <v>PJ</v>
      </c>
      <c r="M14" s="119" t="str">
        <f>$E$2&amp;"a"</f>
        <v>PJa</v>
      </c>
      <c r="N14" s="119"/>
      <c r="O14" s="119"/>
      <c r="P14" s="119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9"/>
      <c r="I15" s="119"/>
      <c r="J15" s="119" t="str">
        <f>$H$14&amp;C3&amp;1</f>
        <v>MINHYD1</v>
      </c>
      <c r="K15" s="122" t="str">
        <f>"Domestic Supply of "&amp;D3&amp; " Step "&amp;RIGHT(J15,1)</f>
        <v>Domestic Supply of Hydro power Step 1</v>
      </c>
      <c r="L15" s="119" t="str">
        <f>$E$2</f>
        <v>PJ</v>
      </c>
      <c r="M15" s="119" t="str">
        <f>$E$2&amp;"a"</f>
        <v>PJa</v>
      </c>
      <c r="N15" s="119"/>
      <c r="O15" s="119"/>
      <c r="P15" s="119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9"/>
      <c r="I16" s="119"/>
      <c r="J16" s="119" t="str">
        <f>$H$14&amp;C4&amp;1</f>
        <v>MINWIN1</v>
      </c>
      <c r="K16" s="122" t="str">
        <f>"Domestic Supply of "&amp;D4&amp; " Step "&amp;RIGHT(J16,1)</f>
        <v>Domestic Supply of Wind energy Step 1</v>
      </c>
      <c r="L16" s="119" t="str">
        <f>$E$2</f>
        <v>PJ</v>
      </c>
      <c r="M16" s="119" t="str">
        <f>$E$2&amp;"a"</f>
        <v>PJa</v>
      </c>
      <c r="N16" s="119"/>
      <c r="O16" s="119"/>
      <c r="P16" s="119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9"/>
      <c r="I17" s="119"/>
      <c r="J17" s="119" t="str">
        <f>$H$14&amp;C5&amp;1</f>
        <v>MINSOL1</v>
      </c>
      <c r="K17" s="122" t="str">
        <f>"Domestic Supply of "&amp;D5&amp; " Step "&amp;RIGHT(J17,1)</f>
        <v>Domestic Supply of Solar energy Step 1</v>
      </c>
      <c r="L17" s="119" t="str">
        <f>$E$2</f>
        <v>PJ</v>
      </c>
      <c r="M17" s="119" t="str">
        <f>$E$2&amp;"a"</f>
        <v>PJa</v>
      </c>
      <c r="N17" s="119"/>
      <c r="O17" s="119"/>
      <c r="P17" s="119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7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3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x14ac:dyDescent="0.2">
      <c r="E3" s="14"/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3.25" thickBot="1" x14ac:dyDescent="0.25">
      <c r="B4" s="1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x14ac:dyDescent="0.2">
      <c r="H5" s="118" t="s">
        <v>73</v>
      </c>
      <c r="I5" s="119"/>
      <c r="J5" s="118" t="str">
        <f>C2</f>
        <v>NUC</v>
      </c>
      <c r="K5" s="118" t="str">
        <f>D2</f>
        <v>Nuclear Energy</v>
      </c>
      <c r="L5" s="118" t="str">
        <f>$E$2</f>
        <v>PJ</v>
      </c>
      <c r="M5" s="118"/>
      <c r="N5" s="118"/>
      <c r="O5" s="118"/>
      <c r="P5" s="118"/>
    </row>
    <row r="7" spans="2:17" x14ac:dyDescent="0.2">
      <c r="D7" s="4" t="s">
        <v>13</v>
      </c>
      <c r="E7" s="4"/>
      <c r="H7" s="113" t="s">
        <v>15</v>
      </c>
      <c r="I7" s="113"/>
      <c r="J7" s="120"/>
      <c r="K7" s="120"/>
      <c r="L7" s="120"/>
      <c r="M7" s="120"/>
      <c r="N7" s="120"/>
      <c r="O7" s="120"/>
      <c r="P7" s="120"/>
    </row>
    <row r="8" spans="2:17" x14ac:dyDescent="0.2">
      <c r="B8" s="3" t="s">
        <v>1</v>
      </c>
      <c r="C8" s="22" t="s">
        <v>5</v>
      </c>
      <c r="D8" s="3" t="s">
        <v>6</v>
      </c>
      <c r="E8" s="86" t="s">
        <v>35</v>
      </c>
      <c r="F8" s="86" t="s">
        <v>80</v>
      </c>
      <c r="H8" s="115" t="s">
        <v>11</v>
      </c>
      <c r="I8" s="116" t="s">
        <v>30</v>
      </c>
      <c r="J8" s="115" t="s">
        <v>1</v>
      </c>
      <c r="K8" s="115" t="s">
        <v>2</v>
      </c>
      <c r="L8" s="115" t="s">
        <v>16</v>
      </c>
      <c r="M8" s="115" t="s">
        <v>17</v>
      </c>
      <c r="N8" s="115" t="s">
        <v>18</v>
      </c>
      <c r="O8" s="115" t="s">
        <v>19</v>
      </c>
      <c r="P8" s="115" t="s">
        <v>20</v>
      </c>
    </row>
    <row r="9" spans="2:17" ht="23.25" thickBot="1" x14ac:dyDescent="0.25">
      <c r="B9" s="53" t="s">
        <v>39</v>
      </c>
      <c r="C9" s="53" t="s">
        <v>32</v>
      </c>
      <c r="D9" s="53" t="s">
        <v>33</v>
      </c>
      <c r="E9" s="53" t="s">
        <v>87</v>
      </c>
      <c r="F9" s="53" t="s">
        <v>86</v>
      </c>
      <c r="H9" s="117" t="s">
        <v>38</v>
      </c>
      <c r="I9" s="117" t="s">
        <v>31</v>
      </c>
      <c r="J9" s="117" t="s">
        <v>21</v>
      </c>
      <c r="K9" s="117" t="s">
        <v>22</v>
      </c>
      <c r="L9" s="117" t="s">
        <v>23</v>
      </c>
      <c r="M9" s="117" t="s">
        <v>24</v>
      </c>
      <c r="N9" s="117" t="s">
        <v>43</v>
      </c>
      <c r="O9" s="117" t="s">
        <v>42</v>
      </c>
      <c r="P9" s="117" t="s">
        <v>25</v>
      </c>
    </row>
    <row r="10" spans="2:17" s="37" customFormat="1" ht="13.5" thickBot="1" x14ac:dyDescent="0.25">
      <c r="B10" s="53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7" t="s">
        <v>81</v>
      </c>
      <c r="I10" s="121"/>
      <c r="J10" s="121"/>
      <c r="K10" s="121"/>
      <c r="L10" s="121"/>
      <c r="M10" s="121"/>
      <c r="N10" s="121"/>
      <c r="O10" s="121"/>
      <c r="P10" s="121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8" t="str">
        <f>'EB2'!$B$5</f>
        <v>MIN</v>
      </c>
      <c r="I11" s="119"/>
      <c r="J11" s="119" t="str">
        <f>$H$11&amp;$C$2&amp;1</f>
        <v>MINNUC1</v>
      </c>
      <c r="K11" s="122" t="str">
        <f>"Domestic Supply of "&amp;$D$2&amp; " Step "&amp;RIGHT(J11,1)</f>
        <v>Domestic Supply of Nuclear Energy Step 1</v>
      </c>
      <c r="L11" s="119" t="str">
        <f>$E$2</f>
        <v>PJ</v>
      </c>
      <c r="M11" s="119" t="str">
        <f>$E$2&amp;"a"</f>
        <v>PJa</v>
      </c>
      <c r="N11" s="119"/>
      <c r="O11" s="119"/>
      <c r="P11" s="119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7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3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7" t="s">
        <v>73</v>
      </c>
      <c r="I5" s="128"/>
      <c r="J5" s="127" t="str">
        <f t="shared" ref="J5:K11" si="0">C2</f>
        <v>DSL</v>
      </c>
      <c r="K5" s="127" t="str">
        <f t="shared" si="0"/>
        <v>Diesel oil</v>
      </c>
      <c r="L5" s="127" t="str">
        <f t="shared" ref="L5:L11" si="1">$E$2</f>
        <v>PJ</v>
      </c>
      <c r="M5" s="127"/>
      <c r="N5" s="127"/>
      <c r="O5" s="127"/>
      <c r="P5" s="127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7"/>
      <c r="I6" s="128"/>
      <c r="J6" s="127" t="str">
        <f t="shared" si="0"/>
        <v>KER</v>
      </c>
      <c r="K6" s="127" t="str">
        <f t="shared" si="0"/>
        <v>Kerosenes</v>
      </c>
      <c r="L6" s="127" t="str">
        <f t="shared" si="1"/>
        <v>PJ</v>
      </c>
      <c r="M6" s="127"/>
      <c r="N6" s="127"/>
      <c r="O6" s="127"/>
      <c r="P6" s="127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7"/>
      <c r="I7" s="128"/>
      <c r="J7" s="127" t="str">
        <f t="shared" si="0"/>
        <v>LPG</v>
      </c>
      <c r="K7" s="127" t="str">
        <f t="shared" si="0"/>
        <v>LPG</v>
      </c>
      <c r="L7" s="127" t="str">
        <f t="shared" si="1"/>
        <v>PJ</v>
      </c>
      <c r="M7" s="127"/>
      <c r="N7" s="127"/>
      <c r="O7" s="127"/>
      <c r="P7" s="127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7"/>
      <c r="I8" s="128"/>
      <c r="J8" s="127" t="str">
        <f t="shared" si="0"/>
        <v>GSL</v>
      </c>
      <c r="K8" s="127" t="str">
        <f t="shared" si="0"/>
        <v>Motor spirit</v>
      </c>
      <c r="L8" s="127" t="str">
        <f t="shared" si="1"/>
        <v>PJ</v>
      </c>
      <c r="M8" s="127"/>
      <c r="N8" s="127"/>
      <c r="O8" s="127"/>
      <c r="P8" s="127"/>
      <c r="R8" s="37"/>
      <c r="S8" s="37"/>
    </row>
    <row r="9" spans="2:22" x14ac:dyDescent="0.2">
      <c r="H9" s="127"/>
      <c r="I9" s="128"/>
      <c r="J9" s="127" t="str">
        <f t="shared" si="0"/>
        <v>NAP</v>
      </c>
      <c r="K9" s="127" t="str">
        <f t="shared" si="0"/>
        <v>Naphtha</v>
      </c>
      <c r="L9" s="127" t="str">
        <f t="shared" si="1"/>
        <v>PJ</v>
      </c>
      <c r="M9" s="127"/>
      <c r="N9" s="127"/>
      <c r="O9" s="127"/>
      <c r="P9" s="127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7"/>
      <c r="I10" s="128"/>
      <c r="J10" s="127" t="str">
        <f t="shared" si="0"/>
        <v>HFO</v>
      </c>
      <c r="K10" s="127" t="str">
        <f t="shared" si="0"/>
        <v>Heavy Fuel Oil</v>
      </c>
      <c r="L10" s="127" t="str">
        <f t="shared" si="1"/>
        <v>PJ</v>
      </c>
      <c r="M10" s="127"/>
      <c r="N10" s="127"/>
      <c r="O10" s="127"/>
      <c r="P10" s="127"/>
      <c r="Q10" s="35"/>
      <c r="U10" s="35"/>
      <c r="V10" s="35"/>
    </row>
    <row r="11" spans="2:22" s="37" customFormat="1" x14ac:dyDescent="0.2">
      <c r="H11" s="127"/>
      <c r="I11" s="128"/>
      <c r="J11" s="127" t="str">
        <f t="shared" si="0"/>
        <v>OPP</v>
      </c>
      <c r="K11" s="127" t="str">
        <f t="shared" si="0"/>
        <v>Other Petroleum Products</v>
      </c>
      <c r="L11" s="127" t="str">
        <f t="shared" si="1"/>
        <v>PJ</v>
      </c>
      <c r="M11" s="127"/>
      <c r="N11" s="127"/>
      <c r="O11" s="127"/>
      <c r="P11" s="127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23" t="s">
        <v>15</v>
      </c>
      <c r="I13" s="123"/>
      <c r="J13" s="129"/>
      <c r="K13" s="129"/>
      <c r="L13" s="129"/>
      <c r="M13" s="129"/>
      <c r="N13" s="129"/>
      <c r="O13" s="129"/>
      <c r="P13" s="129"/>
      <c r="T13" s="37"/>
      <c r="U13" s="37"/>
      <c r="V13" s="37"/>
    </row>
    <row r="14" spans="2:22" x14ac:dyDescent="0.2">
      <c r="B14" s="47" t="s">
        <v>1</v>
      </c>
      <c r="C14" s="48" t="s">
        <v>5</v>
      </c>
      <c r="D14" s="47" t="s">
        <v>6</v>
      </c>
      <c r="E14" s="85" t="s">
        <v>35</v>
      </c>
      <c r="F14" s="85" t="s">
        <v>80</v>
      </c>
      <c r="H14" s="125" t="s">
        <v>11</v>
      </c>
      <c r="I14" s="126" t="s">
        <v>30</v>
      </c>
      <c r="J14" s="125" t="s">
        <v>1</v>
      </c>
      <c r="K14" s="125" t="s">
        <v>2</v>
      </c>
      <c r="L14" s="125" t="s">
        <v>16</v>
      </c>
      <c r="M14" s="125" t="s">
        <v>17</v>
      </c>
      <c r="N14" s="125" t="s">
        <v>18</v>
      </c>
      <c r="O14" s="125" t="s">
        <v>19</v>
      </c>
      <c r="P14" s="125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3" t="s">
        <v>87</v>
      </c>
      <c r="F15" s="53" t="s">
        <v>86</v>
      </c>
      <c r="H15" s="117" t="s">
        <v>38</v>
      </c>
      <c r="I15" s="117" t="s">
        <v>31</v>
      </c>
      <c r="J15" s="117" t="s">
        <v>21</v>
      </c>
      <c r="K15" s="117" t="s">
        <v>22</v>
      </c>
      <c r="L15" s="117" t="s">
        <v>23</v>
      </c>
      <c r="M15" s="117" t="s">
        <v>24</v>
      </c>
      <c r="N15" s="117" t="s">
        <v>43</v>
      </c>
      <c r="O15" s="117" t="s">
        <v>42</v>
      </c>
      <c r="P15" s="117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7" t="s">
        <v>81</v>
      </c>
      <c r="I16" s="121"/>
      <c r="J16" s="121"/>
      <c r="K16" s="121"/>
      <c r="L16" s="121"/>
      <c r="M16" s="121"/>
      <c r="N16" s="121"/>
      <c r="O16" s="121"/>
      <c r="P16" s="121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6">
        <f>Pri_OIL!$F$14*1.3</f>
        <v>10.4</v>
      </c>
      <c r="F17" s="71"/>
      <c r="H17" s="128" t="str">
        <f>'EB2'!$B$6</f>
        <v>IMP</v>
      </c>
      <c r="I17" s="128"/>
      <c r="J17" s="128" t="str">
        <f t="shared" ref="J17:J23" si="4">$H$17&amp;C2&amp;1</f>
        <v>IMPDSL1</v>
      </c>
      <c r="K17" s="130" t="str">
        <f t="shared" ref="K17:K23" si="5">"Import of "&amp;D2&amp; " Step "&amp;RIGHT(J17,1)</f>
        <v>Import of Diesel oil Step 1</v>
      </c>
      <c r="L17" s="128" t="str">
        <f t="shared" ref="L17:L30" si="6">$E$2</f>
        <v>PJ</v>
      </c>
      <c r="M17" s="128"/>
      <c r="N17" s="128"/>
      <c r="O17" s="128"/>
      <c r="P17" s="128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6">
        <f>Pri_OIL!$F$14*1.4</f>
        <v>11.2</v>
      </c>
      <c r="F18" s="71"/>
      <c r="H18" s="128"/>
      <c r="I18" s="128"/>
      <c r="J18" s="128" t="str">
        <f t="shared" si="4"/>
        <v>IMPKER1</v>
      </c>
      <c r="K18" s="130" t="str">
        <f t="shared" si="5"/>
        <v>Import of Kerosenes Step 1</v>
      </c>
      <c r="L18" s="128" t="str">
        <f t="shared" si="6"/>
        <v>PJ</v>
      </c>
      <c r="M18" s="128"/>
      <c r="N18" s="128"/>
      <c r="O18" s="128"/>
      <c r="P18" s="128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6">
        <f>Pri_OIL!$F$14*1.1</f>
        <v>8.8000000000000007</v>
      </c>
      <c r="F19" s="71"/>
      <c r="H19" s="128"/>
      <c r="I19" s="128"/>
      <c r="J19" s="128" t="str">
        <f t="shared" si="4"/>
        <v>IMPLPG1</v>
      </c>
      <c r="K19" s="130" t="str">
        <f t="shared" si="5"/>
        <v>Import of LPG Step 1</v>
      </c>
      <c r="L19" s="128" t="str">
        <f t="shared" si="6"/>
        <v>PJ</v>
      </c>
      <c r="M19" s="128"/>
      <c r="N19" s="128"/>
      <c r="O19" s="128"/>
      <c r="P19" s="128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6">
        <f>Pri_OIL!$F$14*1.4</f>
        <v>11.2</v>
      </c>
      <c r="F20" s="71"/>
      <c r="H20" s="128"/>
      <c r="I20" s="128"/>
      <c r="J20" s="128" t="str">
        <f t="shared" si="4"/>
        <v>IMPGSL1</v>
      </c>
      <c r="K20" s="130" t="str">
        <f t="shared" si="5"/>
        <v>Import of Motor spirit Step 1</v>
      </c>
      <c r="L20" s="128" t="str">
        <f t="shared" si="6"/>
        <v>PJ</v>
      </c>
      <c r="M20" s="128"/>
      <c r="N20" s="128"/>
      <c r="O20" s="128"/>
      <c r="P20" s="128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6">
        <f>Pri_OIL!$F$14*1.05</f>
        <v>8.4</v>
      </c>
      <c r="F21" s="71"/>
      <c r="H21" s="128"/>
      <c r="I21" s="128"/>
      <c r="J21" s="128" t="str">
        <f t="shared" si="4"/>
        <v>IMPNAP1</v>
      </c>
      <c r="K21" s="130" t="str">
        <f t="shared" si="5"/>
        <v>Import of Naphtha Step 1</v>
      </c>
      <c r="L21" s="128" t="str">
        <f t="shared" si="6"/>
        <v>PJ</v>
      </c>
      <c r="M21" s="128"/>
      <c r="N21" s="128"/>
      <c r="O21" s="128"/>
      <c r="P21" s="128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6">
        <f>Pri_OIL!$F$14*1.05</f>
        <v>8.4</v>
      </c>
      <c r="F22" s="71"/>
      <c r="H22" s="128"/>
      <c r="I22" s="128"/>
      <c r="J22" s="128" t="str">
        <f t="shared" si="4"/>
        <v>IMPHFO1</v>
      </c>
      <c r="K22" s="130" t="str">
        <f t="shared" si="5"/>
        <v>Import of Heavy Fuel Oil Step 1</v>
      </c>
      <c r="L22" s="128" t="str">
        <f t="shared" si="6"/>
        <v>PJ</v>
      </c>
      <c r="M22" s="128"/>
      <c r="N22" s="128"/>
      <c r="O22" s="128"/>
      <c r="P22" s="128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6">
        <f>Pri_OIL!$F$14*1.05</f>
        <v>8.4</v>
      </c>
      <c r="F23" s="71"/>
      <c r="G23" s="37"/>
      <c r="H23" s="128"/>
      <c r="I23" s="128"/>
      <c r="J23" s="128" t="str">
        <f t="shared" si="4"/>
        <v>IMPOPP1</v>
      </c>
      <c r="K23" s="130" t="str">
        <f t="shared" si="5"/>
        <v>Import of Other Petroleum Products Step 1</v>
      </c>
      <c r="L23" s="128" t="str">
        <f t="shared" si="6"/>
        <v>PJ</v>
      </c>
      <c r="M23" s="128"/>
      <c r="N23" s="128"/>
      <c r="O23" s="128"/>
      <c r="P23" s="128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6">
        <f>E17*0.99</f>
        <v>10.295999999999999</v>
      </c>
      <c r="F24" s="71">
        <f>-'EB2'!G$7</f>
        <v>1683.1424999999999</v>
      </c>
      <c r="H24" s="128" t="str">
        <f>'EB2'!B7</f>
        <v>EXP</v>
      </c>
      <c r="I24" s="129"/>
      <c r="J24" s="128" t="str">
        <f t="shared" ref="J24:J30" si="8">$H$24&amp;C2&amp;1</f>
        <v>EXPDSL1</v>
      </c>
      <c r="K24" s="130" t="str">
        <f t="shared" ref="K24:K30" si="9">"Export of "&amp;D2&amp; " Step "&amp;RIGHT(J24,1)</f>
        <v>Export of Diesel oil Step 1</v>
      </c>
      <c r="L24" s="128" t="str">
        <f t="shared" si="6"/>
        <v>PJ</v>
      </c>
      <c r="M24" s="128"/>
      <c r="N24" s="129"/>
      <c r="O24" s="128"/>
      <c r="P24" s="128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6">
        <f t="shared" ref="E25:E30" si="10">E18*0.99</f>
        <v>11.087999999999999</v>
      </c>
      <c r="F25" s="71">
        <f>-'EB2'!H$7</f>
        <v>295.38850000000002</v>
      </c>
      <c r="H25" s="129"/>
      <c r="I25" s="129"/>
      <c r="J25" s="128" t="str">
        <f t="shared" si="8"/>
        <v>EXPKER1</v>
      </c>
      <c r="K25" s="130" t="str">
        <f t="shared" si="9"/>
        <v>Export of Kerosenes Step 1</v>
      </c>
      <c r="L25" s="128" t="str">
        <f t="shared" si="6"/>
        <v>PJ</v>
      </c>
      <c r="M25" s="128"/>
      <c r="N25" s="129"/>
      <c r="O25" s="128"/>
      <c r="P25" s="128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6">
        <f t="shared" si="10"/>
        <v>8.7119999999999997</v>
      </c>
      <c r="F26" s="71">
        <f>-'EB2'!I$7</f>
        <v>194.51650000000001</v>
      </c>
      <c r="H26" s="128"/>
      <c r="I26" s="128"/>
      <c r="J26" s="128" t="str">
        <f t="shared" si="8"/>
        <v>EXPLPG1</v>
      </c>
      <c r="K26" s="130" t="str">
        <f t="shared" si="9"/>
        <v>Export of LPG Step 1</v>
      </c>
      <c r="L26" s="128" t="str">
        <f t="shared" si="6"/>
        <v>PJ</v>
      </c>
      <c r="M26" s="128"/>
      <c r="N26" s="128"/>
      <c r="O26" s="128"/>
      <c r="P26" s="128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6">
        <f t="shared" si="10"/>
        <v>11.087999999999999</v>
      </c>
      <c r="F27" s="71">
        <f>-'EB2'!J$7</f>
        <v>1500.6420000000001</v>
      </c>
      <c r="H27" s="128"/>
      <c r="I27" s="128"/>
      <c r="J27" s="128" t="str">
        <f t="shared" si="8"/>
        <v>EXPGSL1</v>
      </c>
      <c r="K27" s="130" t="str">
        <f t="shared" si="9"/>
        <v>Export of Motor spirit Step 1</v>
      </c>
      <c r="L27" s="128" t="str">
        <f t="shared" si="6"/>
        <v>PJ</v>
      </c>
      <c r="M27" s="128"/>
      <c r="N27" s="128"/>
      <c r="O27" s="128"/>
      <c r="P27" s="128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6">
        <f t="shared" si="10"/>
        <v>8.3160000000000007</v>
      </c>
      <c r="F28" s="71">
        <f>-'EB2'!K$7</f>
        <v>400.84</v>
      </c>
      <c r="H28" s="129"/>
      <c r="I28" s="129"/>
      <c r="J28" s="128" t="str">
        <f t="shared" si="8"/>
        <v>EXPNAP1</v>
      </c>
      <c r="K28" s="130" t="str">
        <f t="shared" si="9"/>
        <v>Export of Naphtha Step 1</v>
      </c>
      <c r="L28" s="128" t="str">
        <f t="shared" si="6"/>
        <v>PJ</v>
      </c>
      <c r="M28" s="128"/>
      <c r="N28" s="129"/>
      <c r="O28" s="129"/>
      <c r="P28" s="129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6">
        <f t="shared" si="10"/>
        <v>8.3160000000000007</v>
      </c>
      <c r="F29" s="71">
        <f>-'EB2'!L$7</f>
        <v>1239.28</v>
      </c>
      <c r="H29" s="129"/>
      <c r="I29" s="129"/>
      <c r="J29" s="128" t="str">
        <f t="shared" si="8"/>
        <v>EXPHFO1</v>
      </c>
      <c r="K29" s="130" t="str">
        <f t="shared" si="9"/>
        <v>Export of Heavy Fuel Oil Step 1</v>
      </c>
      <c r="L29" s="128" t="str">
        <f t="shared" si="6"/>
        <v>PJ</v>
      </c>
      <c r="M29" s="128"/>
      <c r="N29" s="129"/>
      <c r="O29" s="129"/>
      <c r="P29" s="129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6">
        <f t="shared" si="10"/>
        <v>8.3160000000000007</v>
      </c>
      <c r="F30" s="71">
        <f>-'EB2'!M$7</f>
        <v>453.036</v>
      </c>
      <c r="H30" s="129"/>
      <c r="I30" s="129"/>
      <c r="J30" s="128" t="str">
        <f t="shared" si="8"/>
        <v>EXPOPP1</v>
      </c>
      <c r="K30" s="130" t="str">
        <f t="shared" si="9"/>
        <v>Export of Other Petroleum Products Step 1</v>
      </c>
      <c r="L30" s="128" t="str">
        <f t="shared" si="6"/>
        <v>PJ</v>
      </c>
      <c r="M30" s="129"/>
      <c r="N30" s="129"/>
      <c r="O30" s="129"/>
      <c r="P30" s="129"/>
    </row>
    <row r="31" spans="2:22" x14ac:dyDescent="0.2">
      <c r="B31" s="44"/>
      <c r="C31" s="44"/>
      <c r="D31" s="44"/>
      <c r="E31" s="49"/>
      <c r="F31" s="40"/>
    </row>
    <row r="35" spans="2:3" x14ac:dyDescent="0.2">
      <c r="B35" s="67"/>
      <c r="C35" s="1" t="s">
        <v>124</v>
      </c>
    </row>
    <row r="36" spans="2:3" x14ac:dyDescent="0.2">
      <c r="B36" s="73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3"/>
      <c r="D3" s="13"/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3"/>
      <c r="D4" s="13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 t="s">
        <v>13</v>
      </c>
      <c r="E11" s="4"/>
      <c r="H11" s="123" t="s">
        <v>15</v>
      </c>
      <c r="I11" s="123"/>
      <c r="J11" s="129"/>
      <c r="K11" s="129"/>
      <c r="L11" s="129"/>
      <c r="M11" s="129"/>
      <c r="N11" s="129"/>
      <c r="O11" s="129"/>
      <c r="P11" s="129"/>
      <c r="T11" s="37"/>
      <c r="U11" s="37"/>
      <c r="V11" s="37"/>
    </row>
    <row r="12" spans="2:22" x14ac:dyDescent="0.2">
      <c r="B12" s="47" t="s">
        <v>1</v>
      </c>
      <c r="C12" s="48" t="s">
        <v>5</v>
      </c>
      <c r="D12" s="47" t="s">
        <v>6</v>
      </c>
      <c r="E12" s="97" t="s">
        <v>35</v>
      </c>
      <c r="F12" s="97" t="s">
        <v>80</v>
      </c>
      <c r="H12" s="125" t="s">
        <v>11</v>
      </c>
      <c r="I12" s="126" t="s">
        <v>30</v>
      </c>
      <c r="J12" s="125" t="s">
        <v>1</v>
      </c>
      <c r="K12" s="125" t="s">
        <v>2</v>
      </c>
      <c r="L12" s="125" t="s">
        <v>16</v>
      </c>
      <c r="M12" s="125" t="s">
        <v>17</v>
      </c>
      <c r="N12" s="125" t="s">
        <v>18</v>
      </c>
      <c r="O12" s="125" t="s">
        <v>19</v>
      </c>
      <c r="P12" s="125" t="s">
        <v>20</v>
      </c>
      <c r="T12" s="37"/>
      <c r="U12" s="37"/>
      <c r="V12" s="37"/>
    </row>
    <row r="13" spans="2:22" ht="23.25" thickBot="1" x14ac:dyDescent="0.25">
      <c r="B13" s="53" t="s">
        <v>39</v>
      </c>
      <c r="C13" s="53" t="s">
        <v>32</v>
      </c>
      <c r="D13" s="53" t="s">
        <v>33</v>
      </c>
      <c r="E13" s="53" t="s">
        <v>87</v>
      </c>
      <c r="F13" s="53" t="s">
        <v>86</v>
      </c>
      <c r="H13" s="117" t="s">
        <v>38</v>
      </c>
      <c r="I13" s="117" t="s">
        <v>31</v>
      </c>
      <c r="J13" s="117" t="s">
        <v>21</v>
      </c>
      <c r="K13" s="117" t="s">
        <v>22</v>
      </c>
      <c r="L13" s="117" t="s">
        <v>23</v>
      </c>
      <c r="M13" s="117" t="s">
        <v>24</v>
      </c>
      <c r="N13" s="117" t="s">
        <v>43</v>
      </c>
      <c r="O13" s="117" t="s">
        <v>42</v>
      </c>
      <c r="P13" s="117" t="s">
        <v>25</v>
      </c>
      <c r="U13" s="37"/>
      <c r="V13" s="37"/>
    </row>
    <row r="14" spans="2:22" s="37" customFormat="1" ht="13.5" thickBot="1" x14ac:dyDescent="0.25">
      <c r="B14" s="53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7" t="s">
        <v>81</v>
      </c>
      <c r="I14" s="117"/>
      <c r="J14" s="117"/>
      <c r="K14" s="117"/>
      <c r="L14" s="117"/>
      <c r="M14" s="117"/>
      <c r="N14" s="117"/>
      <c r="O14" s="117"/>
      <c r="P14" s="117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80">
        <f>Pri_GAS!F12*1.3</f>
        <v>5.3819999999999997</v>
      </c>
      <c r="F15" s="98">
        <f>'EB2'!U6</f>
        <v>583.76</v>
      </c>
      <c r="H15" s="128" t="str">
        <f>'EB2'!$B$6</f>
        <v>IMP</v>
      </c>
      <c r="I15" s="128"/>
      <c r="J15" s="128" t="str">
        <f>$H$15&amp;C2&amp;1</f>
        <v>IMPELC1</v>
      </c>
      <c r="K15" s="130" t="str">
        <f>"Import of "&amp;D2&amp; " Step "&amp;RIGHT(J15,1)</f>
        <v>Import of Electricity Step 1</v>
      </c>
      <c r="L15" s="128" t="str">
        <f>$E$2</f>
        <v>PJ</v>
      </c>
      <c r="M15" s="128"/>
      <c r="N15" s="127" t="s">
        <v>100</v>
      </c>
      <c r="O15" s="128"/>
      <c r="P15" s="128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80">
        <v>6</v>
      </c>
      <c r="F16" s="98">
        <f>-'EB2'!U$7</f>
        <v>563.40200000000004</v>
      </c>
      <c r="H16" s="128" t="str">
        <f>'EB2'!B7</f>
        <v>EXP</v>
      </c>
      <c r="I16" s="129"/>
      <c r="J16" s="128" t="str">
        <f>$H$16&amp;C2&amp;1</f>
        <v>EXPELC1</v>
      </c>
      <c r="K16" s="130" t="str">
        <f>"Export of "&amp;D2&amp; " Step "&amp;RIGHT(J16,1)</f>
        <v>Export of Electricity Step 1</v>
      </c>
      <c r="L16" s="128" t="str">
        <f>$E$2</f>
        <v>PJ</v>
      </c>
      <c r="M16" s="128"/>
      <c r="N16" s="127" t="s">
        <v>100</v>
      </c>
      <c r="O16" s="128"/>
      <c r="P16" s="128"/>
      <c r="S16" s="36"/>
    </row>
    <row r="21" spans="2:3" x14ac:dyDescent="0.2">
      <c r="B21" s="79"/>
      <c r="C21" s="36" t="s">
        <v>124</v>
      </c>
    </row>
    <row r="22" spans="2:3" x14ac:dyDescent="0.2">
      <c r="B22" s="88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2020-10-13T12:10:37Z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7471621036529</vt:r8>
  </property>
</Properties>
</file>