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784" documentId="13_ncr:1_{750F3CCD-E2E1-4B2A-9EA3-0FB8A1FF23C6}" xr6:coauthVersionLast="47" xr6:coauthVersionMax="47" xr10:uidLastSave="{FFD00AAC-D8C8-4315-AD23-F0E3FF702CCC}"/>
  <bookViews>
    <workbookView xWindow="-120" yWindow="-120" windowWidth="20730" windowHeight="11040" firstSheet="2" activeTab="4" xr2:uid="{00000000-000D-0000-FFFF-FFFF00000000}"/>
  </bookViews>
  <sheets>
    <sheet name="DIARIO_2023" sheetId="1" r:id="rId1"/>
    <sheet name="RES23" sheetId="3" r:id="rId2"/>
    <sheet name="BALANZA" sheetId="10" r:id="rId3"/>
    <sheet name="DIARIO_2024" sheetId="6" r:id="rId4"/>
    <sheet name="DIARIO_2025" sheetId="11" r:id="rId5"/>
    <sheet name="RES25" sheetId="7" r:id="rId6"/>
    <sheet name="DDD" sheetId="4" r:id="rId7"/>
    <sheet name="VENTAS" sheetId="2" r:id="rId8"/>
    <sheet name="CONTRUCCION_2024" sheetId="8" r:id="rId9"/>
    <sheet name="RECON_24" sheetId="9" r:id="rId10"/>
    <sheet name="FIESTA_2023" sheetId="5" r:id="rId11"/>
  </sheets>
  <definedNames>
    <definedName name="_xlnm._FilterDatabase" localSheetId="8" hidden="1">CONTRUCCION_2024!$B$6:$I$58</definedName>
    <definedName name="_xlnm._FilterDatabase" localSheetId="0" hidden="1">DIARIO_2023!$B$6:$I$58</definedName>
    <definedName name="_xlnm._FilterDatabase" localSheetId="3" hidden="1">DIARIO_2024!$B$6:$I$58</definedName>
    <definedName name="_xlnm._FilterDatabase" localSheetId="4" hidden="1">DIARIO_2025!$B$6:$I$58</definedName>
    <definedName name="_xlnm._FilterDatabase" localSheetId="10" hidden="1">FIESTA_2023!$B$6:$I$38</definedName>
    <definedName name="_xlnm.Print_Area" localSheetId="2">BALANZA!$A$1:$C$56</definedName>
    <definedName name="_xlnm.Print_Area" localSheetId="8">DIAR_245[[#All],[FEC_MOV]:[NOTAS]]</definedName>
    <definedName name="_xlnm.Print_Area" localSheetId="6">DDD!$B$1:$D$34</definedName>
    <definedName name="_xlnm.Print_Area" localSheetId="0">Flujo_SJTC[[#All],[FEC_MOV]:[NOTAS]]</definedName>
    <definedName name="_xlnm.Print_Area" localSheetId="3">DIAR_24[[#All],[FEC_MOV]:[NOTAS]]</definedName>
    <definedName name="_xlnm.Print_Area" localSheetId="4">DIAR_247[[#All],[FEC_MOV]:[NOTAS]]</definedName>
    <definedName name="_xlnm.Print_Area" localSheetId="10">FIESTA_2023!$K$7:$M$27</definedName>
    <definedName name="_xlnm.Print_Area" localSheetId="9">RECON_24!$A$1:$C$24</definedName>
    <definedName name="_xlnm.Print_Area" localSheetId="1">'RES23'!$A$1:$C$29</definedName>
    <definedName name="_xlnm.Print_Area" localSheetId="5">'RES25'!$A$1:$C$32</definedName>
    <definedName name="CATEGORIA" localSheetId="4">DIARIO_2025!$AA$2:$AA$7</definedName>
    <definedName name="CATEGORIA">DIARIO_2024!$AA$2:$AA$7</definedName>
    <definedName name="CONTRUYE">CONTRUCCION_2024!$AA$2:$AA$7</definedName>
    <definedName name="_xlnm.Print_Titles" localSheetId="8">CONTRUCCION_2024!$2:$6</definedName>
    <definedName name="_xlnm.Print_Titles" localSheetId="0">DIARIO_2023!$2:$6</definedName>
    <definedName name="_xlnm.Print_Titles" localSheetId="3">DIARIO_2024!$2:$6</definedName>
    <definedName name="_xlnm.Print_Titles" localSheetId="4">DIARIO_2025!$2:$6</definedName>
  </definedNames>
  <calcPr calcId="191028"/>
  <pivotCaches>
    <pivotCache cacheId="0" r:id="rId12"/>
    <pivotCache cacheId="1" r:id="rId13"/>
    <pivotCache cacheId="2" r:id="rId14"/>
    <pivotCache cacheId="8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ZC591DtdjZaJpBlvN+AV2ZNcKs9+czI+F/VXa2J8kRI="/>
    </ext>
  </extLst>
</workbook>
</file>

<file path=xl/calcChain.xml><?xml version="1.0" encoding="utf-8"?>
<calcChain xmlns="http://schemas.openxmlformats.org/spreadsheetml/2006/main">
  <c r="A3" i="7" l="1"/>
  <c r="B7" i="11"/>
  <c r="B8" i="11"/>
  <c r="B9" i="11"/>
  <c r="B10" i="1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L3" i="11"/>
  <c r="L4" i="11"/>
  <c r="K145" i="11"/>
  <c r="H5" i="11"/>
  <c r="B5" i="11"/>
  <c r="O13" i="4"/>
  <c r="O12" i="4"/>
  <c r="H207" i="6"/>
  <c r="B51" i="10"/>
  <c r="B54" i="10" s="1"/>
  <c r="G5" i="11" l="1"/>
  <c r="I5" i="11" s="1"/>
  <c r="L2" i="11"/>
  <c r="L5" i="11" s="1"/>
  <c r="O16" i="4"/>
  <c r="Q26" i="4"/>
  <c r="W19" i="4"/>
  <c r="W24" i="4" s="1"/>
  <c r="U17" i="4"/>
  <c r="V17" i="4" s="1"/>
  <c r="U16" i="4"/>
  <c r="V16" i="4" s="1"/>
  <c r="U13" i="4"/>
  <c r="V13" i="4" s="1"/>
  <c r="U12" i="4"/>
  <c r="V12" i="4" s="1"/>
  <c r="V11" i="4"/>
  <c r="V10" i="4"/>
  <c r="U7" i="4"/>
  <c r="W20" i="4" l="1"/>
  <c r="V7" i="4"/>
  <c r="W21" i="4" s="1"/>
  <c r="Q20" i="4"/>
  <c r="Q19" i="4"/>
  <c r="P17" i="4"/>
  <c r="B30" i="7"/>
  <c r="J7" i="4"/>
  <c r="P7" i="4"/>
  <c r="G262" i="6"/>
  <c r="G263" i="6"/>
  <c r="P16" i="4"/>
  <c r="P10" i="4"/>
  <c r="P11" i="4"/>
  <c r="G249" i="6"/>
  <c r="D21" i="4"/>
  <c r="D23" i="4" s="1"/>
  <c r="C30" i="7" l="1"/>
  <c r="G235" i="6"/>
  <c r="G234" i="6"/>
  <c r="G32" i="2"/>
  <c r="H230" i="6"/>
  <c r="H227" i="6"/>
  <c r="G186" i="6" l="1"/>
  <c r="G182" i="6"/>
  <c r="G159" i="6"/>
  <c r="B5" i="2" l="1"/>
  <c r="H5" i="2"/>
  <c r="G13" i="2"/>
  <c r="G5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G144" i="6"/>
  <c r="G141" i="6"/>
  <c r="G129" i="6"/>
  <c r="G124" i="6"/>
  <c r="G122" i="6"/>
  <c r="G114" i="6"/>
  <c r="G115" i="6"/>
  <c r="G130" i="6"/>
  <c r="G125" i="6" l="1"/>
  <c r="G120" i="6"/>
  <c r="H153" i="8"/>
  <c r="L3" i="8"/>
  <c r="L5" i="8" s="1"/>
  <c r="L2" i="8"/>
  <c r="B36" i="9"/>
  <c r="B37" i="9"/>
  <c r="B38" i="9"/>
  <c r="C33" i="9"/>
  <c r="C39" i="9" s="1"/>
  <c r="A3" i="9"/>
  <c r="H5" i="8"/>
  <c r="G5" i="8"/>
  <c r="B7" i="8"/>
  <c r="B5" i="8"/>
  <c r="G110" i="6"/>
  <c r="G109" i="6"/>
  <c r="H98" i="6"/>
  <c r="G87" i="6"/>
  <c r="H86" i="6"/>
  <c r="H75" i="6"/>
  <c r="P12" i="4"/>
  <c r="P13" i="4"/>
  <c r="G53" i="6"/>
  <c r="G45" i="6"/>
  <c r="Q109" i="2"/>
  <c r="S109" i="2" s="1"/>
  <c r="T109" i="2" s="1"/>
  <c r="Q105" i="2"/>
  <c r="Q104" i="2"/>
  <c r="Q106" i="2"/>
  <c r="D31" i="4"/>
  <c r="G33" i="6"/>
  <c r="G34" i="6"/>
  <c r="G19" i="6"/>
  <c r="C5" i="9"/>
  <c r="C5" i="7"/>
  <c r="Q21" i="4" l="1"/>
  <c r="D29" i="4"/>
  <c r="L2" i="6"/>
  <c r="D30" i="4"/>
  <c r="Q107" i="2"/>
  <c r="S107" i="2" s="1"/>
  <c r="T107" i="2" s="1"/>
  <c r="L4" i="8"/>
  <c r="B39" i="9"/>
  <c r="C40" i="9" s="1"/>
  <c r="I5" i="8"/>
  <c r="B5" i="6"/>
  <c r="B5" i="1"/>
  <c r="D32" i="4" l="1"/>
  <c r="C31" i="7"/>
  <c r="G5" i="4"/>
  <c r="G4" i="4"/>
  <c r="G3" i="4"/>
  <c r="K145" i="6"/>
  <c r="H5" i="6"/>
  <c r="G5" i="6"/>
  <c r="L4" i="6"/>
  <c r="L3" i="6"/>
  <c r="I5" i="6" l="1"/>
  <c r="L5" i="6"/>
  <c r="C27" i="3" l="1"/>
  <c r="G193" i="1"/>
  <c r="G192" i="1"/>
  <c r="B27" i="3"/>
  <c r="D8" i="4"/>
  <c r="T91" i="2"/>
  <c r="S91" i="2"/>
  <c r="Q91" i="2"/>
  <c r="K13" i="4"/>
  <c r="J13" i="4"/>
  <c r="D9" i="4"/>
  <c r="D10" i="4"/>
  <c r="D11" i="4"/>
  <c r="D12" i="4"/>
  <c r="D13" i="4"/>
  <c r="H172" i="1"/>
  <c r="G170" i="1"/>
  <c r="G161" i="1"/>
  <c r="C5" i="5"/>
  <c r="K14" i="4" l="1"/>
  <c r="M16" i="5"/>
  <c r="H27" i="5" l="1"/>
  <c r="M26" i="5" l="1"/>
  <c r="L26" i="5"/>
  <c r="K145" i="1" l="1"/>
  <c r="M27" i="5" l="1"/>
  <c r="A3" i="3" l="1"/>
  <c r="L2" i="1"/>
  <c r="G137" i="1"/>
  <c r="T78" i="2"/>
  <c r="T92" i="2"/>
  <c r="S92" i="2"/>
  <c r="Q92" i="2"/>
  <c r="T90" i="2"/>
  <c r="S90" i="2"/>
  <c r="Q90" i="2"/>
  <c r="C5" i="3"/>
  <c r="Q94" i="2" l="1"/>
  <c r="S94" i="2"/>
  <c r="T94" i="2"/>
  <c r="T96" i="2" l="1"/>
  <c r="S96" i="2"/>
  <c r="G136" i="1"/>
  <c r="Q84" i="2"/>
  <c r="S80" i="2"/>
  <c r="Q80" i="2"/>
  <c r="T80" i="2"/>
  <c r="T79" i="2"/>
  <c r="S79" i="2"/>
  <c r="Q79" i="2"/>
  <c r="S78" i="2"/>
  <c r="Q78" i="2"/>
  <c r="Q72" i="2"/>
  <c r="G119" i="1"/>
  <c r="G120" i="1"/>
  <c r="G5" i="5"/>
  <c r="B7" i="5"/>
  <c r="H5" i="5"/>
  <c r="L4" i="5"/>
  <c r="L3" i="5"/>
  <c r="L2" i="5"/>
  <c r="I5" i="5" l="1"/>
  <c r="Q82" i="2"/>
  <c r="S82" i="2"/>
  <c r="T82" i="2"/>
  <c r="L5" i="5"/>
  <c r="L6" i="5" s="1"/>
  <c r="L66" i="2"/>
  <c r="T66" i="2" s="1"/>
  <c r="L68" i="2"/>
  <c r="T68" i="2" s="1"/>
  <c r="G106" i="1"/>
  <c r="G79" i="1"/>
  <c r="G76" i="1"/>
  <c r="D7" i="4"/>
  <c r="D14" i="4"/>
  <c r="D15" i="4"/>
  <c r="D16" i="4"/>
  <c r="D6" i="4"/>
  <c r="S68" i="2"/>
  <c r="Q68" i="2"/>
  <c r="T67" i="2"/>
  <c r="S67" i="2"/>
  <c r="Q67" i="2"/>
  <c r="S66" i="2"/>
  <c r="Q66" i="2"/>
  <c r="G97" i="1"/>
  <c r="G98" i="1"/>
  <c r="T54" i="2"/>
  <c r="S54" i="2"/>
  <c r="Q54" i="2"/>
  <c r="T53" i="2"/>
  <c r="S53" i="2"/>
  <c r="Q53" i="2"/>
  <c r="T52" i="2"/>
  <c r="S52" i="2"/>
  <c r="Q52" i="2"/>
  <c r="G83" i="1"/>
  <c r="T27" i="2"/>
  <c r="S27" i="2"/>
  <c r="Q27" i="2"/>
  <c r="T12" i="2"/>
  <c r="S12" i="2"/>
  <c r="Q12" i="2"/>
  <c r="T11" i="2"/>
  <c r="S11" i="2"/>
  <c r="Q11" i="2"/>
  <c r="T10" i="2"/>
  <c r="S10" i="2"/>
  <c r="Q10" i="2"/>
  <c r="T40" i="2"/>
  <c r="T39" i="2"/>
  <c r="T38" i="2"/>
  <c r="T25" i="2"/>
  <c r="T26" i="2"/>
  <c r="T24" i="2"/>
  <c r="S40" i="2"/>
  <c r="Q40" i="2"/>
  <c r="S39" i="2"/>
  <c r="Q39" i="2"/>
  <c r="S38" i="2"/>
  <c r="Q38" i="2"/>
  <c r="G78" i="1"/>
  <c r="S14" i="2" l="1"/>
  <c r="D17" i="4"/>
  <c r="T84" i="2"/>
  <c r="S84" i="2"/>
  <c r="T14" i="2"/>
  <c r="S70" i="2"/>
  <c r="T70" i="2"/>
  <c r="Q70" i="2"/>
  <c r="S56" i="2"/>
  <c r="T56" i="2"/>
  <c r="Q56" i="2"/>
  <c r="T28" i="2"/>
  <c r="Q14" i="2"/>
  <c r="Q42" i="2"/>
  <c r="S42" i="2"/>
  <c r="T42" i="2"/>
  <c r="S16" i="2" l="1"/>
  <c r="S18" i="2" s="1"/>
  <c r="S72" i="2"/>
  <c r="T72" i="2"/>
  <c r="S44" i="2"/>
  <c r="S58" i="2"/>
  <c r="G49" i="1" l="1"/>
  <c r="G44" i="1"/>
  <c r="G53" i="1"/>
  <c r="S26" i="2"/>
  <c r="Q26" i="2"/>
  <c r="S25" i="2"/>
  <c r="Q25" i="2"/>
  <c r="S24" i="2"/>
  <c r="Q24" i="2"/>
  <c r="G3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H5" i="1"/>
  <c r="L3" i="1" l="1"/>
  <c r="L4" i="1"/>
  <c r="Q28" i="2"/>
  <c r="S28" i="2"/>
  <c r="G5" i="1"/>
  <c r="I5" i="1" s="1"/>
  <c r="G6" i="4" l="1"/>
  <c r="L5" i="1"/>
  <c r="S30" i="2"/>
  <c r="S32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l="1"/>
  <c r="B143" i="1" s="1"/>
  <c r="B144" i="1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145" i="1" l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l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8" i="8" l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C67" authorId="0" shapeId="0" xr:uid="{B1B437BF-B29D-4AEA-BAC3-B2A60D414C0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Se entrego Informe a esta fecha con saldo de $ 4,945.00</t>
        </r>
      </text>
    </comment>
    <comment ref="C69" authorId="0" shapeId="0" xr:uid="{0D12815C-CE44-4A1B-9B02-5A58A5D4ED6A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Se entrego Informe a esta fecha con saldo de $ 4,945.00</t>
        </r>
      </text>
    </comment>
  </commentList>
</comments>
</file>

<file path=xl/sharedStrings.xml><?xml version="1.0" encoding="utf-8"?>
<sst xmlns="http://schemas.openxmlformats.org/spreadsheetml/2006/main" count="3045" uniqueCount="729">
  <si>
    <t>RESUMEN</t>
  </si>
  <si>
    <t>CATEGORIA</t>
  </si>
  <si>
    <t>Santa Maria Madre y Reina de la Paz</t>
  </si>
  <si>
    <t>APORTACIONES</t>
  </si>
  <si>
    <t>0_APORTACION</t>
  </si>
  <si>
    <t>San Judas Tadeo Camichines</t>
  </si>
  <si>
    <t>VENTAS</t>
  </si>
  <si>
    <t>1_USO_AP</t>
  </si>
  <si>
    <t>Control de Ingresos y Gastos (Celebracion de la Palabra).</t>
  </si>
  <si>
    <t>LITURGIA</t>
  </si>
  <si>
    <t>EDO:</t>
  </si>
  <si>
    <t>2_INGRESO</t>
  </si>
  <si>
    <t>TOTALES</t>
  </si>
  <si>
    <t>SUMA</t>
  </si>
  <si>
    <t>3_EGRESO</t>
  </si>
  <si>
    <t>0.00</t>
  </si>
  <si>
    <t>FEC_MOV</t>
  </si>
  <si>
    <t>MES</t>
  </si>
  <si>
    <t>CONCEPTO</t>
  </si>
  <si>
    <t>INGRESO</t>
  </si>
  <si>
    <t>EGRESO</t>
  </si>
  <si>
    <t>NOTAS</t>
  </si>
  <si>
    <t>4_VENTA</t>
  </si>
  <si>
    <t>02_FEBRERO</t>
  </si>
  <si>
    <t>C. PALABRA.</t>
  </si>
  <si>
    <t>5_COMPRA</t>
  </si>
  <si>
    <t>VASO Y COPA DE CRISTAL.</t>
  </si>
  <si>
    <t>USAR COMO COPON .</t>
  </si>
  <si>
    <t>DULCES</t>
  </si>
  <si>
    <t>PARA MISA DEL DOMINGO.</t>
  </si>
  <si>
    <t>FABULOSO</t>
  </si>
  <si>
    <t>LIMPIEZA DEL PRESBITERIO.</t>
  </si>
  <si>
    <t xml:space="preserve">TIRAR BASURA </t>
  </si>
  <si>
    <t>03_MARZO</t>
  </si>
  <si>
    <t>COOPERACION OSTIA DE MARMOL.</t>
  </si>
  <si>
    <t>SE PRESTO PARA RESUCITADO.</t>
  </si>
  <si>
    <t>04_ABRIL</t>
  </si>
  <si>
    <t>COMPRA DEL RESUCITADO.</t>
  </si>
  <si>
    <t>SE COMPRO EN TONALA.</t>
  </si>
  <si>
    <t>COLECTA REALIZADA POR ISABELITA.</t>
  </si>
  <si>
    <t>PARA FLORES D. RESUREC.</t>
  </si>
  <si>
    <t>ADORNOS, PAPEL, CINTA Y PALMAS.</t>
  </si>
  <si>
    <t>P/ DOM. RAMOS.</t>
  </si>
  <si>
    <t>COOPERACION SRA. AMELIA.</t>
  </si>
  <si>
    <t>JUEVES SANTO NO HUBO.</t>
  </si>
  <si>
    <t>COOPERACION SR. LUCIO RIOS.</t>
  </si>
  <si>
    <t>P/ COMPRA DEL RESUCITADO.</t>
  </si>
  <si>
    <t>ARREGLOS FLORALES.</t>
  </si>
  <si>
    <t>P/ DOM. RESURECCION.</t>
  </si>
  <si>
    <t>12 BOTELLAS DE AGUA.1 LT.</t>
  </si>
  <si>
    <t>VENTA MISA SANACION.</t>
  </si>
  <si>
    <t>5 KILOS DE SAL</t>
  </si>
  <si>
    <t>PARA VENTA MISA DE SANACION</t>
  </si>
  <si>
    <t>05_MAYO</t>
  </si>
  <si>
    <t>12 BOTELLAS DE AGUA</t>
  </si>
  <si>
    <t>SE PAGO A D. LETY LAS AGUAS.</t>
  </si>
  <si>
    <t>FABULOSO, ALGODON, ALCOHOL,ROLLOS</t>
  </si>
  <si>
    <t>LIMPIEZA Y P/MISA SANACION.</t>
  </si>
  <si>
    <t>BOTE PARA GUARDAR FORMAS GRANDES.</t>
  </si>
  <si>
    <t>CUADERNO INTENCIONES, HOJAS Y PLUMAS.</t>
  </si>
  <si>
    <t>PARA APOYO.</t>
  </si>
  <si>
    <t>PAPEL CREPE PARA ADORNO DEL DOMINGO.</t>
  </si>
  <si>
    <t>10 PZA KG. SAL DE GRANO</t>
  </si>
  <si>
    <t>120 PZA 600 ML. AGUA CIEL PARA MISA DE SANACION.</t>
  </si>
  <si>
    <t>120 BOTELLAS DE 600 ML.</t>
  </si>
  <si>
    <t>20 PZA KG. SAL DE GRANO.</t>
  </si>
  <si>
    <t>13 Intenciones.</t>
  </si>
  <si>
    <t>3 PZA 600 ML. AGUA CIEL.</t>
  </si>
  <si>
    <t>2 PADRE Y 1 MARTIN.</t>
  </si>
  <si>
    <t>30 PZA KG. SAL DE GRANO.</t>
  </si>
  <si>
    <t>VENTA A $ 10.00 C/U</t>
  </si>
  <si>
    <t>52 PZA 600 ML. AGUA CIEL BOTELLA.</t>
  </si>
  <si>
    <t>VENTA A $ 15.00 C/U</t>
  </si>
  <si>
    <t>HIELO PARA LA VENTA DE AGUA.</t>
  </si>
  <si>
    <t>PAPEL CREPE VERDE Y PALILLOS.</t>
  </si>
  <si>
    <t>SRA. AMELIA.</t>
  </si>
  <si>
    <t>06_JUNIO</t>
  </si>
  <si>
    <t>SRA. ISABEL VAZQUEZ.</t>
  </si>
  <si>
    <t>PARA ADORNO FLORAL.</t>
  </si>
  <si>
    <t>ADORNO FLORAL DEL ALTAR.</t>
  </si>
  <si>
    <t>SOL. SANTISIMA TRINIDAD.</t>
  </si>
  <si>
    <t>1 PZA 600 ML. AGUA CIEL BOTELLA.</t>
  </si>
  <si>
    <t>YOLANDA.</t>
  </si>
  <si>
    <t>COMPRA CABLE P/MICROFONO.</t>
  </si>
  <si>
    <t>COMPRA MICROFONO ALAMBRICO.</t>
  </si>
  <si>
    <t>MANUTERGIO.</t>
  </si>
  <si>
    <t>UNA PIEZA.</t>
  </si>
  <si>
    <t>SOL. CUERPO DE CRISTO.</t>
  </si>
  <si>
    <t>MISA CUERPO DE CRISTO.</t>
  </si>
  <si>
    <t>PADRE CARLO. 8 Intenciones.</t>
  </si>
  <si>
    <t>*</t>
  </si>
  <si>
    <t>3 PZA 600 ML. AGUA CIEL BOTELLAS.</t>
  </si>
  <si>
    <t>PADRE, VICTOR, YOLANDA.</t>
  </si>
  <si>
    <t>ESTIPENDIO PADRE CARLO.</t>
  </si>
  <si>
    <t>8 Intenciones.</t>
  </si>
  <si>
    <t>6 Intenciones.</t>
  </si>
  <si>
    <t>84 PZA 500 ML AGUA GV.</t>
  </si>
  <si>
    <t>17 PZA 600 ML. AGUA CIEL BOTELLA.</t>
  </si>
  <si>
    <t xml:space="preserve">30 PZA KG. SAL DE GRANO. </t>
  </si>
  <si>
    <t>56 PZA 500 ML. AGUA GV.</t>
  </si>
  <si>
    <t>VENTA A $ 5.00 C/U</t>
  </si>
  <si>
    <t>3 Intenciones.</t>
  </si>
  <si>
    <t>2 PZA 600 ML. AGUA CIEL BOTELLAS.</t>
  </si>
  <si>
    <t>SERVICORES QUE NO PAGARON.</t>
  </si>
  <si>
    <t>BONO POR AYUDA A LUPITA.</t>
  </si>
  <si>
    <t>07_JULIO</t>
  </si>
  <si>
    <t>VICTOR. 10 Intenciones.</t>
  </si>
  <si>
    <t>2 PZA 600 ML.  AGUAS CIEL BOTELLA.</t>
  </si>
  <si>
    <t>TERESITA. 7 Intenciones.</t>
  </si>
  <si>
    <t>99 PZA .5KG SACO DE SAL 50 KG.</t>
  </si>
  <si>
    <t>BOSA DE ROLLO Y DE PLASTICO.</t>
  </si>
  <si>
    <t>1.- SELLADORA MANUAL CHICA 25 CMS.</t>
  </si>
  <si>
    <t>10.- SOBRE COIN 60 KGNO.</t>
  </si>
  <si>
    <t>1.- ROLLO DE CINTA TRANSPARENTE.</t>
  </si>
  <si>
    <t>ANITA. 15 Intenciones.</t>
  </si>
  <si>
    <t>DULCES SEMAFOROS</t>
  </si>
  <si>
    <t>FABULOSO, TRAPEADOR Y ESCOBA CHICOS</t>
  </si>
  <si>
    <t>84 PZA 500 ML. AGUA GV. BOTELLA.</t>
  </si>
  <si>
    <t>LUCIO. 16 Intenciones.</t>
  </si>
  <si>
    <t xml:space="preserve">2 PZA 600 ML. AGUAS CIEL BOTELLA. </t>
  </si>
  <si>
    <t>64 PZA .5KG SAL DE GRANO.</t>
  </si>
  <si>
    <t>80.- BOTELLAS AGUA GV.</t>
  </si>
  <si>
    <t>08_AGOSTO</t>
  </si>
  <si>
    <t>LUCIO. 9 Intenciones.</t>
  </si>
  <si>
    <t>2 PZA 600 ML. AGUA CIEL BOTELLA.</t>
  </si>
  <si>
    <t>DIO LUCIO AL PADRE.</t>
  </si>
  <si>
    <t>98 PZA .5KG SACO DE SAL 50 KG.</t>
  </si>
  <si>
    <t>ANITA, 22 Intenciones.</t>
  </si>
  <si>
    <t>TERESITA. 12 Intenciones.</t>
  </si>
  <si>
    <t>4 PZA 600 ML. AGUA CIEL BOTELLA</t>
  </si>
  <si>
    <t>USO CAPILLA</t>
  </si>
  <si>
    <t>DULCAS PARA MISA DEL DOMINGO.</t>
  </si>
  <si>
    <t>4 DUPLICADOS DE LLAVE DE INGRESO.</t>
  </si>
  <si>
    <t>PUERTA VERDE (JESUS, LUCIO, NIDIA, ROSA).</t>
  </si>
  <si>
    <t>VICTOR. 4 Intenciones.</t>
  </si>
  <si>
    <t>1 PZA .5KG SAL DE GRANO.</t>
  </si>
  <si>
    <t>USO MISA SANACION.</t>
  </si>
  <si>
    <t>3 PZA 500 ML. AGUA GV.</t>
  </si>
  <si>
    <t>6 PZA 600 ML. AGUA CIEL BOTELLA.</t>
  </si>
  <si>
    <t>63 PZA .5KG SAL DE GRANO.</t>
  </si>
  <si>
    <t>65 PZA 500 ML. AGUA GV.</t>
  </si>
  <si>
    <t>SARA. 4 Intenciones.</t>
  </si>
  <si>
    <t>09_SEPTIEMBRE</t>
  </si>
  <si>
    <t>VICTOR. 8 Intenciones</t>
  </si>
  <si>
    <t>USO EN CELEBRACION</t>
  </si>
  <si>
    <t>1 ENCENDEDOR</t>
  </si>
  <si>
    <t>TERESITA. 19 Intenciones.</t>
  </si>
  <si>
    <t>DULCES PARA MISA DEL DOMINGO.</t>
  </si>
  <si>
    <t>ESMALTES SPRAY BLANCO.</t>
  </si>
  <si>
    <t>TAQUETES Y BROCA PARA BASE DEL SAGRARIO.</t>
  </si>
  <si>
    <t>SARA, 11 Intenciones.</t>
  </si>
  <si>
    <t>SOBRANTE INTENCIONES .</t>
  </si>
  <si>
    <t>3 PZA 500 ML. GV</t>
  </si>
  <si>
    <t>3 PARA USO ALTAR.</t>
  </si>
  <si>
    <t>SERVICIO ALTAR.</t>
  </si>
  <si>
    <t>68 PZA .5KG SAL DE GRANO.</t>
  </si>
  <si>
    <t>72 PZA 500 ML. GV</t>
  </si>
  <si>
    <t>84 PZAS 500 ML GV</t>
  </si>
  <si>
    <t>Revise este tema con Lucio.</t>
  </si>
  <si>
    <t>10_OCTUBRE</t>
  </si>
  <si>
    <t>FABULOSO.</t>
  </si>
  <si>
    <t>BANCOS, Prometio Lucio si se juntan $ 5,000 compra 100 bancos.</t>
  </si>
  <si>
    <t>VICTORI, 8 Intenciones.</t>
  </si>
  <si>
    <t>Tenia recolectado $ 2,150.00</t>
  </si>
  <si>
    <t>PARCHE PARA VESTIDO MONAGUILLO.</t>
  </si>
  <si>
    <t>Metzy y Jazmin $ 450.00</t>
  </si>
  <si>
    <t>APORTACION METZY Y JAZMIN.</t>
  </si>
  <si>
    <t>Para Bancos.</t>
  </si>
  <si>
    <t>Rifa colcha $ 1,000.00</t>
  </si>
  <si>
    <t>RIFA COLCHA (DONACION).</t>
  </si>
  <si>
    <t>Realizo More la Rifa.</t>
  </si>
  <si>
    <t>Celebracio P. $ 1,400.00</t>
  </si>
  <si>
    <t>SE ENTREGO A LUCIO. BANCOS.</t>
  </si>
  <si>
    <t>Meta ajustada.</t>
  </si>
  <si>
    <t>SE ASIGNO PARA BANCOS.</t>
  </si>
  <si>
    <t>BOLSA 8X26 PARA ESTIPENDIOS</t>
  </si>
  <si>
    <t>TERE, 8 Intenciones.</t>
  </si>
  <si>
    <t>TRANSFE, PARA FIESTAS TABLA ROCA</t>
  </si>
  <si>
    <t>DEL ALTAR.</t>
  </si>
  <si>
    <t>VICTOR: 12 Intenciones.</t>
  </si>
  <si>
    <t>DOS SACOS DE CEMENTO</t>
  </si>
  <si>
    <t>PARA RAMPA Y ENTRADA.</t>
  </si>
  <si>
    <t>UN SACO DE CEMENTO.</t>
  </si>
  <si>
    <t>PARA COMPRA SAL Y AGUA.</t>
  </si>
  <si>
    <t>ENTREGA FONDOS AL PADRE.</t>
  </si>
  <si>
    <t>APORTACIONES.</t>
  </si>
  <si>
    <t>TERE, 10 Intenciones.</t>
  </si>
  <si>
    <t>MANDA A SAN JUDAS.</t>
  </si>
  <si>
    <t>SOBRANTE DE FIESTAS.</t>
  </si>
  <si>
    <t>PARA COMPRAR MICROFONOS.</t>
  </si>
  <si>
    <t>11_NOVIEMBRE</t>
  </si>
  <si>
    <t>COMPRA MICROFONO INALAMBRICO</t>
  </si>
  <si>
    <t>GLOBAL PLANET.</t>
  </si>
  <si>
    <t>TERE, 61 Intenciones</t>
  </si>
  <si>
    <t>ANGELES PARA SANTISIMO.</t>
  </si>
  <si>
    <t>VELAS PARA CORONA ADV.</t>
  </si>
  <si>
    <t>DISCOS DE CORTE, METAL, CORONA ADV.</t>
  </si>
  <si>
    <t>CDA</t>
  </si>
  <si>
    <t>LUCIO APORTACION DEL PAN.</t>
  </si>
  <si>
    <t>VICTOR, 15 Intenciones.</t>
  </si>
  <si>
    <t>AEROSOL, TORNILLOS Y REGATON P/CORONA ADV.</t>
  </si>
  <si>
    <t>SRA. AMELIA Para Platillo.</t>
  </si>
  <si>
    <t>COSTAL DE SAL 50 KG.</t>
  </si>
  <si>
    <t>LISTON PLATA Y ESFEREAS GRIS.</t>
  </si>
  <si>
    <t>MODATELA</t>
  </si>
  <si>
    <t>SERIES Y ESFEREAS.</t>
  </si>
  <si>
    <t>WALDO'S</t>
  </si>
  <si>
    <t>LISTON MORADO Y ESFERAS MORADAS</t>
  </si>
  <si>
    <t>PAPELERIA MONY</t>
  </si>
  <si>
    <t>ESMALTES SPRAY PLATA Y TORNILLOS.</t>
  </si>
  <si>
    <t>ROCIO, 14 Intenciones</t>
  </si>
  <si>
    <t>56 PZA 500 ML. GV</t>
  </si>
  <si>
    <t>WALMART ALTEA.</t>
  </si>
  <si>
    <t>69.- PZA AGUA 500 ML. GV.</t>
  </si>
  <si>
    <t>68.- PZA SAL DE 1/2 KG.</t>
  </si>
  <si>
    <t>APORTACIONES EN MISA.</t>
  </si>
  <si>
    <t>Cambios en las Intenciones.</t>
  </si>
  <si>
    <t>SARA: 16 Intenciones.</t>
  </si>
  <si>
    <t>12_DICIEMBRE</t>
  </si>
  <si>
    <t>1.- PZA AGUA 500 ML. GV</t>
  </si>
  <si>
    <t>P/Don Carlos.</t>
  </si>
  <si>
    <t>TERE, 17 Intenciones.</t>
  </si>
  <si>
    <t>MARIA INES.</t>
  </si>
  <si>
    <t>APORTACION INTENCIONES</t>
  </si>
  <si>
    <t>ROCIO, 10 Intenciones.</t>
  </si>
  <si>
    <t>LIMPIADOR BRISA MARINA.</t>
  </si>
  <si>
    <t>CHEDRAUI</t>
  </si>
  <si>
    <t>4 ROLLOS PAPEL HIGIENICO.</t>
  </si>
  <si>
    <t>TERE, 24 Intenciones.</t>
  </si>
  <si>
    <t>PLATILLO COMUNION NIQUEL (CASA ANGUIANO).</t>
  </si>
  <si>
    <t>32.- PZA SAL DE 1/2 KG.</t>
  </si>
  <si>
    <t>15.- PZA AGUA 500 ML. GV.</t>
  </si>
  <si>
    <t>ESTIPENDIO PADRE LUIS</t>
  </si>
  <si>
    <t>MISA 1ro. ENERO.</t>
  </si>
  <si>
    <t>Control de Celebracion de la Palabra.</t>
  </si>
  <si>
    <t>(Varios elementos)</t>
  </si>
  <si>
    <t>TOTAL:</t>
  </si>
  <si>
    <t>RUBRO</t>
  </si>
  <si>
    <t>INGRESOS</t>
  </si>
  <si>
    <t>EGRESOS</t>
  </si>
  <si>
    <t>Total general</t>
  </si>
  <si>
    <t>EGRESOS DICIEMBRE</t>
  </si>
  <si>
    <t>APORTACIONES NOV.</t>
  </si>
  <si>
    <t>CELEBRACION P.</t>
  </si>
  <si>
    <t>LIMPIEZA.</t>
  </si>
  <si>
    <t>COMPRA PLATILLO.</t>
  </si>
  <si>
    <t>ESTIPENDIO.</t>
  </si>
  <si>
    <t>Control de Ingresos y Gastos Liturgia 2024.</t>
  </si>
  <si>
    <t>01_ENERO</t>
  </si>
  <si>
    <t>APORTACIONES SALDO INICIAL.</t>
  </si>
  <si>
    <t>C. PALABRA. SALDO INICIAL.</t>
  </si>
  <si>
    <t>VENTAS SALDO INICIAL.</t>
  </si>
  <si>
    <t>C. PALABRA. 24 INTENCIONES; PILI VAZQUEZ.</t>
  </si>
  <si>
    <t>112 PZAS AGUA 500 ML. GV.</t>
  </si>
  <si>
    <t>50 KG SAL DE GRANO.</t>
  </si>
  <si>
    <t>C. PALABRA. 10 INTENCIONES; ROCIO.</t>
  </si>
  <si>
    <t>C. PALABRA. 6 INTENCIONES; TERESITA.</t>
  </si>
  <si>
    <t>2 BOLSAS DE DULCES.</t>
  </si>
  <si>
    <t>C. PALABRA. 18 INTENCIONES; SARA.</t>
  </si>
  <si>
    <t>DONATIVOS EN LA VENTA DE AGUA Y SAL.</t>
  </si>
  <si>
    <t>SORANTE INTENCIONES MISA SANACION.</t>
  </si>
  <si>
    <t>39.- PZAS AGUA 500 ML. GV.</t>
  </si>
  <si>
    <t xml:space="preserve">45.- PZAS SAL 1/5 KG. </t>
  </si>
  <si>
    <t>2.- DOS LAMPARA PARA REPONER.</t>
  </si>
  <si>
    <t>C. PALABRA. 11 INTENCIONES; SARA.</t>
  </si>
  <si>
    <t>C. PALABRA. 13 INTENCIONES; VICTOR.</t>
  </si>
  <si>
    <t>DULCES PARA MISA.</t>
  </si>
  <si>
    <t>36 INTENCIONES MISA DE 8:00 PM.</t>
  </si>
  <si>
    <t>MISA DE 8:00 PM, P. MANESH TOMAS.</t>
  </si>
  <si>
    <t>3 .- PZA AGUA 500 ML. GV (2 SER. ALTAR)</t>
  </si>
  <si>
    <t>ENTREGA COLECTA AL PADRE LUIS GARCIA.</t>
  </si>
  <si>
    <t>COOPERACION DEJARON PARA CULTO.</t>
  </si>
  <si>
    <t>C. PALABRA. 18 INTENCIONES; VICTOR.</t>
  </si>
  <si>
    <t xml:space="preserve">55.- PZAS SAL 1/5 KG. </t>
  </si>
  <si>
    <t>63.- PZAS AGUA 500 ML. GV.</t>
  </si>
  <si>
    <t>1.- COJIN PARA LA CEDE.</t>
  </si>
  <si>
    <t>1.- MANTEL PARA ALTAR.</t>
  </si>
  <si>
    <t>2.- ESCOBAS Y UN ATOMIZADOR.</t>
  </si>
  <si>
    <t>C. PALABRA. 16 INTENCIONES; CARLOS.</t>
  </si>
  <si>
    <t>PALETA RELOJ</t>
  </si>
  <si>
    <t>0.63 KGS. BOLSA ROLLO 15X25 POLISEDA REYMA</t>
  </si>
  <si>
    <t>0.92 KGS. BOLSA ROLLO 18X26 POLISEDA REYMA</t>
  </si>
  <si>
    <t>112.- PZAS AGUA 500 ML- GV.</t>
  </si>
  <si>
    <t>INV. 112</t>
  </si>
  <si>
    <t>50 KGS. SAL DE COLIMA,</t>
  </si>
  <si>
    <t>INV. 100</t>
  </si>
  <si>
    <t>DEPOSITO SRA. PARA CAPILLA (CREO CONTRU)</t>
  </si>
  <si>
    <t>C. PALABRA. 16 INTENCIONES; TERESITA..</t>
  </si>
  <si>
    <t>FOCO PARA REFLECTOR DEL CRISTO.</t>
  </si>
  <si>
    <t>SORANTE INTENCIONES MISA.</t>
  </si>
  <si>
    <t>LIQUIDACION 50% 2 BANCAS.</t>
  </si>
  <si>
    <t>C. PALABRA. 7 INTENCIONES; VICTOR..</t>
  </si>
  <si>
    <t>APORTACION PARA PALMAS.</t>
  </si>
  <si>
    <t>FOCO PARA PUERTA DE SACRISTIA.</t>
  </si>
  <si>
    <t>1 PZA. AGUA 500 ML-GV. (SERVICIO)</t>
  </si>
  <si>
    <t>INV. 62</t>
  </si>
  <si>
    <t>40.- PZA SAL 500 GR-COLIMA</t>
  </si>
  <si>
    <t>INV. 60</t>
  </si>
  <si>
    <t>49.- PZA AGUA 500 ML-GV.</t>
  </si>
  <si>
    <t>INV. 63</t>
  </si>
  <si>
    <t>1.- PZA SAL 500 GR-COLIMA.</t>
  </si>
  <si>
    <t>INV.59</t>
  </si>
  <si>
    <t>ADORNO DE PALMAS.</t>
  </si>
  <si>
    <t>RECOLECCION DE BASURA</t>
  </si>
  <si>
    <t>APADRINAMIENTO CIRIO DE CAPILLA.</t>
  </si>
  <si>
    <t>2.- PZA AGUA 500 ML. GV (SERVICIO)</t>
  </si>
  <si>
    <t>INV. 58</t>
  </si>
  <si>
    <t>APORTACION SRA. AMELIA.</t>
  </si>
  <si>
    <t>C. PALABRA. 20 INTENCIONES; SARA.</t>
  </si>
  <si>
    <t>COMPRA VELADORAS MICHEL.</t>
  </si>
  <si>
    <t>1lt. CLORO.</t>
  </si>
  <si>
    <t>C. PALABRA. 18 INTENCIONES; GERARDO.</t>
  </si>
  <si>
    <t>C. PALABRA. 17 INTENCIONES; TERESITA.</t>
  </si>
  <si>
    <t>AGUA SERVICIO CAPILLA (MAR/ABR).</t>
  </si>
  <si>
    <t>51.- PZA AGUA 500 ML. GV (SERVICIO)</t>
  </si>
  <si>
    <t>INV - 0</t>
  </si>
  <si>
    <t>55.- PZA SAL 500 GR-COLIMA.</t>
  </si>
  <si>
    <t>7.- PZA AGUA 500 ML. GV (SERVICIO)</t>
  </si>
  <si>
    <t>TIRAR BASURA.</t>
  </si>
  <si>
    <t>C. PALABRA. 23 INTENCIONES; TERESITA.</t>
  </si>
  <si>
    <t>COMPRA DULCES.</t>
  </si>
  <si>
    <t>INV-AG-112</t>
  </si>
  <si>
    <t>INV-SA-100</t>
  </si>
  <si>
    <t>DUPLICADO LLAVES CUARTOS.</t>
  </si>
  <si>
    <t>PINTURA VINILICA Y ESMALTE BLANCO.</t>
  </si>
  <si>
    <t>2 PZAS. AGUA USO CAPILLA.</t>
  </si>
  <si>
    <t>INV-AG-110</t>
  </si>
  <si>
    <t>JUEVES MISA DE 7:00 PM, P. GABRIEL. INT.-44</t>
  </si>
  <si>
    <t>SR. JESUS LUNA PARA CULTO.</t>
  </si>
  <si>
    <t>2 PZAS. AGUA 500 ML. GV.</t>
  </si>
  <si>
    <t>SRA. AMELIA AGUILAR PARA CULTO.</t>
  </si>
  <si>
    <t>TELAS Y FIGURAS PARA PENTECOSTES Y CORPUS.</t>
  </si>
  <si>
    <t>C. PALABRA. 22 INTENCIONES; GERARDO.</t>
  </si>
  <si>
    <t>ADORNO DE FLORES PARA PENTECOSTES.</t>
  </si>
  <si>
    <t>3 PZAS AGUA 500 ML GV.</t>
  </si>
  <si>
    <t>UNA ANITA, PADRE, CARLOS.</t>
  </si>
  <si>
    <t>C. PALABRA. 15 INTENCIONES; VICTOR.</t>
  </si>
  <si>
    <t>CARLOS, ISABEL</t>
  </si>
  <si>
    <t>49.- PZA SAL 500 GR-COLIMA.</t>
  </si>
  <si>
    <t>INV_51</t>
  </si>
  <si>
    <t>59 PZAS AGUA 500 ML GV.</t>
  </si>
  <si>
    <t>1 ISABEL, 1 CARLOS np.</t>
  </si>
  <si>
    <t>C. PALABRA. 35 INTENCIONES; ANITA.</t>
  </si>
  <si>
    <t>RESERVA PARA CULTO.</t>
  </si>
  <si>
    <t>RESERVA CULTO</t>
  </si>
  <si>
    <t>APARTADO 50% 2 BANCAS.</t>
  </si>
  <si>
    <t>C. PALABRA. 21 INTENCIONES; TERESITA.</t>
  </si>
  <si>
    <t>2.- PZA AGUA 500 ML. GV (CARLOS Y PADRE)</t>
  </si>
  <si>
    <t>CAMPAÑA COMPRA DE BANCAS.</t>
  </si>
  <si>
    <t>C. PALABRA. 28 INTENCIONES; VICTOR</t>
  </si>
  <si>
    <t>CINTA CANELA Y FRANELA PARA ALTAR.</t>
  </si>
  <si>
    <t>C. PALABRA. 22 INTENCIONES; SARA</t>
  </si>
  <si>
    <t>VENTA AGUA Y SAL.</t>
  </si>
  <si>
    <t>1/4 KG BOLSA 8X26 (PARA CAMBIO)</t>
  </si>
  <si>
    <t>C. PALABRA. 21 INTENCIONES; ANITA</t>
  </si>
  <si>
    <t>56.- PZA AGUA 500 ML. GV</t>
  </si>
  <si>
    <t>Cada pieza sale en $ 2.86</t>
  </si>
  <si>
    <t>C. PALABRA. 29 INTENCIONES; GERARDO-MIGUEL</t>
  </si>
  <si>
    <t xml:space="preserve">101 Pzas </t>
  </si>
  <si>
    <t>APORTACION DE LAS VENTAS.</t>
  </si>
  <si>
    <t>C. PALABRA. 30 INTENCIONES; VICTOR.</t>
  </si>
  <si>
    <t>SE PASA A LITURGIA.</t>
  </si>
  <si>
    <t>DOS LONAS DE SERVICIOS CAPILLA.</t>
  </si>
  <si>
    <t>C. PALABRA. 18 INTENCIONES; SARITA.</t>
  </si>
  <si>
    <t>VENTA EN MISA SANACION.</t>
  </si>
  <si>
    <t>C. PALABRA. 8 INTENCIONES; TERESITA.</t>
  </si>
  <si>
    <t>SRA. AMELIA AGUILAR PARA BANCAS.</t>
  </si>
  <si>
    <t xml:space="preserve">ANTICIPO DE BANCAS.  </t>
  </si>
  <si>
    <t>C. PALABRA. 14 INTENCIONES; TERESITA.</t>
  </si>
  <si>
    <t>PAGO DE BANCAS.</t>
  </si>
  <si>
    <t>C. PALABRA. 34 INTENCIONES; ANITA.</t>
  </si>
  <si>
    <t>3.- PZA AGUA 500 ML. GV</t>
  </si>
  <si>
    <t>C. PALABRA. 20 INTENCIONES; VICTOR.</t>
  </si>
  <si>
    <t>09_SEPTI</t>
  </si>
  <si>
    <t>Control de Aportaciones.</t>
  </si>
  <si>
    <t>S. ANTERIOR</t>
  </si>
  <si>
    <t>SUMAS</t>
  </si>
  <si>
    <t>TOTAL</t>
  </si>
  <si>
    <t>San Judas Tadeo</t>
  </si>
  <si>
    <t>SAN JUDAS TADEO</t>
  </si>
  <si>
    <t>MISA DE SANACION</t>
  </si>
  <si>
    <t>Cant.</t>
  </si>
  <si>
    <t>Denominar</t>
  </si>
  <si>
    <t>Importe</t>
  </si>
  <si>
    <t>VENTA</t>
  </si>
  <si>
    <t>A</t>
  </si>
  <si>
    <t>COLECTA</t>
  </si>
  <si>
    <t>C</t>
  </si>
  <si>
    <t>EST. P. MANESH T.</t>
  </si>
  <si>
    <t>CORO.</t>
  </si>
  <si>
    <t>Misa celebrada por el Padre Manesh Tomas.</t>
  </si>
  <si>
    <t>--------------</t>
  </si>
  <si>
    <t>APORTACION</t>
  </si>
  <si>
    <t>INVENTARIO</t>
  </si>
  <si>
    <t>AGUA</t>
  </si>
  <si>
    <t>SAL</t>
  </si>
  <si>
    <t>SALDO INICIAL</t>
  </si>
  <si>
    <t>Saldo Inicial</t>
  </si>
  <si>
    <t>Misa de Sanacion 28 de Abril del 2023</t>
  </si>
  <si>
    <t>COMPRA DE PRODUCTO.</t>
  </si>
  <si>
    <t>INVEN
TARIO</t>
  </si>
  <si>
    <t>UDM</t>
  </si>
  <si>
    <t>DESCRIPCION</t>
  </si>
  <si>
    <t>COSTO 
UNITARIO</t>
  </si>
  <si>
    <t>COSTO
TOTAL</t>
  </si>
  <si>
    <t>PRECIO
VENTA</t>
  </si>
  <si>
    <t>VENTA
TOTAL</t>
  </si>
  <si>
    <t>INVENTARIO
TOTAL</t>
  </si>
  <si>
    <t>MISA SANACION.</t>
  </si>
  <si>
    <t>VENTA ASISTENTES.</t>
  </si>
  <si>
    <t>Kg.</t>
  </si>
  <si>
    <t>SAL DE GRANO.</t>
  </si>
  <si>
    <t>Pza</t>
  </si>
  <si>
    <t>Botella de 1000 ml.</t>
  </si>
  <si>
    <t>Botella de 500 ml.</t>
  </si>
  <si>
    <t>VENDIDO A EFETTA.</t>
  </si>
  <si>
    <t>UTILIDAD</t>
  </si>
  <si>
    <t>AJUSTE POR USO.</t>
  </si>
  <si>
    <t>Inventario quedo en ceros.</t>
  </si>
  <si>
    <t>COMISION 5%</t>
  </si>
  <si>
    <t>no se pago</t>
  </si>
  <si>
    <t>Misa de Sanacion 26 de Mayo del 2023</t>
  </si>
  <si>
    <t>Botella de 600 ml.</t>
  </si>
  <si>
    <t>Hielo</t>
  </si>
  <si>
    <t>Misa de Sanacion 28 de Junio del 2023</t>
  </si>
  <si>
    <t>Lupita.</t>
  </si>
  <si>
    <t>Misa de Sanacion 28 de Julio del 2023</t>
  </si>
  <si>
    <t>Sal de Grano 1/2 Kg.</t>
  </si>
  <si>
    <t>ARTICULO</t>
  </si>
  <si>
    <t>IMPORTE</t>
  </si>
  <si>
    <t>RINDE</t>
  </si>
  <si>
    <t>Misa de Sanacion 28 de Agosto del 2023</t>
  </si>
  <si>
    <t>50.- KG SAL</t>
  </si>
  <si>
    <t>1 kg bolsa</t>
  </si>
  <si>
    <t>1 Rollo Bolsa Celofan</t>
  </si>
  <si>
    <t>1 Rollo Cinta Canela</t>
  </si>
  <si>
    <t>DONATIVO</t>
  </si>
  <si>
    <t>NETO:</t>
  </si>
  <si>
    <t>Misa de Sanacion 28 de Septiembre del 2023</t>
  </si>
  <si>
    <t>Misa de Sanacion 28 de noviembre del 2023</t>
  </si>
  <si>
    <t xml:space="preserve">Costal de Sal </t>
  </si>
  <si>
    <t>Lupita Salazar</t>
  </si>
  <si>
    <t>CALCULO DE PRECIO DE VENTA DE SAL</t>
  </si>
  <si>
    <t>%</t>
  </si>
  <si>
    <t>Sal de Grano de Colima.</t>
  </si>
  <si>
    <t xml:space="preserve">Bolsa Rollo 18x26 </t>
  </si>
  <si>
    <t>Cinta</t>
  </si>
  <si>
    <t>Pzas</t>
  </si>
  <si>
    <t>AGUA GV 500 ML.</t>
  </si>
  <si>
    <t>PZA</t>
  </si>
  <si>
    <t>selladora manual chica 25 cm.</t>
  </si>
  <si>
    <t>COLUMNAS</t>
  </si>
  <si>
    <t>0_COLUMNAS</t>
  </si>
  <si>
    <t>CAJA CHICA</t>
  </si>
  <si>
    <t>1_WC</t>
  </si>
  <si>
    <t>Control de Construccion 2024.</t>
  </si>
  <si>
    <t>2_RECICLADO</t>
  </si>
  <si>
    <t>3_APORTACION</t>
  </si>
  <si>
    <t>4_GASTOS</t>
  </si>
  <si>
    <t>2301_ENE</t>
  </si>
  <si>
    <t>SARA GONZALEZ.</t>
  </si>
  <si>
    <t>2302_FEB</t>
  </si>
  <si>
    <t>GLORIA ACOSTA.</t>
  </si>
  <si>
    <t>YOLANDA I. CUEVA.</t>
  </si>
  <si>
    <t>CEPO SAN JUDAS TADEO.</t>
  </si>
  <si>
    <t>SEGUNDA COLECTA</t>
  </si>
  <si>
    <t>2303_MAR</t>
  </si>
  <si>
    <t>MINI SUPER LUCY.</t>
  </si>
  <si>
    <t>MA. ELENA HERNANDEZ.</t>
  </si>
  <si>
    <t>2304_ABR</t>
  </si>
  <si>
    <t>LETY Y CEPO SAN JUDAS TADEO</t>
  </si>
  <si>
    <t>2305_MAY</t>
  </si>
  <si>
    <t>BETO - TORTILLERIA EL ROSARIO.</t>
  </si>
  <si>
    <t>2306_JUN</t>
  </si>
  <si>
    <t>SRA. SOCORRO RAZON.</t>
  </si>
  <si>
    <t>2307_JUL</t>
  </si>
  <si>
    <t>ANONIMO.</t>
  </si>
  <si>
    <t>2308_AGO</t>
  </si>
  <si>
    <t>SRA. LETY.</t>
  </si>
  <si>
    <t>2401_ENE</t>
  </si>
  <si>
    <t>SALDO DEL AÑO PASADO.</t>
  </si>
  <si>
    <t>2402_FEB</t>
  </si>
  <si>
    <t>VENTA CARTON, PAPEL Y PET.</t>
  </si>
  <si>
    <t>SERVICIO WC TIAGUISTAS.</t>
  </si>
  <si>
    <t>SRA. MA. CARMEN CAMACHO.</t>
  </si>
  <si>
    <t>ALCANCIA DE PONCIANO.</t>
  </si>
  <si>
    <t>REDONDEO LUCIO RAMOS.</t>
  </si>
  <si>
    <t>SR. OLEGARIO.</t>
  </si>
  <si>
    <t>SRA. SOCORRO CARDONA.</t>
  </si>
  <si>
    <t>PADRE LUIS, ANONIMO.</t>
  </si>
  <si>
    <t>RIFA</t>
  </si>
  <si>
    <t>SRA. ALEJANDRA DE PAZ</t>
  </si>
  <si>
    <t>1 SEPARADORES, 1 LLANA, 2 CINTAS AISLANTES.</t>
  </si>
  <si>
    <t>4 SACOS JUNTEADOR, 1 CEMENTO 25KG, 2 CANDADOS.</t>
  </si>
  <si>
    <t>MANO DE OBRA 14 MT2  COLOCAR Y JUNTEAR PISO.</t>
  </si>
  <si>
    <t>RIFA MORE</t>
  </si>
  <si>
    <t>MAESTRA.SILVIA.</t>
  </si>
  <si>
    <t>COLOCAR PISO 22 MT2.</t>
  </si>
  <si>
    <t>ZOCLO 53.5 MT2</t>
  </si>
  <si>
    <t>1 JUNTEADOR</t>
  </si>
  <si>
    <t>1 PANEL W3" 2.40 x 1.2 Y 2 RAT FREE</t>
  </si>
  <si>
    <t>1 FLEXOMETRO</t>
  </si>
  <si>
    <t>1 SACO DE CEMENTO.</t>
  </si>
  <si>
    <t>2 MULTIPLASTI</t>
  </si>
  <si>
    <t>GELATINAS VENTA</t>
  </si>
  <si>
    <t>43 MT2 ENJARRE BAÑOS HOMBRES.</t>
  </si>
  <si>
    <t>SRA. ISABEL</t>
  </si>
  <si>
    <t>2403_MAR</t>
  </si>
  <si>
    <t>SRA. CHELA</t>
  </si>
  <si>
    <t>SRITA. MARISOL.</t>
  </si>
  <si>
    <t>ENJARRE 38.50 MT2</t>
  </si>
  <si>
    <t>PERFIL ALUMINIO 3 BISAGRAS 1 JALADERA.</t>
  </si>
  <si>
    <t>ENJARRE 22.5 MT2</t>
  </si>
  <si>
    <t>LIMPIEZA DE BAÑOS.</t>
  </si>
  <si>
    <t>PAY Y GELATINAS VENTA</t>
  </si>
  <si>
    <t>RIFA.</t>
  </si>
  <si>
    <t>AGUA VENTA</t>
  </si>
  <si>
    <t>PAY VENTA</t>
  </si>
  <si>
    <t>ABONO P/PUERTA SACRISTIA.</t>
  </si>
  <si>
    <t>BOQUILLAS DE TODAS LAS PUERTAS. Y VENTANAS</t>
  </si>
  <si>
    <t>PAPEL HIGIENICO 6x600</t>
  </si>
  <si>
    <t>1 TUBO 3" x 3"</t>
  </si>
  <si>
    <t>SALDO TOTAL PUERTA SACRISTIA.</t>
  </si>
  <si>
    <t>ARROZ CON LECHE VENTA</t>
  </si>
  <si>
    <t>2404_ABR</t>
  </si>
  <si>
    <t>BOLIS, PAY, GELATINAS VENTA</t>
  </si>
  <si>
    <t>ANGEL LOPEZ BETANCOURT PBRO. MEXICALI.</t>
  </si>
  <si>
    <t>4 MTS COLADO DALAS.</t>
  </si>
  <si>
    <t>5 MT2 ENJARRE.</t>
  </si>
  <si>
    <t>AGUA, PAY, GELATINAS VENTA</t>
  </si>
  <si>
    <t>1 PASTA RESANE PERDURA Y MT MALLA.</t>
  </si>
  <si>
    <t>1 MULTIPLAS</t>
  </si>
  <si>
    <t>1 ROTO MARTILLO 1/2.</t>
  </si>
  <si>
    <t>EJARRAR 12 MT2 DALLA</t>
  </si>
  <si>
    <t>2405_MAY</t>
  </si>
  <si>
    <t>APLICAR MULTIPLAS 40 MT2.</t>
  </si>
  <si>
    <t>PAY QUESO VENTA.</t>
  </si>
  <si>
    <t>8 LTS. PINTURA BLANCA.</t>
  </si>
  <si>
    <t>Total</t>
  </si>
  <si>
    <t>QUITANDO EL INGRESO DEL RECI-</t>
  </si>
  <si>
    <t>CLADO, AUN SE TIENE UN PEQUEÑO</t>
  </si>
  <si>
    <t>SALDO.</t>
  </si>
  <si>
    <t>PERO EL ESPACIO LIMPIO SE PUEDE</t>
  </si>
  <si>
    <t>APROVECHAR PARA VENTA Y EVEN-</t>
  </si>
  <si>
    <t>TOS QUE PERMITAN CAPTAR INGRE-</t>
  </si>
  <si>
    <t>SOS.</t>
  </si>
  <si>
    <t>EN CAJA</t>
  </si>
  <si>
    <t>PTR 14" x 14" 3/8"</t>
  </si>
  <si>
    <t>PTR 16" x 16" 3/8"</t>
  </si>
  <si>
    <t>MAY-DIC 2024 (8)</t>
  </si>
  <si>
    <t>AÑO 2025 (12)</t>
  </si>
  <si>
    <t>AÑO 2026 (2)</t>
  </si>
  <si>
    <t>Asi que para Febrero del 2026 tendremos las</t>
  </si>
  <si>
    <t xml:space="preserve">columnas, ya solo faltaria todas las vigas que </t>
  </si>
  <si>
    <t xml:space="preserve">sostendran estas columnas y para luego poner </t>
  </si>
  <si>
    <t>laminas o lo que se decida poner como techo.</t>
  </si>
  <si>
    <t>0_OSTIA</t>
  </si>
  <si>
    <t>FIESTAS PATRONALES 2023</t>
  </si>
  <si>
    <t>FIESTA SJT.</t>
  </si>
  <si>
    <t>T</t>
  </si>
  <si>
    <t>COOPERACION EN BOTE.</t>
  </si>
  <si>
    <t>SRA. CECY.</t>
  </si>
  <si>
    <t>PARA ESTIPENDIO.</t>
  </si>
  <si>
    <t>SRA. LETICIA BARRAGAN.</t>
  </si>
  <si>
    <t>ESTAMPAS DE SAN JUDAS.</t>
  </si>
  <si>
    <t>B</t>
  </si>
  <si>
    <t>(1) BOTE</t>
  </si>
  <si>
    <t>MEMORIA PARA MAÑANITAS Y VIRGEN.</t>
  </si>
  <si>
    <t>(2) APORTACION</t>
  </si>
  <si>
    <t>(3) RIFA</t>
  </si>
  <si>
    <t>3 FLOREROS DE PLASTICO.</t>
  </si>
  <si>
    <t>(4) A.A. ALTAR.</t>
  </si>
  <si>
    <t>VENTA PAN (MARTIN)</t>
  </si>
  <si>
    <t>DONO JAZMIN.</t>
  </si>
  <si>
    <t>(A) ALTAR Y ENTRADA</t>
  </si>
  <si>
    <t>RIFA DE VASOS.</t>
  </si>
  <si>
    <t>REALIZO MORE.</t>
  </si>
  <si>
    <t>(B) VARIOS P/FIESTA</t>
  </si>
  <si>
    <t>SELLADOR Y LIJA.</t>
  </si>
  <si>
    <t xml:space="preserve">VINILICA, DORADO Y BROCHA </t>
  </si>
  <si>
    <t>PARA ALTAR.</t>
  </si>
  <si>
    <t>(C) FLORES</t>
  </si>
  <si>
    <t>APORTACION ANONIMA.</t>
  </si>
  <si>
    <t>PARA T. ROCA ALTAR.</t>
  </si>
  <si>
    <t>(D) ESTIPENDIOS</t>
  </si>
  <si>
    <t>TABLAROCA ALTAR.</t>
  </si>
  <si>
    <t>ERAN $ 5,400 DESCONTO 400 COMO APORTACION.</t>
  </si>
  <si>
    <t>(D) MUSICA</t>
  </si>
  <si>
    <t>APORTACION TIANGUEROS.</t>
  </si>
  <si>
    <t>JUNTO JAZMIN.</t>
  </si>
  <si>
    <t>RIFA CUADRO VIRGEN G.</t>
  </si>
  <si>
    <t>MICROFONOS INALAMBRICOS</t>
  </si>
  <si>
    <t>SRA. ISABEL.</t>
  </si>
  <si>
    <t>PARA FLORES.</t>
  </si>
  <si>
    <t>PARA EL CAFÉ, MISA MATUTINA.</t>
  </si>
  <si>
    <t>DIFERENCIA</t>
  </si>
  <si>
    <t>AGUA PARA EL CAFÉ.</t>
  </si>
  <si>
    <t>CHAROLA DE PAN.</t>
  </si>
  <si>
    <t>MISA DE 7:00 AM P. ARTURO.</t>
  </si>
  <si>
    <t>D</t>
  </si>
  <si>
    <t>MISA DE 8:00 PM P. LUIS G.</t>
  </si>
  <si>
    <t>MUSICA</t>
  </si>
  <si>
    <t>CONFECION 8:00 PM. P. CHAYO.</t>
  </si>
  <si>
    <t>CARBON PARA INCIENSO</t>
  </si>
  <si>
    <t>TRAJO JAZMIN.</t>
  </si>
  <si>
    <t>PARA COMPRAR MICROFONO</t>
  </si>
  <si>
    <t>C. PALABRA. 32 INTENCIONES; ANITA.</t>
  </si>
  <si>
    <t>GISES PARA FLECHAS Y LETREROS.</t>
  </si>
  <si>
    <t>MISA P. MANESH. 45 INTENCIONES</t>
  </si>
  <si>
    <t>PADRINOS PARA FIESTAS DE SAN JUDAS T.</t>
  </si>
  <si>
    <t>56.-  PZA AGUA 500 ML. GV</t>
  </si>
  <si>
    <t>REPONER ESCOBA QUE ROMPIO ALBAÑIL.</t>
  </si>
  <si>
    <t>ESMALTE PARA DELIMITAR PASILLOS.</t>
  </si>
  <si>
    <t>4 LAMARAS</t>
  </si>
  <si>
    <t>1 FOCO.</t>
  </si>
  <si>
    <t>EST. P. SASHI</t>
  </si>
  <si>
    <t>09_SEPT</t>
  </si>
  <si>
    <t>58.-  PZA AGUA 500 ML. GV</t>
  </si>
  <si>
    <t>43.- PZA SAL 500 GR-COLIMA.</t>
  </si>
  <si>
    <t>Padre Sashi Confesor y Coro</t>
  </si>
  <si>
    <t>BOTE PARA FIESTA SAN JUDAS TADEO.</t>
  </si>
  <si>
    <t>COPIAS DE LOS PROGRAMAS DE LAS FIESTAS.</t>
  </si>
  <si>
    <t>C. PALABRA. 27 INTENCIONES; SARA.</t>
  </si>
  <si>
    <t>PAGO CFE.</t>
  </si>
  <si>
    <t>PARA HACER ALCANCIA (BOTE).</t>
  </si>
  <si>
    <t>MISA. 41 INTENCIONES; P. CESAR A. RCJ.</t>
  </si>
  <si>
    <t>CLORO Y FABULOSO.</t>
  </si>
  <si>
    <t>CAMION DE LA BASURA.</t>
  </si>
  <si>
    <t>C. PALABRA. 23 INTENCIONES; ANITA.</t>
  </si>
  <si>
    <t>90.-  PZA AGUA 500 ML. SAM'S.</t>
  </si>
  <si>
    <t>C/U $ 3.33</t>
  </si>
  <si>
    <t>VELAS PARA LOS CIRIALES.</t>
  </si>
  <si>
    <t>10_OCT</t>
  </si>
  <si>
    <t>103.-  PZA AGUA 500 ML. SAM'S.</t>
  </si>
  <si>
    <t>40.- PZA SAL 500 GR-COLIMA.</t>
  </si>
  <si>
    <t>C. PALABRA. 26 INTENCIONES; VICTOR.</t>
  </si>
  <si>
    <t>PAGO DE ARREGLO FLORAL.</t>
  </si>
  <si>
    <t>ESTIPENDIOS A SECERDOTES.</t>
  </si>
  <si>
    <t>PAGO DE MUSICA.</t>
  </si>
  <si>
    <t>DISTRIBUCION MONETARIA</t>
  </si>
  <si>
    <t>INTENCION</t>
  </si>
  <si>
    <t>BATERIAS PARA MICROFONOS 4 AA STEREN.</t>
  </si>
  <si>
    <t>C. PALABRA. 28 INTENCIONES; VICTOR.</t>
  </si>
  <si>
    <t>COSTAL 50 KG. SAL DE COLIMA.</t>
  </si>
  <si>
    <t>144.-  PZA AGUA 500 ML. SAM'S.</t>
  </si>
  <si>
    <t>APORTACION EN EL BOTE.</t>
  </si>
  <si>
    <t>PARA CERRAR CANTIDAD, PUSE.</t>
  </si>
  <si>
    <t>JUEVES MISA DE 7:00 PM, P. MANESH. INT.-46</t>
  </si>
  <si>
    <t>11_NOV</t>
  </si>
  <si>
    <t>Control de Ventas de Agua y Sal.</t>
  </si>
  <si>
    <t>INVENTARIO INICIAL.</t>
  </si>
  <si>
    <t>VENTA A LA FECHA:</t>
  </si>
  <si>
    <t>INVENTARIO FINAL:</t>
  </si>
  <si>
    <t>VELAS DE ADVIENTO</t>
  </si>
  <si>
    <t>ADVIENTO</t>
  </si>
  <si>
    <t>VELAS DIVINA PROVIDENCIA.</t>
  </si>
  <si>
    <t>INI</t>
  </si>
  <si>
    <t>FIN</t>
  </si>
  <si>
    <t>VENTA: VELAS Y CIRIOS</t>
  </si>
  <si>
    <t>GDE. BLAN.</t>
  </si>
  <si>
    <t>GDE. COL.</t>
  </si>
  <si>
    <t>SIN/BASE.</t>
  </si>
  <si>
    <t>CON/BASE.</t>
  </si>
  <si>
    <t>CIRIOS</t>
  </si>
  <si>
    <t>422 GRS.</t>
  </si>
  <si>
    <t>232 GRS.</t>
  </si>
  <si>
    <t>IMPORTE ENTREGADO</t>
  </si>
  <si>
    <t>SALDO POR ENTREGAR</t>
  </si>
  <si>
    <t>C. PALABRA. 27 INTENCIONES; TERESITA.</t>
  </si>
  <si>
    <t>MISAL NOVIEMBRE Y DICIEMBRE, TIRAR BASURA.</t>
  </si>
  <si>
    <t>62.- PZA SAL 500 GR-COLIMA.</t>
  </si>
  <si>
    <t>66.-  PZA AGUA 500 ML. SAM'S.</t>
  </si>
  <si>
    <t>2.- IMPRESIONES USO DE SACRAMENTALES.</t>
  </si>
  <si>
    <t>165.- INTENCIONES</t>
  </si>
  <si>
    <t>VELAS PARA CORONA DE ADVIENTO.</t>
  </si>
  <si>
    <t>C. PALABRA. 18 INTENCIONES; ANITA.</t>
  </si>
  <si>
    <t>4 PILAS MICROFONOS PADRE MANESH.</t>
  </si>
  <si>
    <t>COMPRA DE MANTEL ROSA, MODATELA TONALA.</t>
  </si>
  <si>
    <t>ENTREGADO</t>
  </si>
  <si>
    <t>MERCANCIA INICIAL</t>
  </si>
  <si>
    <t>EXPOSICION: MORE.</t>
  </si>
  <si>
    <t>CELEBRACION: VICTORI</t>
  </si>
  <si>
    <t>MISA CELEBRADA POR PADRE SAJI.</t>
  </si>
  <si>
    <t>12_DIC</t>
  </si>
  <si>
    <t>CABLE Y CONTACTO PARA NACIMIENTO</t>
  </si>
  <si>
    <t>JABON Y FABULOSO</t>
  </si>
  <si>
    <t>APORTACION ROSA ISELA P/BANCAS. V. ADVIENTO.</t>
  </si>
  <si>
    <t>C. PALABRA. 17 INTENCIONES; ANITA.</t>
  </si>
  <si>
    <t>APORTACIONES BOTE</t>
  </si>
  <si>
    <t>MANTENIMIENTO</t>
  </si>
  <si>
    <t>CAMPAÑA COMPRA DE BANCAS. AMIGA MA. INES.</t>
  </si>
  <si>
    <t>CAMPAÑA COMPRA DE BANCAS. MARIA INES.</t>
  </si>
  <si>
    <t>FLORES PARA LA VIRGEN DE GUADALUPE. DON JESUS</t>
  </si>
  <si>
    <t>FLORES PARA LA VIRGEN DE GUADALUPE. D. AMELIA</t>
  </si>
  <si>
    <t>FLORES PARA LA VIRGEN DE GUADALUPE. SRA TIENDA</t>
  </si>
  <si>
    <t>FLORES PARA LA VIRGEN DE GUADALUPE. YOLANDA</t>
  </si>
  <si>
    <t>BANCAS</t>
  </si>
  <si>
    <t>CULTO</t>
  </si>
  <si>
    <t>CAMPAÑA COMPRA DE BANCAS.4027-6658-4634-7145 Hugo Antonio Macias de Leon</t>
  </si>
  <si>
    <t>FIESTA. S.J.T.</t>
  </si>
  <si>
    <t>APORTE</t>
  </si>
  <si>
    <t>GASTO</t>
  </si>
  <si>
    <t>BALANCE DE APORTACIONES</t>
  </si>
  <si>
    <t>Capilla San Judas Tadeo</t>
  </si>
  <si>
    <t>Balance Aportaciones</t>
  </si>
  <si>
    <t>Ejercicio 2024</t>
  </si>
  <si>
    <t>C. PALABRA</t>
  </si>
  <si>
    <t>MISA DE 8:00 PM, P. MANESH TOMAS. 40 INTEN</t>
  </si>
  <si>
    <t>MISAS</t>
  </si>
  <si>
    <t>OTROS</t>
  </si>
  <si>
    <t>AL PADRE LUIS</t>
  </si>
  <si>
    <t>CANDADO 158, DUPLICADO 14*20 LLAVES Y 2*6 LLAVEROS.</t>
  </si>
  <si>
    <t>----------------------------------------------------------------------</t>
  </si>
  <si>
    <t>FIESTAS S.JUDAS T.</t>
  </si>
  <si>
    <t>PREPARAR P.FIESTA</t>
  </si>
  <si>
    <t>PARA 2 BANCAS</t>
  </si>
  <si>
    <t>CAMPAÑA COMPRA DE BANCAS.VENTA DE AGUA Y SAL</t>
  </si>
  <si>
    <t>ETIQUETAS PARA LLAVES.</t>
  </si>
  <si>
    <t>01_ENE</t>
  </si>
  <si>
    <t>SALDO PARA COMPRA DE BANCAS.</t>
  </si>
  <si>
    <t>Control de Ingresos y Gastos Liturgia 2025.</t>
  </si>
  <si>
    <t>APERTURA DE INVERSION AZTECA.</t>
  </si>
  <si>
    <t>Me quede con un saldo de $ 4,459 y que decidimos dejarlos en inversion, ya que darselos al padre o a Lucio serian para sus bolsillos.</t>
  </si>
  <si>
    <t>INTERESES</t>
  </si>
  <si>
    <t>USO</t>
  </si>
  <si>
    <t>02_FEB</t>
  </si>
  <si>
    <t>INTERESES GENERADOS.</t>
  </si>
  <si>
    <t>PLAZO AZTECA 2%</t>
  </si>
  <si>
    <t>BALANCE 17 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</si>
</sst>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&quot;$&quot;* #,##0.00_-;[Red]\-&quot;$&quot;* #,##0.00_-;_-&quot;$&quot;* &quot;-&quot;??_-;_-@"/>
    <numFmt numFmtId="166" formatCode="ddd\-dd\-mmm\-yy"/>
    <numFmt numFmtId="167" formatCode="&quot;$&quot;#,##0.00"/>
    <numFmt numFmtId="168" formatCode="#,##0_ ;[Red]\-#,##0\ "/>
    <numFmt numFmtId="169" formatCode="_-&quot;$&quot;* #,##0_-;[Red]\-&quot;$&quot;* #,##0_-;_-&quot;$&quot;* &quot;-&quot;??_-;_-@"/>
  </numFmts>
  <fonts count="28" x14ac:knownFonts="1">
    <font>
      <sz val="12"/>
      <color theme="1"/>
      <name val="Arial"/>
      <scheme val="minor"/>
    </font>
    <font>
      <b/>
      <sz val="18"/>
      <color theme="1"/>
      <name val="Arial"/>
      <family val="2"/>
    </font>
    <font>
      <sz val="12"/>
      <name val="Arial"/>
      <family val="2"/>
    </font>
    <font>
      <b/>
      <sz val="14"/>
      <color rgb="FF0000CC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rgb="FF0000F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CC"/>
      <name val="Arial"/>
      <family val="2"/>
      <scheme val="minor"/>
    </font>
    <font>
      <sz val="12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rgb="FF0000CC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sz val="10"/>
      <color theme="0" tint="-0.14999847407452621"/>
      <name val="Arial"/>
      <family val="2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933FF"/>
        <bgColor rgb="FFCCFF66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theme="4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8D08D"/>
      </bottom>
      <diagonal/>
    </border>
    <border>
      <left/>
      <right/>
      <top style="thin">
        <color rgb="FF8EAADB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double">
        <color rgb="FF000000"/>
      </top>
      <bottom style="double">
        <color rgb="FF00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1"/>
    <xf numFmtId="9" fontId="19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232">
    <xf numFmtId="0" fontId="0" fillId="0" borderId="0" xfId="0"/>
    <xf numFmtId="165" fontId="4" fillId="2" borderId="1" xfId="0" applyNumberFormat="1" applyFont="1" applyFill="1" applyBorder="1"/>
    <xf numFmtId="2" fontId="6" fillId="3" borderId="2" xfId="0" applyNumberFormat="1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/>
    </xf>
    <xf numFmtId="0" fontId="10" fillId="0" borderId="6" xfId="0" applyFont="1" applyBorder="1"/>
    <xf numFmtId="167" fontId="8" fillId="0" borderId="6" xfId="0" applyNumberFormat="1" applyFont="1" applyBorder="1"/>
    <xf numFmtId="0" fontId="8" fillId="0" borderId="6" xfId="0" applyFont="1" applyBorder="1"/>
    <xf numFmtId="167" fontId="10" fillId="0" borderId="6" xfId="0" applyNumberFormat="1" applyFont="1" applyBorder="1"/>
    <xf numFmtId="0" fontId="0" fillId="0" borderId="0" xfId="0" applyAlignment="1">
      <alignment horizontal="left"/>
    </xf>
    <xf numFmtId="165" fontId="0" fillId="0" borderId="0" xfId="0" applyNumberFormat="1"/>
    <xf numFmtId="0" fontId="10" fillId="0" borderId="0" xfId="0" applyFont="1" applyAlignment="1">
      <alignment horizontal="right"/>
    </xf>
    <xf numFmtId="0" fontId="10" fillId="0" borderId="9" xfId="0" applyFont="1" applyBorder="1" applyAlignment="1">
      <alignment horizontal="right"/>
    </xf>
    <xf numFmtId="165" fontId="5" fillId="2" borderId="9" xfId="0" applyNumberFormat="1" applyFont="1" applyFill="1" applyBorder="1"/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65" fontId="4" fillId="2" borderId="14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2" fillId="5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9" fillId="0" borderId="11" xfId="0" applyFont="1" applyBorder="1"/>
    <xf numFmtId="0" fontId="0" fillId="0" borderId="11" xfId="0" applyBorder="1"/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7" fontId="8" fillId="0" borderId="1" xfId="0" applyNumberFormat="1" applyFont="1" applyBorder="1"/>
    <xf numFmtId="167" fontId="0" fillId="0" borderId="14" xfId="0" applyNumberFormat="1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167" fontId="8" fillId="0" borderId="20" xfId="0" applyNumberFormat="1" applyFont="1" applyBorder="1"/>
    <xf numFmtId="0" fontId="0" fillId="0" borderId="14" xfId="0" applyBorder="1" applyAlignment="1">
      <alignment horizontal="center"/>
    </xf>
    <xf numFmtId="44" fontId="0" fillId="0" borderId="16" xfId="0" applyNumberFormat="1" applyBorder="1"/>
    <xf numFmtId="0" fontId="11" fillId="5" borderId="21" xfId="0" applyFont="1" applyFill="1" applyBorder="1" applyAlignment="1">
      <alignment horizontal="center"/>
    </xf>
    <xf numFmtId="44" fontId="0" fillId="0" borderId="21" xfId="0" applyNumberFormat="1" applyBorder="1"/>
    <xf numFmtId="0" fontId="0" fillId="0" borderId="21" xfId="0" applyBorder="1" applyAlignment="1">
      <alignment horizontal="center"/>
    </xf>
    <xf numFmtId="3" fontId="6" fillId="3" borderId="22" xfId="0" applyNumberFormat="1" applyFont="1" applyFill="1" applyBorder="1" applyAlignment="1">
      <alignment horizontal="center" vertical="center"/>
    </xf>
    <xf numFmtId="0" fontId="7" fillId="4" borderId="22" xfId="0" applyFont="1" applyFill="1" applyBorder="1"/>
    <xf numFmtId="3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7" fillId="0" borderId="4" xfId="0" applyFont="1" applyBorder="1"/>
    <xf numFmtId="165" fontId="7" fillId="0" borderId="4" xfId="0" applyNumberFormat="1" applyFont="1" applyBorder="1"/>
    <xf numFmtId="165" fontId="7" fillId="0" borderId="0" xfId="0" applyNumberFormat="1" applyFont="1"/>
    <xf numFmtId="0" fontId="8" fillId="0" borderId="4" xfId="0" applyFont="1" applyBorder="1"/>
    <xf numFmtId="0" fontId="7" fillId="0" borderId="4" xfId="0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0" fontId="7" fillId="0" borderId="8" xfId="0" applyFont="1" applyBorder="1"/>
    <xf numFmtId="165" fontId="7" fillId="0" borderId="8" xfId="0" applyNumberFormat="1" applyFont="1" applyBorder="1"/>
    <xf numFmtId="0" fontId="15" fillId="0" borderId="13" xfId="0" applyFont="1" applyBorder="1"/>
    <xf numFmtId="0" fontId="1" fillId="0" borderId="13" xfId="0" applyFont="1" applyBorder="1"/>
    <xf numFmtId="0" fontId="3" fillId="2" borderId="15" xfId="0" applyFont="1" applyFill="1" applyBorder="1"/>
    <xf numFmtId="0" fontId="5" fillId="2" borderId="15" xfId="0" applyFont="1" applyFill="1" applyBorder="1"/>
    <xf numFmtId="165" fontId="4" fillId="2" borderId="16" xfId="0" applyNumberFormat="1" applyFont="1" applyFill="1" applyBorder="1"/>
    <xf numFmtId="165" fontId="5" fillId="2" borderId="17" xfId="0" applyNumberFormat="1" applyFont="1" applyFill="1" applyBorder="1"/>
    <xf numFmtId="0" fontId="16" fillId="0" borderId="1" xfId="0" applyFont="1" applyBorder="1"/>
    <xf numFmtId="0" fontId="16" fillId="0" borderId="0" xfId="0" applyFont="1"/>
    <xf numFmtId="0" fontId="0" fillId="5" borderId="23" xfId="0" applyFill="1" applyBorder="1"/>
    <xf numFmtId="0" fontId="9" fillId="5" borderId="24" xfId="0" applyFont="1" applyFill="1" applyBorder="1"/>
    <xf numFmtId="0" fontId="0" fillId="5" borderId="24" xfId="0" applyFill="1" applyBorder="1"/>
    <xf numFmtId="0" fontId="0" fillId="5" borderId="25" xfId="0" applyFill="1" applyBorder="1"/>
    <xf numFmtId="165" fontId="8" fillId="0" borderId="1" xfId="0" applyNumberFormat="1" applyFont="1" applyBorder="1"/>
    <xf numFmtId="165" fontId="0" fillId="0" borderId="14" xfId="0" applyNumberFormat="1" applyBorder="1"/>
    <xf numFmtId="165" fontId="0" fillId="0" borderId="1" xfId="0" applyNumberFormat="1" applyBorder="1"/>
    <xf numFmtId="165" fontId="10" fillId="0" borderId="6" xfId="0" applyNumberFormat="1" applyFont="1" applyBorder="1" applyAlignment="1">
      <alignment horizontal="center"/>
    </xf>
    <xf numFmtId="165" fontId="8" fillId="0" borderId="6" xfId="0" applyNumberFormat="1" applyFont="1" applyBorder="1"/>
    <xf numFmtId="165" fontId="8" fillId="0" borderId="20" xfId="0" applyNumberFormat="1" applyFont="1" applyBorder="1"/>
    <xf numFmtId="165" fontId="10" fillId="0" borderId="6" xfId="0" applyNumberFormat="1" applyFont="1" applyBorder="1"/>
    <xf numFmtId="0" fontId="8" fillId="0" borderId="0" xfId="0" applyFont="1"/>
    <xf numFmtId="2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" fontId="0" fillId="0" borderId="0" xfId="0" applyNumberForma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pivotButton="1" applyFont="1" applyAlignment="1">
      <alignment horizontal="center" vertical="center"/>
    </xf>
    <xf numFmtId="0" fontId="2" fillId="0" borderId="1" xfId="0" applyFont="1" applyBorder="1"/>
    <xf numFmtId="0" fontId="11" fillId="0" borderId="0" xfId="0" applyFont="1"/>
    <xf numFmtId="44" fontId="10" fillId="0" borderId="21" xfId="0" applyNumberFormat="1" applyFont="1" applyBorder="1" applyAlignment="1">
      <alignment horizontal="center"/>
    </xf>
    <xf numFmtId="0" fontId="0" fillId="0" borderId="0" xfId="0" quotePrefix="1"/>
    <xf numFmtId="0" fontId="6" fillId="3" borderId="21" xfId="0" applyFont="1" applyFill="1" applyBorder="1" applyAlignment="1">
      <alignment horizontal="center" vertical="center"/>
    </xf>
    <xf numFmtId="165" fontId="6" fillId="3" borderId="21" xfId="0" applyNumberFormat="1" applyFont="1" applyFill="1" applyBorder="1" applyAlignment="1">
      <alignment horizontal="center" vertical="center"/>
    </xf>
    <xf numFmtId="0" fontId="7" fillId="7" borderId="21" xfId="0" applyFont="1" applyFill="1" applyBorder="1"/>
    <xf numFmtId="165" fontId="4" fillId="2" borderId="21" xfId="0" applyNumberFormat="1" applyFont="1" applyFill="1" applyBorder="1"/>
    <xf numFmtId="0" fontId="6" fillId="7" borderId="21" xfId="0" applyFont="1" applyFill="1" applyBorder="1" applyAlignment="1">
      <alignment horizontal="right"/>
    </xf>
    <xf numFmtId="0" fontId="0" fillId="0" borderId="0" xfId="0" pivotButton="1"/>
    <xf numFmtId="1" fontId="18" fillId="0" borderId="2" xfId="0" applyNumberFormat="1" applyFont="1" applyBorder="1" applyAlignment="1">
      <alignment horizontal="center" vertical="center"/>
    </xf>
    <xf numFmtId="0" fontId="8" fillId="0" borderId="2" xfId="0" applyFont="1" applyBorder="1"/>
    <xf numFmtId="166" fontId="7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44" fontId="10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9" fontId="0" fillId="0" borderId="0" xfId="2" applyFont="1" applyAlignment="1">
      <alignment horizontal="center"/>
    </xf>
    <xf numFmtId="165" fontId="17" fillId="0" borderId="4" xfId="0" applyNumberFormat="1" applyFont="1" applyBorder="1"/>
    <xf numFmtId="164" fontId="4" fillId="2" borderId="23" xfId="0" applyNumberFormat="1" applyFont="1" applyFill="1" applyBorder="1"/>
    <xf numFmtId="165" fontId="5" fillId="2" borderId="21" xfId="0" applyNumberFormat="1" applyFont="1" applyFill="1" applyBorder="1" applyAlignment="1">
      <alignment horizontal="center" vertical="center"/>
    </xf>
    <xf numFmtId="44" fontId="0" fillId="0" borderId="0" xfId="0" applyNumberFormat="1"/>
    <xf numFmtId="16" fontId="0" fillId="0" borderId="13" xfId="0" applyNumberFormat="1" applyBorder="1"/>
    <xf numFmtId="165" fontId="8" fillId="0" borderId="9" xfId="0" applyNumberFormat="1" applyFont="1" applyBorder="1"/>
    <xf numFmtId="0" fontId="0" fillId="0" borderId="27" xfId="0" applyBorder="1"/>
    <xf numFmtId="0" fontId="20" fillId="8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" fillId="0" borderId="1" xfId="0" applyFont="1" applyBorder="1"/>
    <xf numFmtId="0" fontId="3" fillId="2" borderId="1" xfId="0" applyFont="1" applyFill="1" applyBorder="1"/>
    <xf numFmtId="3" fontId="7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165" fontId="7" fillId="0" borderId="2" xfId="0" applyNumberFormat="1" applyFont="1" applyBorder="1"/>
    <xf numFmtId="0" fontId="5" fillId="2" borderId="1" xfId="0" applyFont="1" applyFill="1" applyBorder="1"/>
    <xf numFmtId="165" fontId="5" fillId="2" borderId="1" xfId="0" applyNumberFormat="1" applyFont="1" applyFill="1" applyBorder="1"/>
    <xf numFmtId="0" fontId="10" fillId="0" borderId="1" xfId="0" applyFont="1" applyBorder="1" applyAlignment="1">
      <alignment horizontal="right"/>
    </xf>
    <xf numFmtId="44" fontId="8" fillId="0" borderId="1" xfId="0" applyNumberFormat="1" applyFont="1" applyBorder="1" applyAlignment="1">
      <alignment horizontal="left"/>
    </xf>
    <xf numFmtId="165" fontId="0" fillId="0" borderId="29" xfId="0" applyNumberFormat="1" applyBorder="1"/>
    <xf numFmtId="0" fontId="8" fillId="0" borderId="0" xfId="0" applyFont="1" applyAlignment="1">
      <alignment horizontal="left"/>
    </xf>
    <xf numFmtId="0" fontId="10" fillId="0" borderId="0" xfId="0" applyFont="1"/>
    <xf numFmtId="44" fontId="10" fillId="0" borderId="1" xfId="0" applyNumberFormat="1" applyFont="1" applyBorder="1" applyAlignment="1">
      <alignment horizontal="left" vertical="center"/>
    </xf>
    <xf numFmtId="0" fontId="11" fillId="5" borderId="11" xfId="0" applyFont="1" applyFill="1" applyBorder="1"/>
    <xf numFmtId="9" fontId="0" fillId="0" borderId="14" xfId="2" applyFont="1" applyBorder="1" applyAlignment="1">
      <alignment horizontal="center"/>
    </xf>
    <xf numFmtId="165" fontId="8" fillId="0" borderId="0" xfId="0" applyNumberFormat="1" applyFont="1"/>
    <xf numFmtId="168" fontId="4" fillId="2" borderId="21" xfId="0" applyNumberFormat="1" applyFont="1" applyFill="1" applyBorder="1" applyAlignment="1">
      <alignment horizontal="center" vertical="center"/>
    </xf>
    <xf numFmtId="169" fontId="4" fillId="2" borderId="21" xfId="0" applyNumberFormat="1" applyFont="1" applyFill="1" applyBorder="1"/>
    <xf numFmtId="165" fontId="16" fillId="0" borderId="0" xfId="0" applyNumberFormat="1" applyFont="1"/>
    <xf numFmtId="165" fontId="16" fillId="0" borderId="1" xfId="0" applyNumberFormat="1" applyFont="1" applyBorder="1"/>
    <xf numFmtId="0" fontId="8" fillId="0" borderId="30" xfId="0" applyFont="1" applyBorder="1" applyAlignment="1">
      <alignment horizontal="left"/>
    </xf>
    <xf numFmtId="0" fontId="8" fillId="0" borderId="30" xfId="0" applyFont="1" applyBorder="1"/>
    <xf numFmtId="165" fontId="0" fillId="0" borderId="30" xfId="0" applyNumberFormat="1" applyBorder="1"/>
    <xf numFmtId="0" fontId="0" fillId="0" borderId="30" xfId="0" applyBorder="1"/>
    <xf numFmtId="165" fontId="16" fillId="0" borderId="30" xfId="0" applyNumberFormat="1" applyFont="1" applyBorder="1"/>
    <xf numFmtId="165" fontId="23" fillId="0" borderId="0" xfId="0" applyNumberFormat="1" applyFont="1"/>
    <xf numFmtId="165" fontId="23" fillId="0" borderId="9" xfId="0" applyNumberFormat="1" applyFont="1" applyBorder="1"/>
    <xf numFmtId="0" fontId="23" fillId="0" borderId="0" xfId="0" applyFont="1"/>
    <xf numFmtId="165" fontId="23" fillId="0" borderId="29" xfId="0" applyNumberFormat="1" applyFont="1" applyBorder="1"/>
    <xf numFmtId="165" fontId="24" fillId="0" borderId="0" xfId="0" applyNumberFormat="1" applyFont="1"/>
    <xf numFmtId="0" fontId="24" fillId="0" borderId="0" xfId="0" applyFont="1" applyAlignment="1">
      <alignment horizontal="right"/>
    </xf>
    <xf numFmtId="0" fontId="5" fillId="2" borderId="1" xfId="0" applyFont="1" applyFill="1" applyBorder="1" applyAlignment="1">
      <alignment horizontal="right"/>
    </xf>
    <xf numFmtId="3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65" fontId="7" fillId="0" borderId="1" xfId="0" applyNumberFormat="1" applyFont="1" applyBorder="1"/>
    <xf numFmtId="168" fontId="20" fillId="8" borderId="1" xfId="0" applyNumberFormat="1" applyFont="1" applyFill="1" applyBorder="1" applyAlignment="1">
      <alignment horizontal="center" vertical="center"/>
    </xf>
    <xf numFmtId="168" fontId="4" fillId="2" borderId="1" xfId="0" applyNumberFormat="1" applyFont="1" applyFill="1" applyBorder="1" applyAlignment="1">
      <alignment horizontal="center" vertical="center"/>
    </xf>
    <xf numFmtId="168" fontId="7" fillId="0" borderId="2" xfId="0" applyNumberFormat="1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0" fillId="0" borderId="31" xfId="0" applyFont="1" applyBorder="1"/>
    <xf numFmtId="44" fontId="10" fillId="0" borderId="31" xfId="0" applyNumberFormat="1" applyFont="1" applyBorder="1"/>
    <xf numFmtId="0" fontId="10" fillId="0" borderId="3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44" fontId="10" fillId="0" borderId="1" xfId="0" applyNumberFormat="1" applyFont="1" applyBorder="1" applyAlignment="1">
      <alignment horizontal="left"/>
    </xf>
    <xf numFmtId="43" fontId="10" fillId="0" borderId="1" xfId="3" applyFont="1" applyBorder="1" applyAlignment="1">
      <alignment horizontal="left" vertical="center"/>
    </xf>
    <xf numFmtId="0" fontId="10" fillId="0" borderId="9" xfId="0" applyFont="1" applyBorder="1" applyAlignment="1">
      <alignment horizontal="right" vertical="center"/>
    </xf>
    <xf numFmtId="165" fontId="5" fillId="2" borderId="9" xfId="0" applyNumberFormat="1" applyFont="1" applyFill="1" applyBorder="1" applyAlignment="1">
      <alignment vertical="center"/>
    </xf>
    <xf numFmtId="0" fontId="25" fillId="10" borderId="21" xfId="0" applyFont="1" applyFill="1" applyBorder="1" applyAlignment="1">
      <alignment horizontal="center" vertical="center"/>
    </xf>
    <xf numFmtId="165" fontId="25" fillId="10" borderId="21" xfId="0" applyNumberFormat="1" applyFont="1" applyFill="1" applyBorder="1" applyAlignment="1">
      <alignment horizontal="center" vertical="center"/>
    </xf>
    <xf numFmtId="44" fontId="10" fillId="0" borderId="1" xfId="0" applyNumberFormat="1" applyFont="1" applyBorder="1" applyAlignment="1">
      <alignment horizontal="right" vertical="center"/>
    </xf>
    <xf numFmtId="16" fontId="7" fillId="0" borderId="4" xfId="0" applyNumberFormat="1" applyFont="1" applyBorder="1" applyAlignment="1">
      <alignment horizontal="center"/>
    </xf>
    <xf numFmtId="0" fontId="6" fillId="7" borderId="21" xfId="0" applyFont="1" applyFill="1" applyBorder="1"/>
    <xf numFmtId="165" fontId="5" fillId="2" borderId="21" xfId="0" applyNumberFormat="1" applyFont="1" applyFill="1" applyBorder="1" applyAlignment="1">
      <alignment horizontal="left" vertical="center"/>
    </xf>
    <xf numFmtId="165" fontId="25" fillId="10" borderId="21" xfId="0" applyNumberFormat="1" applyFont="1" applyFill="1" applyBorder="1" applyAlignment="1">
      <alignment horizontal="center" vertical="center" wrapText="1"/>
    </xf>
    <xf numFmtId="165" fontId="7" fillId="2" borderId="21" xfId="0" applyNumberFormat="1" applyFont="1" applyFill="1" applyBorder="1"/>
    <xf numFmtId="165" fontId="5" fillId="2" borderId="1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/>
    <xf numFmtId="44" fontId="26" fillId="0" borderId="0" xfId="0" applyNumberFormat="1" applyFont="1"/>
    <xf numFmtId="14" fontId="23" fillId="0" borderId="0" xfId="0" applyNumberFormat="1" applyFont="1" applyAlignment="1">
      <alignment horizontal="center"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pivotButton="1" applyBorder="1"/>
    <xf numFmtId="0" fontId="0" fillId="0" borderId="36" xfId="0" applyBorder="1"/>
    <xf numFmtId="0" fontId="0" fillId="0" borderId="35" xfId="0" applyBorder="1" applyAlignment="1">
      <alignment horizontal="left" indent="1"/>
    </xf>
    <xf numFmtId="165" fontId="0" fillId="0" borderId="34" xfId="0" applyNumberFormat="1" applyBorder="1"/>
    <xf numFmtId="165" fontId="0" fillId="0" borderId="38" xfId="0" applyNumberFormat="1" applyBorder="1"/>
    <xf numFmtId="165" fontId="0" fillId="0" borderId="35" xfId="0" applyNumberFormat="1" applyBorder="1"/>
    <xf numFmtId="165" fontId="0" fillId="0" borderId="39" xfId="0" applyNumberFormat="1" applyBorder="1"/>
    <xf numFmtId="0" fontId="10" fillId="0" borderId="34" xfId="0" pivotButton="1" applyFont="1" applyBorder="1" applyAlignment="1">
      <alignment horizontal="center"/>
    </xf>
    <xf numFmtId="165" fontId="10" fillId="0" borderId="34" xfId="0" applyNumberFormat="1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0" fontId="27" fillId="0" borderId="0" xfId="0" applyFont="1"/>
    <xf numFmtId="0" fontId="0" fillId="0" borderId="41" xfId="0" applyBorder="1" applyAlignment="1">
      <alignment horizontal="right"/>
    </xf>
    <xf numFmtId="165" fontId="0" fillId="0" borderId="41" xfId="0" applyNumberFormat="1" applyBorder="1"/>
    <xf numFmtId="165" fontId="10" fillId="0" borderId="9" xfId="0" applyNumberFormat="1" applyFont="1" applyBorder="1"/>
    <xf numFmtId="0" fontId="10" fillId="0" borderId="37" xfId="0" applyFont="1" applyBorder="1" applyAlignment="1">
      <alignment horizontal="left"/>
    </xf>
    <xf numFmtId="165" fontId="10" fillId="0" borderId="37" xfId="0" applyNumberFormat="1" applyFont="1" applyBorder="1"/>
    <xf numFmtId="165" fontId="10" fillId="0" borderId="40" xfId="0" applyNumberFormat="1" applyFont="1" applyBorder="1"/>
    <xf numFmtId="164" fontId="4" fillId="2" borderId="23" xfId="0" applyNumberFormat="1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11" fillId="5" borderId="11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0" fontId="10" fillId="0" borderId="28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11" fillId="0" borderId="1" xfId="1" applyFont="1" applyAlignment="1">
      <alignment horizontal="center"/>
    </xf>
    <xf numFmtId="0" fontId="10" fillId="0" borderId="1" xfId="1" applyFont="1" applyAlignment="1">
      <alignment horizontal="center"/>
    </xf>
    <xf numFmtId="164" fontId="0" fillId="0" borderId="26" xfId="0" applyNumberForma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6" fontId="5" fillId="2" borderId="32" xfId="0" applyNumberFormat="1" applyFont="1" applyFill="1" applyBorder="1" applyAlignment="1">
      <alignment horizontal="center" vertical="center"/>
    </xf>
    <xf numFmtId="16" fontId="5" fillId="2" borderId="33" xfId="0" applyNumberFormat="1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0" fontId="22" fillId="9" borderId="28" xfId="0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164" fontId="4" fillId="2" borderId="25" xfId="0" applyNumberFormat="1" applyFont="1" applyFill="1" applyBorder="1" applyAlignment="1">
      <alignment horizontal="center"/>
    </xf>
  </cellXfs>
  <cellStyles count="4">
    <cellStyle name="Millares" xfId="3" builtinId="3"/>
    <cellStyle name="Normal" xfId="0" builtinId="0"/>
    <cellStyle name="Normal 2" xfId="1" xr:uid="{AF29308B-C0B4-4CEF-A1F2-E514C36E07A8}"/>
    <cellStyle name="Porcentaje" xfId="2" builtinId="5"/>
  </cellStyles>
  <dxfs count="100"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rgb="FF000000"/>
          <bgColor auto="1"/>
        </patternFill>
      </fill>
      <border diagonalUp="0" diagonalDown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A8D08D"/>
        </bottom>
      </border>
    </dxf>
    <dxf>
      <font>
        <sz val="12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#,##0_ ;[Red]\-#,##0\ 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#,##0_ ;[Red]\-#,##0\ 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rgb="FFA8D08D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RESUMEN-style" pivot="0" count="2" xr9:uid="{00000000-0011-0000-FFFF-FFFF00000000}">
      <tableStyleElement type="firstRowStripe" dxfId="99"/>
      <tableStyleElement type="secondRowStripe" dxfId="98"/>
    </tableStyle>
  </tableStyles>
  <colors>
    <mruColors>
      <color rgb="FF0000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108858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53535822-DF9C-4CBB-87E2-DAFB7D6C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733425</xdr:colOff>
      <xdr:row>1</xdr:row>
      <xdr:rowOff>47625</xdr:rowOff>
    </xdr:from>
    <xdr:to>
      <xdr:col>8</xdr:col>
      <xdr:colOff>314325</xdr:colOff>
      <xdr:row>3</xdr:row>
      <xdr:rowOff>185371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38996B-85E2-1272-585C-D6EF1AFC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8448675" y="23812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108858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816176C0-5B88-4796-B1BF-9D17D89CD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466725</xdr:colOff>
      <xdr:row>0</xdr:row>
      <xdr:rowOff>180975</xdr:rowOff>
    </xdr:from>
    <xdr:to>
      <xdr:col>8</xdr:col>
      <xdr:colOff>1143000</xdr:colOff>
      <xdr:row>3</xdr:row>
      <xdr:rowOff>128221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B01F90-6AF2-4A1F-AC6F-F8FBD170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9277350" y="18097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146958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0C03186C-858A-4303-B25D-82C385617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733425</xdr:colOff>
      <xdr:row>1</xdr:row>
      <xdr:rowOff>47625</xdr:rowOff>
    </xdr:from>
    <xdr:to>
      <xdr:col>8</xdr:col>
      <xdr:colOff>314325</xdr:colOff>
      <xdr:row>3</xdr:row>
      <xdr:rowOff>185371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B02264-B684-4C05-8824-563A1EF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8448675" y="23812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108858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8CEBD1F2-8BFD-40FF-BEC9-BAF486CD1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733425</xdr:colOff>
      <xdr:row>1</xdr:row>
      <xdr:rowOff>47625</xdr:rowOff>
    </xdr:from>
    <xdr:to>
      <xdr:col>8</xdr:col>
      <xdr:colOff>314325</xdr:colOff>
      <xdr:row>3</xdr:row>
      <xdr:rowOff>185371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0E5DB4-A04C-413D-8339-C2FB93E5E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8448675" y="23812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_Lap" refreshedDate="45656.53625474537" createdVersion="8" refreshedVersion="8" minRefreshableVersion="3" recordCount="191" xr:uid="{71D8A1B0-025D-492C-BBF6-4C8D941535CE}">
  <cacheSource type="worksheet">
    <worksheetSource name="DIAR_245"/>
  </cacheSource>
  <cacheFields count="8">
    <cacheField name="0.00" numFmtId="3">
      <sharedItems containsSemiMixedTypes="0" containsString="0" containsNumber="1" containsInteger="1" minValue="1" maxValue="191"/>
    </cacheField>
    <cacheField name="FEC_MOV" numFmtId="166">
      <sharedItems containsNonDate="0" containsDate="1" containsString="0" containsBlank="1" minDate="2023-01-20T00:00:00" maxDate="2024-05-07T00:00:00"/>
    </cacheField>
    <cacheField name="MES" numFmtId="0">
      <sharedItems containsBlank="1" count="25">
        <s v="2301_ENE"/>
        <s v="2302_FEB"/>
        <s v="2303_MAR"/>
        <s v="2304_ABR"/>
        <s v="2305_MAY"/>
        <s v="2306_JUN"/>
        <s v="2307_JUL"/>
        <s v="2308_AGO"/>
        <s v="2401_ENE"/>
        <s v="2402_FEB"/>
        <s v="2403_MAR"/>
        <s v="2404_ABR"/>
        <s v="2405_MAY"/>
        <m/>
        <s v="01_ENE_23" u="1"/>
        <s v="02_FEB_23" u="1"/>
        <s v="03_MAR_23" u="1"/>
        <s v="04_ABR_23" u="1"/>
        <s v="05_MAY_23" u="1"/>
        <s v="06_JUN_23" u="1"/>
        <s v="07_JUL_23" u="1"/>
        <s v="08_AGO_23" u="1"/>
        <s v="01_ENE_24" u="1"/>
        <s v="03_MAR_24" u="1"/>
        <s v="04_ABR_24" u="1"/>
      </sharedItems>
    </cacheField>
    <cacheField name="CATEGORIA" numFmtId="0">
      <sharedItems containsBlank="1" count="6">
        <s v="0_COLUMNAS"/>
        <s v="3_APORTACION"/>
        <s v="2_RECICLADO"/>
        <s v="1_WC"/>
        <s v="4_GASTOS"/>
        <m/>
      </sharedItems>
    </cacheField>
    <cacheField name="CONCEPTO" numFmtId="0">
      <sharedItems containsBlank="1"/>
    </cacheField>
    <cacheField name="INGRESO" numFmtId="165">
      <sharedItems containsString="0" containsBlank="1" containsNumber="1" minValue="0.5" maxValue="12500"/>
    </cacheField>
    <cacheField name="EGRESO" numFmtId="165">
      <sharedItems containsString="0" containsBlank="1" containsNumber="1" containsInteger="1" minValue="-5000" maxValue="-60"/>
    </cacheField>
    <cacheField name="NOTAS" numFmtId="16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_Lap" refreshedDate="45656.536255092593" createdVersion="8" refreshedVersion="8" minRefreshableVersion="3" recordCount="190" xr:uid="{39E2FACE-E891-49BD-8DCB-7F57620B3CCA}">
  <cacheSource type="worksheet">
    <worksheetSource name="Flujo_SJTC"/>
  </cacheSource>
  <cacheFields count="8">
    <cacheField name="0.00" numFmtId="3">
      <sharedItems containsSemiMixedTypes="0" containsString="0" containsNumber="1" containsInteger="1" minValue="1" maxValue="190"/>
    </cacheField>
    <cacheField name="FEC_MOV" numFmtId="166">
      <sharedItems containsNonDate="0" containsDate="1" containsString="0" containsBlank="1" minDate="2023-02-02T00:00:00" maxDate="2024-01-01T00:00:00"/>
    </cacheField>
    <cacheField name="MES" numFmtId="0">
      <sharedItems containsBlank="1" count="12">
        <s v="02_FEBRERO"/>
        <s v="03_MARZO"/>
        <s v="04_ABRIL"/>
        <s v="05_MAYO"/>
        <s v="06_JUNIO"/>
        <s v="07_JULIO"/>
        <s v="08_AGOSTO"/>
        <s v="09_SEPTIEMBRE"/>
        <s v="10_OCTUBRE"/>
        <s v="11_NOVIEMBRE"/>
        <s v="12_DICIEMBRE"/>
        <m/>
      </sharedItems>
    </cacheField>
    <cacheField name="CATEGORIA" numFmtId="0">
      <sharedItems containsBlank="1" count="7">
        <s v="2_INGRESO"/>
        <s v="3_EGRESO"/>
        <s v="0_APORTACION"/>
        <s v="1_USO_AP"/>
        <s v="4_VENTA"/>
        <s v="5_COMPRA"/>
        <m/>
      </sharedItems>
    </cacheField>
    <cacheField name="CONCEPTO" numFmtId="0">
      <sharedItems containsBlank="1"/>
    </cacheField>
    <cacheField name="INGRESO" numFmtId="0">
      <sharedItems containsString="0" containsBlank="1" containsNumber="1" minValue="0" maxValue="3614"/>
    </cacheField>
    <cacheField name="EGRESO" numFmtId="165">
      <sharedItems containsString="0" containsBlank="1" containsNumber="1" minValue="-3640.5" maxValue="-5"/>
    </cacheField>
    <cacheField name="NOTAS" numFmtId="165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_Lap" refreshedDate="45677.442697222221" createdVersion="8" refreshedVersion="8" minRefreshableVersion="3" recordCount="285" xr:uid="{9B8B8BB4-4762-4C53-B2AC-187EBB4726D9}">
  <cacheSource type="worksheet">
    <worksheetSource name="DIAR_24"/>
  </cacheSource>
  <cacheFields count="8">
    <cacheField name="0.00" numFmtId="3">
      <sharedItems containsSemiMixedTypes="0" containsString="0" containsNumber="1" containsInteger="1" minValue="1" maxValue="285"/>
    </cacheField>
    <cacheField name="FEC_MOV" numFmtId="166">
      <sharedItems containsNonDate="0" containsDate="1" containsString="0" containsBlank="1" minDate="2023-12-31T00:00:00" maxDate="2025-01-01T00:00:00"/>
    </cacheField>
    <cacheField name="MES" numFmtId="0">
      <sharedItems containsBlank="1" count="13">
        <s v="01_ENERO"/>
        <s v="02_FEBRERO"/>
        <s v="03_MARZO"/>
        <s v="06_JUNIO"/>
        <s v="04_ABRIL"/>
        <s v="05_MAYO"/>
        <s v="07_JULIO"/>
        <s v="08_AGOSTO"/>
        <s v="09_SEPTI"/>
        <s v="10_OCTUBRE"/>
        <s v="11_NOVIEMBRE"/>
        <s v="12_DICIEMBRE"/>
        <m/>
      </sharedItems>
    </cacheField>
    <cacheField name="CATEGORIA" numFmtId="0">
      <sharedItems containsBlank="1" count="7">
        <s v="0_APORTACION"/>
        <s v="2_INGRESO"/>
        <s v="4_VENTA"/>
        <s v="5_COMPRA"/>
        <s v="3_EGRESO"/>
        <s v="1_USO_AP"/>
        <m/>
      </sharedItems>
    </cacheField>
    <cacheField name="CONCEPTO" numFmtId="0">
      <sharedItems containsBlank="1"/>
    </cacheField>
    <cacheField name="INGRESO" numFmtId="165">
      <sharedItems containsString="0" containsBlank="1" containsNumber="1" minValue="0" maxValue="1940"/>
    </cacheField>
    <cacheField name="EGRESO" numFmtId="165">
      <sharedItems containsString="0" containsBlank="1" containsNumber="1" minValue="-3700" maxValue="-2"/>
    </cacheField>
    <cacheField name="NOTAS" numFmtId="165">
      <sharedItems containsBlank="1" count="47">
        <s v="APORTACIONES"/>
        <s v="C. PALABRA"/>
        <m/>
        <s v="CULTO"/>
        <s v="MANTENIMIENTO"/>
        <s v="MISAS"/>
        <s v="AL PADRE LUIS"/>
        <s v="INV. 112"/>
        <s v="INV. 100"/>
        <s v="BANCAS"/>
        <s v="OTROS"/>
        <s v="INV. 62"/>
        <s v="INV. 60"/>
        <s v="INV. 63"/>
        <s v="INV.59"/>
        <s v="INV. 58"/>
        <s v="INV - 0"/>
        <s v="INV-AG-112"/>
        <s v="INV-SA-100"/>
        <s v="INV-AG-110"/>
        <s v="UNA ANITA, PADRE, CARLOS."/>
        <s v="CARLOS, ISABEL"/>
        <s v="INV_51"/>
        <s v="1 ISABEL, 1 CARLOS np."/>
        <s v="RESERVA CULTO"/>
        <s v="Cada pieza sale en $ 2.86"/>
        <s v="101 Pzas "/>
        <s v="FIESTA. S.J.T."/>
        <s v="C/U $ 3.33"/>
        <s v="VENTA DE AGUA Y SAL" u="1"/>
        <s v="Se dejo a Dinora." u="1"/>
        <s v="40 INTENCIONES" u="1"/>
        <s v="Se le entrego el Domingo por que no estuvo el sabado" u="1"/>
        <s v="CELEBRO P. CESAR AUGUSTO ARANJO, CONFESO P. SAJI VARGHESE." u="1"/>
        <s v="CANDADO 158, LLAVE 20, LLAVERO 6" u="1"/>
        <s v="ERROR EN PRECIO PROXIMAS SALEN EN $ 3,200.00" u="1"/>
        <s v="1.- PARA MI OTRA LUCIO." u="1"/>
        <s v="SE TOMO TODO EL DINERO." u="1"/>
        <s v="TRANS. AMIGA MA. INES" u="1"/>
        <s v="MARIA INES." u="1"/>
        <s v="4027-6658-4634-7145 Hugo Antonio Macias de Leon" u="1"/>
        <s v="COPITEL, MIREYA." u="1"/>
        <s v="JUEVES, SABADO Y DOMINGO" u="1"/>
        <s v="DON JESUS." u="1"/>
        <s v="SRA. AMELIA." u="1"/>
        <s v="SRA. TIENDA." u="1"/>
        <s v="YOLAND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_Lap" refreshedDate="45705.553081365739" createdVersion="8" refreshedVersion="8" minRefreshableVersion="3" recordCount="285" xr:uid="{884B390B-41E5-4CC5-AF84-3189668BACBC}">
  <cacheSource type="worksheet">
    <worksheetSource name="DIAR_247"/>
  </cacheSource>
  <cacheFields count="8">
    <cacheField name="0.00" numFmtId="3">
      <sharedItems containsSemiMixedTypes="0" containsString="0" containsNumber="1" containsInteger="1" minValue="1" maxValue="285"/>
    </cacheField>
    <cacheField name="FEC_MOV" numFmtId="166">
      <sharedItems containsNonDate="0" containsDate="1" containsString="0" containsBlank="1" minDate="2025-01-02T00:00:00" maxDate="2025-02-18T00:00:00"/>
    </cacheField>
    <cacheField name="MES" numFmtId="0">
      <sharedItems containsBlank="1" count="3">
        <s v="01_ENE"/>
        <s v="02_FEB"/>
        <m/>
      </sharedItems>
    </cacheField>
    <cacheField name="CATEGORIA" numFmtId="0">
      <sharedItems containsBlank="1" count="2">
        <s v="0_APORTACION"/>
        <m/>
      </sharedItems>
    </cacheField>
    <cacheField name="CONCEPTO" numFmtId="0">
      <sharedItems containsBlank="1"/>
    </cacheField>
    <cacheField name="INGRESO" numFmtId="165">
      <sharedItems containsString="0" containsBlank="1" containsNumber="1" minValue="0" maxValue="4459"/>
    </cacheField>
    <cacheField name="EGRESO" numFmtId="165">
      <sharedItems containsNonDate="0" containsString="0" containsBlank="1"/>
    </cacheField>
    <cacheField name="NOTAS" numFmtId="165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1"/>
    <d v="2023-01-20T00:00:00"/>
    <x v="0"/>
    <x v="0"/>
    <s v="SARA GONZALEZ."/>
    <n v="12500"/>
    <m/>
    <m/>
  </r>
  <r>
    <n v="2"/>
    <d v="2023-02-02T00:00:00"/>
    <x v="1"/>
    <x v="0"/>
    <s v="GLORIA ACOSTA."/>
    <n v="400"/>
    <m/>
    <m/>
  </r>
  <r>
    <n v="3"/>
    <d v="2023-02-02T00:00:00"/>
    <x v="1"/>
    <x v="0"/>
    <s v="YOLANDA I. CUEVA."/>
    <n v="1000"/>
    <m/>
    <m/>
  </r>
  <r>
    <n v="4"/>
    <d v="2023-02-07T00:00:00"/>
    <x v="1"/>
    <x v="0"/>
    <s v="CEPO SAN JUDAS TADEO."/>
    <n v="1400"/>
    <m/>
    <m/>
  </r>
  <r>
    <n v="5"/>
    <d v="2023-02-12T00:00:00"/>
    <x v="1"/>
    <x v="0"/>
    <s v="SEGUNDA COLECTA"/>
    <n v="900"/>
    <m/>
    <m/>
  </r>
  <r>
    <n v="6"/>
    <d v="2023-02-26T00:00:00"/>
    <x v="1"/>
    <x v="0"/>
    <s v="SEGUNDA COLECTA"/>
    <n v="1000"/>
    <m/>
    <m/>
  </r>
  <r>
    <n v="7"/>
    <d v="2023-03-24T00:00:00"/>
    <x v="2"/>
    <x v="0"/>
    <s v="MINI SUPER LUCY."/>
    <n v="5000"/>
    <m/>
    <m/>
  </r>
  <r>
    <n v="8"/>
    <d v="2023-03-26T00:00:00"/>
    <x v="2"/>
    <x v="0"/>
    <s v="MA. ELENA HERNANDEZ."/>
    <n v="500"/>
    <m/>
    <m/>
  </r>
  <r>
    <n v="9"/>
    <d v="2023-04-23T00:00:00"/>
    <x v="3"/>
    <x v="0"/>
    <s v="LETY Y CEPO SAN JUDAS TADEO"/>
    <n v="2000"/>
    <m/>
    <m/>
  </r>
  <r>
    <n v="10"/>
    <d v="2023-05-14T00:00:00"/>
    <x v="4"/>
    <x v="0"/>
    <s v="CEPO SAN JUDAS TADEO."/>
    <n v="500"/>
    <m/>
    <m/>
  </r>
  <r>
    <n v="11"/>
    <d v="2023-05-26T00:00:00"/>
    <x v="4"/>
    <x v="0"/>
    <s v="BETO - TORTILLERIA EL ROSARIO."/>
    <n v="5000"/>
    <m/>
    <m/>
  </r>
  <r>
    <n v="12"/>
    <d v="2023-06-11T00:00:00"/>
    <x v="5"/>
    <x v="0"/>
    <s v="SRA. SOCORRO RAZON."/>
    <n v="500"/>
    <m/>
    <m/>
  </r>
  <r>
    <n v="13"/>
    <d v="2023-06-29T00:00:00"/>
    <x v="5"/>
    <x v="0"/>
    <s v="CEPO SAN JUDAS TADEO."/>
    <n v="1500"/>
    <m/>
    <m/>
  </r>
  <r>
    <n v="14"/>
    <d v="2023-07-02T00:00:00"/>
    <x v="6"/>
    <x v="0"/>
    <s v="ANONIMO."/>
    <n v="2500"/>
    <m/>
    <m/>
  </r>
  <r>
    <n v="15"/>
    <d v="2023-07-02T00:00:00"/>
    <x v="6"/>
    <x v="0"/>
    <s v="ANONIMO."/>
    <n v="1000"/>
    <m/>
    <m/>
  </r>
  <r>
    <n v="16"/>
    <d v="2023-07-06T00:00:00"/>
    <x v="6"/>
    <x v="0"/>
    <s v="SARA GONZALEZ."/>
    <n v="5000"/>
    <m/>
    <m/>
  </r>
  <r>
    <n v="17"/>
    <d v="2023-08-06T00:00:00"/>
    <x v="7"/>
    <x v="0"/>
    <s v="CEPO SAN JUDAS TADEO."/>
    <n v="400"/>
    <m/>
    <m/>
  </r>
  <r>
    <n v="18"/>
    <d v="2023-08-06T00:00:00"/>
    <x v="7"/>
    <x v="0"/>
    <s v="SRA. LETY."/>
    <n v="100"/>
    <m/>
    <m/>
  </r>
  <r>
    <n v="19"/>
    <d v="2024-01-01T00:00:00"/>
    <x v="8"/>
    <x v="1"/>
    <s v="SALDO DEL AÑO PASADO."/>
    <n v="10948"/>
    <m/>
    <m/>
  </r>
  <r>
    <n v="20"/>
    <d v="2024-01-02T00:00:00"/>
    <x v="9"/>
    <x v="2"/>
    <s v="VENTA CARTON, PAPEL Y PET."/>
    <n v="32"/>
    <m/>
    <m/>
  </r>
  <r>
    <n v="21"/>
    <d v="2024-01-03T00:00:00"/>
    <x v="8"/>
    <x v="2"/>
    <s v="VENTA CARTON, PAPEL Y PET."/>
    <n v="318"/>
    <m/>
    <m/>
  </r>
  <r>
    <n v="22"/>
    <d v="2024-01-05T00:00:00"/>
    <x v="8"/>
    <x v="0"/>
    <s v="SRA. SOCORRO RAZON."/>
    <n v="5000"/>
    <m/>
    <m/>
  </r>
  <r>
    <n v="23"/>
    <d v="2024-01-05T00:00:00"/>
    <x v="8"/>
    <x v="3"/>
    <s v="SERVICIO WC TIAGUISTAS."/>
    <n v="284"/>
    <m/>
    <m/>
  </r>
  <r>
    <n v="24"/>
    <d v="2024-01-05T00:00:00"/>
    <x v="8"/>
    <x v="2"/>
    <s v="VENTA CARTON, PAPEL Y PET."/>
    <n v="30"/>
    <m/>
    <m/>
  </r>
  <r>
    <n v="25"/>
    <d v="2024-01-07T00:00:00"/>
    <x v="8"/>
    <x v="1"/>
    <s v="ANONIMO."/>
    <n v="500"/>
    <m/>
    <m/>
  </r>
  <r>
    <n v="26"/>
    <d v="2024-01-07T00:00:00"/>
    <x v="8"/>
    <x v="1"/>
    <s v="SRA. LETY."/>
    <n v="200"/>
    <m/>
    <m/>
  </r>
  <r>
    <n v="27"/>
    <d v="2024-01-07T00:00:00"/>
    <x v="8"/>
    <x v="1"/>
    <s v="SRA. MA. CARMEN CAMACHO."/>
    <n v="1200"/>
    <m/>
    <m/>
  </r>
  <r>
    <n v="28"/>
    <d v="2024-01-08T00:00:00"/>
    <x v="8"/>
    <x v="2"/>
    <s v="VENTA CARTON, PAPEL Y PET."/>
    <n v="250"/>
    <m/>
    <m/>
  </r>
  <r>
    <n v="29"/>
    <d v="2024-01-12T00:00:00"/>
    <x v="8"/>
    <x v="3"/>
    <s v="SERVICIO WC TIAGUISTAS."/>
    <n v="316"/>
    <m/>
    <m/>
  </r>
  <r>
    <n v="30"/>
    <d v="2024-01-12T00:00:00"/>
    <x v="8"/>
    <x v="1"/>
    <s v="ALCANCIA DE PONCIANO."/>
    <n v="214.5"/>
    <m/>
    <m/>
  </r>
  <r>
    <n v="31"/>
    <d v="2024-01-12T00:00:00"/>
    <x v="8"/>
    <x v="1"/>
    <s v="REDONDEO LUCIO RAMOS."/>
    <n v="0.5"/>
    <m/>
    <m/>
  </r>
  <r>
    <n v="32"/>
    <d v="2024-01-14T00:00:00"/>
    <x v="8"/>
    <x v="2"/>
    <s v="VENTA CARTON, PAPEL Y PET."/>
    <n v="60"/>
    <m/>
    <m/>
  </r>
  <r>
    <n v="33"/>
    <d v="2024-01-14T00:00:00"/>
    <x v="8"/>
    <x v="1"/>
    <s v="SR. OLEGARIO."/>
    <n v="700"/>
    <m/>
    <m/>
  </r>
  <r>
    <n v="34"/>
    <d v="2024-01-14T00:00:00"/>
    <x v="8"/>
    <x v="1"/>
    <s v="SRA. LETY."/>
    <n v="200"/>
    <m/>
    <m/>
  </r>
  <r>
    <n v="35"/>
    <d v="2024-01-19T00:00:00"/>
    <x v="8"/>
    <x v="3"/>
    <s v="SERVICIO WC TIAGUISTAS."/>
    <n v="233"/>
    <m/>
    <m/>
  </r>
  <r>
    <n v="36"/>
    <d v="2024-01-20T00:00:00"/>
    <x v="8"/>
    <x v="2"/>
    <s v="VENTA CARTON, PAPEL Y PET."/>
    <n v="340"/>
    <m/>
    <m/>
  </r>
  <r>
    <n v="37"/>
    <d v="2024-01-21T00:00:00"/>
    <x v="8"/>
    <x v="1"/>
    <s v="SR. OLEGARIO."/>
    <n v="100"/>
    <m/>
    <m/>
  </r>
  <r>
    <n v="38"/>
    <d v="2024-01-21T00:00:00"/>
    <x v="8"/>
    <x v="1"/>
    <s v="SRA. LETY."/>
    <n v="200"/>
    <m/>
    <m/>
  </r>
  <r>
    <n v="39"/>
    <d v="2024-01-25T00:00:00"/>
    <x v="8"/>
    <x v="2"/>
    <s v="VENTA CARTON, PAPEL Y PET."/>
    <n v="270"/>
    <m/>
    <m/>
  </r>
  <r>
    <n v="40"/>
    <d v="2024-01-25T00:00:00"/>
    <x v="8"/>
    <x v="1"/>
    <s v="SRA. SOCORRO CARDONA."/>
    <n v="500"/>
    <m/>
    <m/>
  </r>
  <r>
    <n v="41"/>
    <d v="2024-01-26T00:00:00"/>
    <x v="8"/>
    <x v="3"/>
    <s v="SERVICIO WC TIAGUISTAS."/>
    <n v="233"/>
    <m/>
    <m/>
  </r>
  <r>
    <n v="42"/>
    <d v="2024-01-28T00:00:00"/>
    <x v="8"/>
    <x v="1"/>
    <s v="SRA. LETY."/>
    <n v="200"/>
    <m/>
    <m/>
  </r>
  <r>
    <n v="43"/>
    <d v="2024-02-02T00:00:00"/>
    <x v="9"/>
    <x v="3"/>
    <s v="SERVICIO WC TIAGUISTAS."/>
    <n v="216"/>
    <m/>
    <m/>
  </r>
  <r>
    <n v="44"/>
    <d v="2024-02-04T00:00:00"/>
    <x v="9"/>
    <x v="1"/>
    <s v="ANONIMO."/>
    <n v="1000"/>
    <m/>
    <m/>
  </r>
  <r>
    <n v="45"/>
    <d v="2024-02-04T00:00:00"/>
    <x v="9"/>
    <x v="1"/>
    <s v="PADRE LUIS, ANONIMO."/>
    <n v="162"/>
    <m/>
    <m/>
  </r>
  <r>
    <n v="46"/>
    <d v="2024-02-04T00:00:00"/>
    <x v="9"/>
    <x v="1"/>
    <s v="RIFA"/>
    <n v="600"/>
    <m/>
    <m/>
  </r>
  <r>
    <n v="47"/>
    <d v="2024-02-04T00:00:00"/>
    <x v="9"/>
    <x v="1"/>
    <s v="SR. OLEGARIO."/>
    <n v="100"/>
    <m/>
    <m/>
  </r>
  <r>
    <n v="48"/>
    <d v="2024-02-04T00:00:00"/>
    <x v="9"/>
    <x v="1"/>
    <s v="SRA. ALEJANDRA DE PAZ"/>
    <n v="200"/>
    <m/>
    <m/>
  </r>
  <r>
    <n v="49"/>
    <d v="2024-02-04T00:00:00"/>
    <x v="9"/>
    <x v="1"/>
    <s v="SRA. LETY."/>
    <n v="200"/>
    <m/>
    <m/>
  </r>
  <r>
    <n v="50"/>
    <d v="2024-02-09T00:00:00"/>
    <x v="9"/>
    <x v="3"/>
    <s v="SERVICIO WC TIAGUISTAS."/>
    <n v="200"/>
    <m/>
    <m/>
  </r>
  <r>
    <n v="51"/>
    <d v="2024-02-10T00:00:00"/>
    <x v="9"/>
    <x v="4"/>
    <s v="1 SEPARADORES, 1 LLANA, 2 CINTAS AISLANTES."/>
    <m/>
    <n v="-296"/>
    <m/>
  </r>
  <r>
    <n v="52"/>
    <d v="2024-02-10T00:00:00"/>
    <x v="9"/>
    <x v="4"/>
    <s v="4 SACOS JUNTEADOR, 1 CEMENTO 25KG, 2 CANDADOS."/>
    <m/>
    <n v="-966"/>
    <m/>
  </r>
  <r>
    <n v="53"/>
    <d v="2024-02-10T00:00:00"/>
    <x v="9"/>
    <x v="4"/>
    <s v="MANO DE OBRA 14 MT2  COLOCAR Y JUNTEAR PISO."/>
    <m/>
    <n v="-1220"/>
    <m/>
  </r>
  <r>
    <n v="54"/>
    <d v="2024-02-11T00:00:00"/>
    <x v="9"/>
    <x v="1"/>
    <s v="ANONIMO."/>
    <n v="50"/>
    <m/>
    <m/>
  </r>
  <r>
    <n v="55"/>
    <d v="2024-02-11T00:00:00"/>
    <x v="9"/>
    <x v="1"/>
    <s v="RIFA MORE"/>
    <n v="611"/>
    <m/>
    <m/>
  </r>
  <r>
    <n v="56"/>
    <d v="2024-02-11T00:00:00"/>
    <x v="9"/>
    <x v="1"/>
    <s v="SRA. LETY."/>
    <n v="200"/>
    <m/>
    <m/>
  </r>
  <r>
    <n v="57"/>
    <d v="2024-02-12T00:00:00"/>
    <x v="9"/>
    <x v="2"/>
    <s v="VENTA CARTON, PAPEL Y PET."/>
    <n v="250"/>
    <m/>
    <m/>
  </r>
  <r>
    <n v="58"/>
    <d v="2024-02-12T00:00:00"/>
    <x v="9"/>
    <x v="1"/>
    <s v="PADRE LUIS, ANONIMO."/>
    <n v="2000"/>
    <m/>
    <m/>
  </r>
  <r>
    <n v="59"/>
    <d v="2024-02-14T00:00:00"/>
    <x v="9"/>
    <x v="1"/>
    <s v="ANONIMO."/>
    <n v="500"/>
    <m/>
    <m/>
  </r>
  <r>
    <n v="60"/>
    <d v="2024-02-14T00:00:00"/>
    <x v="9"/>
    <x v="1"/>
    <s v="MAESTRA.SILVIA."/>
    <n v="1000"/>
    <m/>
    <m/>
  </r>
  <r>
    <n v="61"/>
    <d v="2024-02-16T00:00:00"/>
    <x v="9"/>
    <x v="3"/>
    <s v="SERVICIO WC TIAGUISTAS."/>
    <n v="193"/>
    <m/>
    <m/>
  </r>
  <r>
    <n v="62"/>
    <d v="2024-02-17T00:00:00"/>
    <x v="9"/>
    <x v="4"/>
    <s v="COLOCAR PISO 22 MT2."/>
    <m/>
    <n v="-1960"/>
    <m/>
  </r>
  <r>
    <n v="63"/>
    <d v="2024-02-17T00:00:00"/>
    <x v="9"/>
    <x v="4"/>
    <s v="ZOCLO 53.5 MT2"/>
    <m/>
    <n v="-2675"/>
    <m/>
  </r>
  <r>
    <n v="64"/>
    <d v="2024-02-18T00:00:00"/>
    <x v="9"/>
    <x v="1"/>
    <s v="SR. OLEGARIO."/>
    <n v="200"/>
    <m/>
    <m/>
  </r>
  <r>
    <n v="65"/>
    <d v="2024-02-18T00:00:00"/>
    <x v="9"/>
    <x v="1"/>
    <s v="SRA. LETY."/>
    <n v="200"/>
    <m/>
    <m/>
  </r>
  <r>
    <n v="66"/>
    <d v="2024-02-18T00:00:00"/>
    <x v="9"/>
    <x v="4"/>
    <s v="1 JUNTEADOR"/>
    <m/>
    <n v="-128"/>
    <m/>
  </r>
  <r>
    <n v="67"/>
    <d v="2024-02-18T00:00:00"/>
    <x v="9"/>
    <x v="4"/>
    <s v="1 PANEL W3&quot; 2.40 x 1.2 Y 2 RAT FREE"/>
    <m/>
    <n v="-900"/>
    <m/>
  </r>
  <r>
    <n v="68"/>
    <d v="2024-02-23T00:00:00"/>
    <x v="9"/>
    <x v="3"/>
    <s v="SERVICIO WC TIAGUISTAS."/>
    <n v="185"/>
    <m/>
    <m/>
  </r>
  <r>
    <n v="69"/>
    <d v="2024-02-23T00:00:00"/>
    <x v="9"/>
    <x v="2"/>
    <s v="VENTA CARTON, PAPEL Y PET."/>
    <n v="175"/>
    <m/>
    <m/>
  </r>
  <r>
    <n v="70"/>
    <d v="2024-02-23T00:00:00"/>
    <x v="9"/>
    <x v="4"/>
    <s v="1 FLEXOMETRO"/>
    <m/>
    <n v="-115"/>
    <m/>
  </r>
  <r>
    <n v="71"/>
    <d v="2024-02-23T00:00:00"/>
    <x v="9"/>
    <x v="4"/>
    <s v="1 SACO DE CEMENTO."/>
    <m/>
    <n v="-245"/>
    <m/>
  </r>
  <r>
    <n v="72"/>
    <d v="2024-02-23T00:00:00"/>
    <x v="9"/>
    <x v="4"/>
    <s v="2 MULTIPLASTI"/>
    <m/>
    <n v="-490"/>
    <m/>
  </r>
  <r>
    <n v="73"/>
    <d v="2024-02-25T00:00:00"/>
    <x v="9"/>
    <x v="1"/>
    <s v="GELATINAS VENTA"/>
    <n v="265"/>
    <m/>
    <m/>
  </r>
  <r>
    <n v="74"/>
    <d v="2024-02-25T00:00:00"/>
    <x v="9"/>
    <x v="1"/>
    <s v="SR. OLEGARIO."/>
    <n v="100"/>
    <m/>
    <m/>
  </r>
  <r>
    <n v="75"/>
    <d v="2024-02-25T00:00:00"/>
    <x v="9"/>
    <x v="1"/>
    <s v="SRA. LETY."/>
    <n v="200"/>
    <m/>
    <m/>
  </r>
  <r>
    <n v="76"/>
    <d v="2024-02-26T00:00:00"/>
    <x v="9"/>
    <x v="2"/>
    <s v="VENTA CARTON, PAPEL Y PET."/>
    <n v="286"/>
    <m/>
    <m/>
  </r>
  <r>
    <n v="77"/>
    <d v="2024-02-27T00:00:00"/>
    <x v="9"/>
    <x v="4"/>
    <s v="43 MT2 ENJARRE BAÑOS HOMBRES."/>
    <m/>
    <n v="-3440"/>
    <m/>
  </r>
  <r>
    <n v="78"/>
    <d v="2024-02-29T00:00:00"/>
    <x v="9"/>
    <x v="1"/>
    <s v="SRA. ISABEL"/>
    <n v="400"/>
    <m/>
    <m/>
  </r>
  <r>
    <n v="79"/>
    <d v="2024-03-01T00:00:00"/>
    <x v="10"/>
    <x v="3"/>
    <s v="SERVICIO WC TIAGUISTAS."/>
    <n v="193"/>
    <m/>
    <m/>
  </r>
  <r>
    <n v="80"/>
    <d v="2024-03-03T00:00:00"/>
    <x v="10"/>
    <x v="1"/>
    <s v="GELATINAS VENTA"/>
    <n v="187"/>
    <m/>
    <m/>
  </r>
  <r>
    <n v="81"/>
    <d v="2024-03-03T00:00:00"/>
    <x v="10"/>
    <x v="1"/>
    <s v="SRA. CHELA"/>
    <n v="500"/>
    <m/>
    <m/>
  </r>
  <r>
    <n v="82"/>
    <d v="2024-03-03T00:00:00"/>
    <x v="10"/>
    <x v="1"/>
    <s v="SRA. LETY."/>
    <n v="200"/>
    <m/>
    <m/>
  </r>
  <r>
    <n v="83"/>
    <d v="2024-03-03T00:00:00"/>
    <x v="10"/>
    <x v="1"/>
    <s v="SRITA. MARISOL."/>
    <n v="500"/>
    <m/>
    <m/>
  </r>
  <r>
    <n v="84"/>
    <d v="2024-03-07T00:00:00"/>
    <x v="10"/>
    <x v="4"/>
    <s v="ENJARRE 38.50 MT2"/>
    <m/>
    <n v="-3050"/>
    <m/>
  </r>
  <r>
    <n v="85"/>
    <d v="2024-03-07T00:00:00"/>
    <x v="10"/>
    <x v="4"/>
    <s v="PERFIL ALUMINIO 3 BISAGRAS 1 JALADERA."/>
    <m/>
    <n v="-384"/>
    <m/>
  </r>
  <r>
    <n v="86"/>
    <d v="2024-03-08T00:00:00"/>
    <x v="10"/>
    <x v="3"/>
    <s v="SERVICIO WC TIAGUISTAS."/>
    <n v="140"/>
    <m/>
    <m/>
  </r>
  <r>
    <n v="87"/>
    <d v="2024-03-08T00:00:00"/>
    <x v="10"/>
    <x v="2"/>
    <s v="VENTA CARTON, PAPEL Y PET."/>
    <n v="807"/>
    <m/>
    <m/>
  </r>
  <r>
    <n v="88"/>
    <d v="2024-03-09T00:00:00"/>
    <x v="10"/>
    <x v="4"/>
    <s v="ENJARRE 22.5 MT2"/>
    <m/>
    <n v="-1800"/>
    <m/>
  </r>
  <r>
    <n v="89"/>
    <d v="2024-03-09T00:00:00"/>
    <x v="10"/>
    <x v="4"/>
    <s v="LIMPIEZA DE BAÑOS."/>
    <m/>
    <n v="-200"/>
    <m/>
  </r>
  <r>
    <n v="90"/>
    <d v="2024-03-10T00:00:00"/>
    <x v="10"/>
    <x v="1"/>
    <s v="PAY Y GELATINAS VENTA"/>
    <n v="375"/>
    <m/>
    <m/>
  </r>
  <r>
    <n v="91"/>
    <d v="2024-03-10T00:00:00"/>
    <x v="10"/>
    <x v="1"/>
    <s v="RIFA."/>
    <n v="600"/>
    <m/>
    <m/>
  </r>
  <r>
    <n v="92"/>
    <d v="2024-03-10T00:00:00"/>
    <x v="10"/>
    <x v="1"/>
    <s v="SRA. LETY."/>
    <n v="200"/>
    <m/>
    <m/>
  </r>
  <r>
    <n v="93"/>
    <d v="2024-03-12T00:00:00"/>
    <x v="10"/>
    <x v="0"/>
    <s v="PADRE LUIS, ANONIMO."/>
    <n v="6000"/>
    <m/>
    <m/>
  </r>
  <r>
    <n v="94"/>
    <d v="2024-03-15T00:00:00"/>
    <x v="10"/>
    <x v="3"/>
    <s v="SERVICIO WC TIAGUISTAS."/>
    <n v="243"/>
    <m/>
    <m/>
  </r>
  <r>
    <n v="95"/>
    <d v="2024-03-15T00:00:00"/>
    <x v="10"/>
    <x v="2"/>
    <s v="VENTA CARTON, PAPEL Y PET."/>
    <n v="95"/>
    <m/>
    <m/>
  </r>
  <r>
    <n v="96"/>
    <d v="2024-03-17T00:00:00"/>
    <x v="10"/>
    <x v="1"/>
    <s v="AGUA VENTA"/>
    <n v="15"/>
    <m/>
    <m/>
  </r>
  <r>
    <n v="97"/>
    <d v="2024-03-17T00:00:00"/>
    <x v="10"/>
    <x v="1"/>
    <s v="ANONIMO."/>
    <n v="50"/>
    <m/>
    <m/>
  </r>
  <r>
    <n v="98"/>
    <d v="2024-03-17T00:00:00"/>
    <x v="10"/>
    <x v="1"/>
    <s v="ANONIMO."/>
    <n v="50"/>
    <m/>
    <m/>
  </r>
  <r>
    <n v="99"/>
    <d v="2024-03-17T00:00:00"/>
    <x v="10"/>
    <x v="1"/>
    <s v="PAY VENTA"/>
    <n v="120"/>
    <m/>
    <m/>
  </r>
  <r>
    <n v="100"/>
    <d v="2024-03-17T00:00:00"/>
    <x v="10"/>
    <x v="1"/>
    <s v="SR. OLEGARIO."/>
    <n v="200"/>
    <m/>
    <m/>
  </r>
  <r>
    <n v="101"/>
    <d v="2024-03-17T00:00:00"/>
    <x v="10"/>
    <x v="1"/>
    <s v="SRA. LETY."/>
    <n v="200"/>
    <m/>
    <m/>
  </r>
  <r>
    <n v="102"/>
    <d v="2024-03-19T00:00:00"/>
    <x v="10"/>
    <x v="2"/>
    <s v="VENTA CARTON, PAPEL Y PET."/>
    <n v="389"/>
    <m/>
    <m/>
  </r>
  <r>
    <n v="103"/>
    <d v="2024-03-21T00:00:00"/>
    <x v="10"/>
    <x v="4"/>
    <s v="ABONO P/PUERTA SACRISTIA."/>
    <m/>
    <n v="-5000"/>
    <m/>
  </r>
  <r>
    <n v="104"/>
    <d v="2024-03-21T00:00:00"/>
    <x v="10"/>
    <x v="4"/>
    <s v="BOQUILLAS DE TODAS LAS PUERTAS. Y VENTANAS"/>
    <m/>
    <n v="-1800"/>
    <m/>
  </r>
  <r>
    <n v="105"/>
    <d v="2024-03-22T00:00:00"/>
    <x v="10"/>
    <x v="3"/>
    <s v="SERVICIO WC TIAGUISTAS."/>
    <n v="220"/>
    <m/>
    <m/>
  </r>
  <r>
    <n v="106"/>
    <d v="2024-03-22T00:00:00"/>
    <x v="10"/>
    <x v="4"/>
    <s v="PAPEL HIGIENICO 6x600"/>
    <m/>
    <n v="-60"/>
    <m/>
  </r>
  <r>
    <n v="107"/>
    <d v="2024-03-24T00:00:00"/>
    <x v="10"/>
    <x v="1"/>
    <s v="ANONIMO."/>
    <n v="50"/>
    <m/>
    <m/>
  </r>
  <r>
    <n v="108"/>
    <d v="2024-03-24T00:00:00"/>
    <x v="10"/>
    <x v="1"/>
    <s v="ANONIMO."/>
    <n v="500"/>
    <m/>
    <m/>
  </r>
  <r>
    <n v="109"/>
    <d v="2024-03-24T00:00:00"/>
    <x v="10"/>
    <x v="1"/>
    <s v="ANONIMO."/>
    <n v="500"/>
    <m/>
    <m/>
  </r>
  <r>
    <n v="110"/>
    <d v="2024-03-24T00:00:00"/>
    <x v="10"/>
    <x v="1"/>
    <s v="GELATINAS VENTA"/>
    <n v="250"/>
    <m/>
    <m/>
  </r>
  <r>
    <n v="111"/>
    <d v="2024-03-24T00:00:00"/>
    <x v="10"/>
    <x v="1"/>
    <s v="PAY VENTA"/>
    <n v="225"/>
    <m/>
    <m/>
  </r>
  <r>
    <n v="112"/>
    <d v="2024-03-24T00:00:00"/>
    <x v="10"/>
    <x v="1"/>
    <s v="SR. OLEGARIO."/>
    <n v="100"/>
    <m/>
    <m/>
  </r>
  <r>
    <n v="113"/>
    <d v="2024-03-24T00:00:00"/>
    <x v="10"/>
    <x v="1"/>
    <s v="SRA. LETY."/>
    <n v="200"/>
    <m/>
    <m/>
  </r>
  <r>
    <n v="114"/>
    <d v="2024-03-25T00:00:00"/>
    <x v="10"/>
    <x v="2"/>
    <s v="VENTA CARTON, PAPEL Y PET."/>
    <n v="160"/>
    <m/>
    <m/>
  </r>
  <r>
    <n v="115"/>
    <d v="2024-03-25T00:00:00"/>
    <x v="10"/>
    <x v="4"/>
    <s v="1 TUBO 3&quot; x 3&quot;"/>
    <m/>
    <n v="-100"/>
    <m/>
  </r>
  <r>
    <n v="116"/>
    <d v="2024-03-29T00:00:00"/>
    <x v="10"/>
    <x v="3"/>
    <s v="SERVICIO WC TIAGUISTAS."/>
    <n v="220"/>
    <m/>
    <m/>
  </r>
  <r>
    <n v="117"/>
    <d v="2024-03-29T00:00:00"/>
    <x v="10"/>
    <x v="4"/>
    <s v="SALDO TOTAL PUERTA SACRISTIA."/>
    <m/>
    <n v="-4500"/>
    <m/>
  </r>
  <r>
    <n v="118"/>
    <d v="2024-03-31T00:00:00"/>
    <x v="10"/>
    <x v="1"/>
    <s v="ANONIMO."/>
    <n v="50"/>
    <m/>
    <m/>
  </r>
  <r>
    <n v="119"/>
    <d v="2024-03-31T00:00:00"/>
    <x v="10"/>
    <x v="1"/>
    <s v="ARROZ CON LECHE VENTA"/>
    <n v="360"/>
    <m/>
    <m/>
  </r>
  <r>
    <n v="120"/>
    <d v="2024-03-31T00:00:00"/>
    <x v="10"/>
    <x v="1"/>
    <s v="PAY VENTA"/>
    <n v="120"/>
    <m/>
    <m/>
  </r>
  <r>
    <n v="121"/>
    <d v="2024-03-31T00:00:00"/>
    <x v="10"/>
    <x v="1"/>
    <s v="SRA. LETY."/>
    <n v="200"/>
    <m/>
    <m/>
  </r>
  <r>
    <n v="122"/>
    <d v="2024-04-05T00:00:00"/>
    <x v="11"/>
    <x v="3"/>
    <s v="SERVICIO WC TIAGUISTAS."/>
    <n v="240"/>
    <m/>
    <m/>
  </r>
  <r>
    <n v="123"/>
    <d v="2024-04-07T00:00:00"/>
    <x v="11"/>
    <x v="1"/>
    <s v="BOLIS, PAY, GELATINAS VENTA"/>
    <n v="756"/>
    <m/>
    <m/>
  </r>
  <r>
    <n v="124"/>
    <d v="2024-04-07T00:00:00"/>
    <x v="11"/>
    <x v="1"/>
    <s v="SR. OLEGARIO."/>
    <n v="100"/>
    <m/>
    <m/>
  </r>
  <r>
    <n v="125"/>
    <d v="2024-04-07T00:00:00"/>
    <x v="11"/>
    <x v="1"/>
    <s v="SRA. LETY."/>
    <n v="200"/>
    <m/>
    <m/>
  </r>
  <r>
    <n v="126"/>
    <d v="2024-04-08T00:00:00"/>
    <x v="11"/>
    <x v="2"/>
    <s v="VENTA CARTON, PAPEL Y PET."/>
    <n v="120"/>
    <m/>
    <m/>
  </r>
  <r>
    <n v="127"/>
    <d v="2024-04-12T00:00:00"/>
    <x v="11"/>
    <x v="3"/>
    <s v="SERVICIO WC TIAGUISTAS."/>
    <n v="140"/>
    <m/>
    <m/>
  </r>
  <r>
    <n v="128"/>
    <d v="2024-04-12T00:00:00"/>
    <x v="11"/>
    <x v="4"/>
    <s v="PAPEL HIGIENICO 6x600"/>
    <m/>
    <n v="-65"/>
    <m/>
  </r>
  <r>
    <n v="129"/>
    <d v="2024-04-14T00:00:00"/>
    <x v="11"/>
    <x v="1"/>
    <s v="BOLIS, PAY, GELATINAS VENTA"/>
    <n v="400"/>
    <m/>
    <m/>
  </r>
  <r>
    <n v="130"/>
    <d v="2024-04-14T00:00:00"/>
    <x v="11"/>
    <x v="1"/>
    <s v="SR. OLEGARIO."/>
    <n v="100"/>
    <m/>
    <m/>
  </r>
  <r>
    <n v="131"/>
    <d v="2024-04-14T00:00:00"/>
    <x v="11"/>
    <x v="1"/>
    <s v="SRA. LETY."/>
    <n v="200"/>
    <m/>
    <m/>
  </r>
  <r>
    <n v="132"/>
    <d v="2024-04-19T00:00:00"/>
    <x v="11"/>
    <x v="0"/>
    <s v="ANGEL LOPEZ BETANCOURT PBRO. MEXICALI."/>
    <n v="5000"/>
    <m/>
    <m/>
  </r>
  <r>
    <n v="133"/>
    <d v="2024-04-19T00:00:00"/>
    <x v="11"/>
    <x v="3"/>
    <s v="SERVICIO WC TIAGUISTAS."/>
    <n v="170"/>
    <m/>
    <m/>
  </r>
  <r>
    <n v="134"/>
    <d v="2024-04-20T00:00:00"/>
    <x v="11"/>
    <x v="4"/>
    <s v="4 MTS COLADO DALAS."/>
    <m/>
    <n v="-270"/>
    <m/>
  </r>
  <r>
    <n v="135"/>
    <d v="2024-04-20T00:00:00"/>
    <x v="11"/>
    <x v="4"/>
    <s v="5 MT2 ENJARRE."/>
    <m/>
    <n v="-400"/>
    <m/>
  </r>
  <r>
    <n v="136"/>
    <d v="2024-04-21T00:00:00"/>
    <x v="11"/>
    <x v="1"/>
    <s v="AGUA, PAY, GELATINAS VENTA"/>
    <n v="330"/>
    <m/>
    <m/>
  </r>
  <r>
    <n v="137"/>
    <d v="2024-04-21T00:00:00"/>
    <x v="11"/>
    <x v="1"/>
    <s v="ANONIMO."/>
    <n v="50"/>
    <m/>
    <m/>
  </r>
  <r>
    <n v="138"/>
    <d v="2024-04-21T00:00:00"/>
    <x v="11"/>
    <x v="1"/>
    <s v="SRA. LETY."/>
    <n v="200"/>
    <m/>
    <m/>
  </r>
  <r>
    <n v="139"/>
    <d v="2024-04-26T00:00:00"/>
    <x v="11"/>
    <x v="3"/>
    <s v="SERVICIO WC TIAGUISTAS."/>
    <n v="221"/>
    <m/>
    <m/>
  </r>
  <r>
    <n v="140"/>
    <d v="2024-04-28T00:00:00"/>
    <x v="11"/>
    <x v="0"/>
    <s v="ANONIMO."/>
    <n v="500"/>
    <m/>
    <m/>
  </r>
  <r>
    <n v="141"/>
    <d v="2024-04-28T00:00:00"/>
    <x v="11"/>
    <x v="0"/>
    <s v="MAESTRA.SILVIA."/>
    <n v="1000"/>
    <m/>
    <m/>
  </r>
  <r>
    <n v="142"/>
    <d v="2024-04-28T00:00:00"/>
    <x v="11"/>
    <x v="1"/>
    <s v="ANONIMO."/>
    <n v="100"/>
    <m/>
    <m/>
  </r>
  <r>
    <n v="143"/>
    <d v="2024-04-28T00:00:00"/>
    <x v="11"/>
    <x v="1"/>
    <s v="SR. OLEGARIO."/>
    <n v="200"/>
    <m/>
    <m/>
  </r>
  <r>
    <n v="144"/>
    <d v="2024-04-28T00:00:00"/>
    <x v="11"/>
    <x v="1"/>
    <s v="SRA. LETY."/>
    <n v="200"/>
    <m/>
    <m/>
  </r>
  <r>
    <n v="145"/>
    <d v="2024-04-28T00:00:00"/>
    <x v="11"/>
    <x v="4"/>
    <s v="1 PASTA RESANE PERDURA Y MT MALLA."/>
    <m/>
    <n v="-235"/>
    <m/>
  </r>
  <r>
    <n v="146"/>
    <d v="2024-04-29T00:00:00"/>
    <x v="11"/>
    <x v="2"/>
    <s v="VENTA CARTON, PAPEL Y PET."/>
    <n v="200"/>
    <m/>
    <m/>
  </r>
  <r>
    <n v="147"/>
    <d v="2024-04-30T00:00:00"/>
    <x v="11"/>
    <x v="4"/>
    <s v="1 MULTIPLAS"/>
    <m/>
    <n v="-245"/>
    <m/>
  </r>
  <r>
    <n v="148"/>
    <d v="2024-04-30T00:00:00"/>
    <x v="11"/>
    <x v="4"/>
    <s v="1 ROTO MARTILLO 1/2."/>
    <m/>
    <n v="-685"/>
    <m/>
  </r>
  <r>
    <n v="149"/>
    <d v="2024-04-30T00:00:00"/>
    <x v="11"/>
    <x v="4"/>
    <s v="EJARRAR 12 MT2 DALLA"/>
    <m/>
    <n v="-960"/>
    <m/>
  </r>
  <r>
    <n v="150"/>
    <d v="2024-05-03T00:00:00"/>
    <x v="12"/>
    <x v="4"/>
    <s v="APLICAR MULTIPLAS 40 MT2."/>
    <m/>
    <n v="-1000"/>
    <m/>
  </r>
  <r>
    <n v="151"/>
    <d v="2024-05-05T00:00:00"/>
    <x v="12"/>
    <x v="1"/>
    <s v="PAY QUESO VENTA."/>
    <n v="160"/>
    <m/>
    <m/>
  </r>
  <r>
    <n v="152"/>
    <d v="2024-05-05T00:00:00"/>
    <x v="12"/>
    <x v="1"/>
    <s v="SR. OLEGARIO."/>
    <n v="100"/>
    <m/>
    <m/>
  </r>
  <r>
    <n v="153"/>
    <d v="2024-05-05T00:00:00"/>
    <x v="12"/>
    <x v="1"/>
    <s v="SRA. LETY."/>
    <n v="200"/>
    <m/>
    <m/>
  </r>
  <r>
    <n v="154"/>
    <d v="2024-05-06T00:00:00"/>
    <x v="12"/>
    <x v="4"/>
    <s v="8 LTS. PINTURA BLANCA."/>
    <m/>
    <n v="-720"/>
    <m/>
  </r>
  <r>
    <n v="155"/>
    <m/>
    <x v="13"/>
    <x v="5"/>
    <m/>
    <m/>
    <m/>
    <m/>
  </r>
  <r>
    <n v="156"/>
    <m/>
    <x v="13"/>
    <x v="5"/>
    <m/>
    <m/>
    <m/>
    <m/>
  </r>
  <r>
    <n v="157"/>
    <m/>
    <x v="13"/>
    <x v="5"/>
    <m/>
    <m/>
    <m/>
    <m/>
  </r>
  <r>
    <n v="158"/>
    <m/>
    <x v="13"/>
    <x v="5"/>
    <m/>
    <m/>
    <m/>
    <m/>
  </r>
  <r>
    <n v="159"/>
    <m/>
    <x v="13"/>
    <x v="5"/>
    <m/>
    <m/>
    <m/>
    <m/>
  </r>
  <r>
    <n v="160"/>
    <m/>
    <x v="13"/>
    <x v="5"/>
    <m/>
    <m/>
    <m/>
    <m/>
  </r>
  <r>
    <n v="161"/>
    <m/>
    <x v="13"/>
    <x v="5"/>
    <m/>
    <m/>
    <m/>
    <m/>
  </r>
  <r>
    <n v="162"/>
    <m/>
    <x v="13"/>
    <x v="5"/>
    <m/>
    <m/>
    <m/>
    <m/>
  </r>
  <r>
    <n v="163"/>
    <m/>
    <x v="13"/>
    <x v="5"/>
    <m/>
    <m/>
    <m/>
    <m/>
  </r>
  <r>
    <n v="164"/>
    <m/>
    <x v="13"/>
    <x v="5"/>
    <m/>
    <m/>
    <m/>
    <m/>
  </r>
  <r>
    <n v="165"/>
    <m/>
    <x v="13"/>
    <x v="5"/>
    <m/>
    <m/>
    <m/>
    <m/>
  </r>
  <r>
    <n v="166"/>
    <m/>
    <x v="13"/>
    <x v="5"/>
    <m/>
    <m/>
    <m/>
    <m/>
  </r>
  <r>
    <n v="167"/>
    <m/>
    <x v="13"/>
    <x v="5"/>
    <m/>
    <m/>
    <m/>
    <m/>
  </r>
  <r>
    <n v="168"/>
    <m/>
    <x v="13"/>
    <x v="5"/>
    <m/>
    <m/>
    <m/>
    <m/>
  </r>
  <r>
    <n v="169"/>
    <m/>
    <x v="13"/>
    <x v="5"/>
    <m/>
    <m/>
    <m/>
    <m/>
  </r>
  <r>
    <n v="170"/>
    <m/>
    <x v="13"/>
    <x v="5"/>
    <m/>
    <m/>
    <m/>
    <m/>
  </r>
  <r>
    <n v="171"/>
    <m/>
    <x v="13"/>
    <x v="5"/>
    <m/>
    <m/>
    <m/>
    <m/>
  </r>
  <r>
    <n v="172"/>
    <m/>
    <x v="13"/>
    <x v="5"/>
    <m/>
    <m/>
    <m/>
    <m/>
  </r>
  <r>
    <n v="173"/>
    <m/>
    <x v="13"/>
    <x v="5"/>
    <m/>
    <m/>
    <m/>
    <m/>
  </r>
  <r>
    <n v="174"/>
    <m/>
    <x v="13"/>
    <x v="5"/>
    <m/>
    <m/>
    <m/>
    <m/>
  </r>
  <r>
    <n v="175"/>
    <m/>
    <x v="13"/>
    <x v="5"/>
    <m/>
    <m/>
    <m/>
    <m/>
  </r>
  <r>
    <n v="176"/>
    <m/>
    <x v="13"/>
    <x v="5"/>
    <m/>
    <m/>
    <m/>
    <m/>
  </r>
  <r>
    <n v="177"/>
    <m/>
    <x v="13"/>
    <x v="5"/>
    <m/>
    <m/>
    <m/>
    <m/>
  </r>
  <r>
    <n v="178"/>
    <m/>
    <x v="13"/>
    <x v="5"/>
    <m/>
    <m/>
    <m/>
    <m/>
  </r>
  <r>
    <n v="179"/>
    <m/>
    <x v="13"/>
    <x v="5"/>
    <m/>
    <m/>
    <m/>
    <m/>
  </r>
  <r>
    <n v="180"/>
    <m/>
    <x v="13"/>
    <x v="5"/>
    <m/>
    <m/>
    <m/>
    <m/>
  </r>
  <r>
    <n v="181"/>
    <m/>
    <x v="13"/>
    <x v="5"/>
    <m/>
    <m/>
    <m/>
    <m/>
  </r>
  <r>
    <n v="182"/>
    <m/>
    <x v="13"/>
    <x v="5"/>
    <m/>
    <m/>
    <m/>
    <m/>
  </r>
  <r>
    <n v="183"/>
    <m/>
    <x v="13"/>
    <x v="5"/>
    <m/>
    <m/>
    <m/>
    <m/>
  </r>
  <r>
    <n v="184"/>
    <m/>
    <x v="13"/>
    <x v="5"/>
    <m/>
    <m/>
    <m/>
    <m/>
  </r>
  <r>
    <n v="185"/>
    <m/>
    <x v="13"/>
    <x v="5"/>
    <m/>
    <m/>
    <m/>
    <m/>
  </r>
  <r>
    <n v="186"/>
    <m/>
    <x v="13"/>
    <x v="5"/>
    <m/>
    <m/>
    <m/>
    <m/>
  </r>
  <r>
    <n v="187"/>
    <m/>
    <x v="13"/>
    <x v="5"/>
    <m/>
    <m/>
    <m/>
    <m/>
  </r>
  <r>
    <n v="188"/>
    <m/>
    <x v="13"/>
    <x v="5"/>
    <m/>
    <m/>
    <m/>
    <m/>
  </r>
  <r>
    <n v="189"/>
    <m/>
    <x v="13"/>
    <x v="5"/>
    <m/>
    <m/>
    <m/>
    <m/>
  </r>
  <r>
    <n v="190"/>
    <m/>
    <x v="13"/>
    <x v="5"/>
    <m/>
    <m/>
    <m/>
    <m/>
  </r>
  <r>
    <n v="191"/>
    <m/>
    <x v="13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n v="1"/>
    <d v="2023-02-02T00:00:00"/>
    <x v="0"/>
    <x v="0"/>
    <s v="C. PALABRA."/>
    <n v="500"/>
    <m/>
    <m/>
  </r>
  <r>
    <n v="2"/>
    <d v="2023-02-09T00:00:00"/>
    <x v="0"/>
    <x v="0"/>
    <s v="C. PALABRA."/>
    <n v="309.5"/>
    <m/>
    <m/>
  </r>
  <r>
    <n v="3"/>
    <d v="2023-02-10T00:00:00"/>
    <x v="0"/>
    <x v="1"/>
    <s v="VASO Y COPA DE CRISTAL."/>
    <m/>
    <n v="-75.5"/>
    <s v="USAR COMO COPON ."/>
  </r>
  <r>
    <n v="4"/>
    <d v="2023-02-16T00:00:00"/>
    <x v="0"/>
    <x v="0"/>
    <s v="C. PALABRA."/>
    <n v="411.5"/>
    <m/>
    <m/>
  </r>
  <r>
    <n v="5"/>
    <d v="2023-02-19T00:00:00"/>
    <x v="0"/>
    <x v="1"/>
    <s v="DULCES"/>
    <m/>
    <n v="-88"/>
    <s v="PARA MISA DEL DOMINGO."/>
  </r>
  <r>
    <n v="6"/>
    <d v="2023-02-19T00:00:00"/>
    <x v="0"/>
    <x v="1"/>
    <s v="FABULOSO"/>
    <m/>
    <n v="-23"/>
    <s v="LIMPIEZA DEL PRESBITERIO."/>
  </r>
  <r>
    <n v="7"/>
    <d v="2023-02-19T00:00:00"/>
    <x v="0"/>
    <x v="1"/>
    <s v="TIRAR BASURA "/>
    <m/>
    <n v="-20"/>
    <m/>
  </r>
  <r>
    <n v="8"/>
    <d v="2023-02-23T00:00:00"/>
    <x v="0"/>
    <x v="0"/>
    <s v="C. PALABRA."/>
    <n v="110"/>
    <m/>
    <m/>
  </r>
  <r>
    <n v="9"/>
    <d v="2023-02-24T00:00:00"/>
    <x v="0"/>
    <x v="1"/>
    <s v="DULCES"/>
    <m/>
    <n v="-100"/>
    <s v="PARA MISA DEL DOMINGO."/>
  </r>
  <r>
    <n v="10"/>
    <d v="2023-03-02T00:00:00"/>
    <x v="1"/>
    <x v="0"/>
    <s v="C. PALABRA."/>
    <n v="157.5"/>
    <m/>
    <m/>
  </r>
  <r>
    <n v="11"/>
    <d v="2023-03-07T00:00:00"/>
    <x v="1"/>
    <x v="1"/>
    <s v="DULCES"/>
    <m/>
    <n v="-70"/>
    <s v="PARA MISA DEL DOMINGO."/>
  </r>
  <r>
    <n v="12"/>
    <d v="2023-03-09T00:00:00"/>
    <x v="1"/>
    <x v="0"/>
    <s v="C. PALABRA."/>
    <n v="180"/>
    <m/>
    <m/>
  </r>
  <r>
    <n v="13"/>
    <d v="2023-03-16T00:00:00"/>
    <x v="1"/>
    <x v="0"/>
    <s v="C. PALABRA."/>
    <n v="275"/>
    <m/>
    <m/>
  </r>
  <r>
    <n v="14"/>
    <d v="2023-03-23T00:00:00"/>
    <x v="1"/>
    <x v="0"/>
    <s v="C. PALABRA."/>
    <n v="146"/>
    <m/>
    <m/>
  </r>
  <r>
    <n v="15"/>
    <d v="2023-03-30T00:00:00"/>
    <x v="1"/>
    <x v="2"/>
    <s v="COOPERACION OSTIA DE MARMOL."/>
    <n v="660"/>
    <m/>
    <s v="SE PRESTO PARA RESUCITADO."/>
  </r>
  <r>
    <n v="16"/>
    <d v="2023-03-30T00:00:00"/>
    <x v="1"/>
    <x v="0"/>
    <s v="C. PALABRA."/>
    <n v="153.5"/>
    <m/>
    <m/>
  </r>
  <r>
    <n v="17"/>
    <d v="2023-04-01T00:00:00"/>
    <x v="2"/>
    <x v="1"/>
    <s v="COMPRA DEL RESUCITADO."/>
    <m/>
    <n v="-600"/>
    <s v="SE COMPRO EN TONALA."/>
  </r>
  <r>
    <n v="18"/>
    <d v="2023-04-02T00:00:00"/>
    <x v="2"/>
    <x v="2"/>
    <s v="COLECTA REALIZADA POR ISABELITA."/>
    <n v="850"/>
    <m/>
    <s v="PARA FLORES D. RESUREC."/>
  </r>
  <r>
    <n v="19"/>
    <d v="2023-04-02T00:00:00"/>
    <x v="2"/>
    <x v="1"/>
    <s v="ADORNOS, PAPEL, CINTA Y PALMAS."/>
    <m/>
    <n v="-90"/>
    <s v="P/ DOM. RAMOS."/>
  </r>
  <r>
    <n v="20"/>
    <d v="2023-04-04T00:00:00"/>
    <x v="2"/>
    <x v="2"/>
    <s v="COOPERACION SRA. AMELIA."/>
    <n v="100"/>
    <m/>
    <s v="PARA FLORES D. RESUREC."/>
  </r>
  <r>
    <n v="21"/>
    <d v="2023-04-06T00:00:00"/>
    <x v="2"/>
    <x v="0"/>
    <s v="C. PALABRA."/>
    <n v="0"/>
    <m/>
    <s v="JUEVES SANTO NO HUBO."/>
  </r>
  <r>
    <n v="22"/>
    <d v="2023-04-09T00:00:00"/>
    <x v="2"/>
    <x v="2"/>
    <s v="COOPERACION SR. LUCIO RIOS."/>
    <n v="170"/>
    <m/>
    <s v="P/ COMPRA DEL RESUCITADO."/>
  </r>
  <r>
    <n v="23"/>
    <d v="2023-04-09T00:00:00"/>
    <x v="2"/>
    <x v="3"/>
    <s v="ARREGLOS FLORALES."/>
    <m/>
    <n v="-700"/>
    <s v="P/ DOM. RESURECCION."/>
  </r>
  <r>
    <n v="24"/>
    <d v="2023-04-13T00:00:00"/>
    <x v="2"/>
    <x v="0"/>
    <s v="C. PALABRA."/>
    <n v="350"/>
    <m/>
    <m/>
  </r>
  <r>
    <n v="25"/>
    <d v="2023-04-20T00:00:00"/>
    <x v="2"/>
    <x v="0"/>
    <s v="C. PALABRA."/>
    <n v="320"/>
    <m/>
    <m/>
  </r>
  <r>
    <n v="26"/>
    <d v="2023-04-27T00:00:00"/>
    <x v="2"/>
    <x v="0"/>
    <s v="C. PALABRA."/>
    <n v="330"/>
    <m/>
    <m/>
  </r>
  <r>
    <n v="27"/>
    <d v="2023-04-28T00:00:00"/>
    <x v="2"/>
    <x v="4"/>
    <s v="12 BOTELLAS DE AGUA.1 LT."/>
    <n v="180"/>
    <m/>
    <s v="VENTA MISA SANACION."/>
  </r>
  <r>
    <n v="28"/>
    <d v="2023-04-28T00:00:00"/>
    <x v="2"/>
    <x v="4"/>
    <s v="5 KILOS DE SAL"/>
    <n v="100"/>
    <m/>
    <s v="VENTA MISA SANACION."/>
  </r>
  <r>
    <n v="29"/>
    <d v="2023-04-28T00:00:00"/>
    <x v="2"/>
    <x v="5"/>
    <s v="5 KILOS DE SAL"/>
    <m/>
    <n v="-70"/>
    <s v="PARA VENTA MISA DE SANACION"/>
  </r>
  <r>
    <n v="30"/>
    <d v="2023-05-02T00:00:00"/>
    <x v="3"/>
    <x v="1"/>
    <s v="DULCES"/>
    <m/>
    <n v="-52.5"/>
    <s v="PARA MISA DEL DOMINGO."/>
  </r>
  <r>
    <n v="31"/>
    <d v="2023-05-04T00:00:00"/>
    <x v="3"/>
    <x v="0"/>
    <s v="C. PALABRA."/>
    <n v="205"/>
    <m/>
    <m/>
  </r>
  <r>
    <n v="32"/>
    <d v="2023-05-05T00:00:00"/>
    <x v="3"/>
    <x v="5"/>
    <s v="12 BOTELLAS DE AGUA"/>
    <m/>
    <n v="-120"/>
    <s v="SE PAGO A D. LETY LAS AGUAS."/>
  </r>
  <r>
    <n v="33"/>
    <d v="2023-05-07T00:00:00"/>
    <x v="3"/>
    <x v="1"/>
    <s v="FABULOSO, ALGODON, ALCOHOL,ROLLOS"/>
    <m/>
    <n v="-86"/>
    <s v="LIMPIEZA Y P/MISA SANACION."/>
  </r>
  <r>
    <n v="34"/>
    <d v="2023-05-10T00:00:00"/>
    <x v="3"/>
    <x v="1"/>
    <s v="BOTE PARA GUARDAR FORMAS GRANDES."/>
    <m/>
    <n v="-16"/>
    <m/>
  </r>
  <r>
    <n v="35"/>
    <d v="2023-05-11T00:00:00"/>
    <x v="3"/>
    <x v="0"/>
    <s v="C. PALABRA."/>
    <n v="426"/>
    <m/>
    <m/>
  </r>
  <r>
    <n v="36"/>
    <d v="2023-05-17T00:00:00"/>
    <x v="3"/>
    <x v="1"/>
    <s v="CUADERNO INTENCIONES, HOJAS Y PLUMAS."/>
    <m/>
    <n v="-147.5"/>
    <m/>
  </r>
  <r>
    <n v="37"/>
    <d v="2023-05-18T00:00:00"/>
    <x v="3"/>
    <x v="2"/>
    <s v="COOPERACION SRA. AMELIA."/>
    <n v="500"/>
    <m/>
    <s v="PARA APOYO."/>
  </r>
  <r>
    <n v="38"/>
    <d v="2023-05-18T00:00:00"/>
    <x v="3"/>
    <x v="0"/>
    <s v="C. PALABRA."/>
    <n v="324.5"/>
    <m/>
    <m/>
  </r>
  <r>
    <n v="39"/>
    <d v="2023-05-22T00:00:00"/>
    <x v="3"/>
    <x v="1"/>
    <s v="PAPEL CREPE PARA ADORNO DEL DOMINGO."/>
    <m/>
    <n v="-44.5"/>
    <m/>
  </r>
  <r>
    <n v="40"/>
    <d v="2023-05-22T00:00:00"/>
    <x v="3"/>
    <x v="5"/>
    <s v="10 PZA KG. SAL DE GRANO"/>
    <m/>
    <n v="-60"/>
    <m/>
  </r>
  <r>
    <n v="41"/>
    <d v="2023-05-22T00:00:00"/>
    <x v="3"/>
    <x v="5"/>
    <s v="120 PZA 600 ML. AGUA CIEL PARA MISA DE SANACION."/>
    <m/>
    <n v="-1320"/>
    <s v="120 BOTELLAS DE 600 ML."/>
  </r>
  <r>
    <n v="42"/>
    <d v="2023-05-23T00:00:00"/>
    <x v="3"/>
    <x v="5"/>
    <s v="20 PZA KG. SAL DE GRANO."/>
    <m/>
    <n v="-120"/>
    <m/>
  </r>
  <r>
    <n v="43"/>
    <d v="2023-05-25T00:00:00"/>
    <x v="3"/>
    <x v="0"/>
    <s v="C. PALABRA."/>
    <n v="328.5"/>
    <m/>
    <s v="13 Intenciones."/>
  </r>
  <r>
    <n v="44"/>
    <d v="2023-05-26T00:00:00"/>
    <x v="3"/>
    <x v="1"/>
    <s v="3 PZA 600 ML. AGUA CIEL."/>
    <m/>
    <n v="-45"/>
    <s v="2 PADRE Y 1 MARTIN."/>
  </r>
  <r>
    <n v="45"/>
    <d v="2023-05-26T00:00:00"/>
    <x v="3"/>
    <x v="4"/>
    <s v="3 PZA 600 ML. AGUA CIEL."/>
    <n v="45"/>
    <m/>
    <s v="2 PADRE Y 1 MARTIN."/>
  </r>
  <r>
    <n v="46"/>
    <d v="2023-05-26T00:00:00"/>
    <x v="3"/>
    <x v="4"/>
    <s v="30 PZA KG. SAL DE GRANO."/>
    <n v="300"/>
    <m/>
    <s v="VENTA A $ 10.00 C/U"/>
  </r>
  <r>
    <n v="47"/>
    <d v="2023-05-26T00:00:00"/>
    <x v="3"/>
    <x v="4"/>
    <s v="52 PZA 600 ML. AGUA CIEL BOTELLA."/>
    <n v="780"/>
    <m/>
    <s v="VENTA A $ 15.00 C/U"/>
  </r>
  <r>
    <n v="48"/>
    <d v="2023-05-26T00:00:00"/>
    <x v="3"/>
    <x v="5"/>
    <s v="HIELO PARA LA VENTA DE AGUA."/>
    <m/>
    <n v="-25"/>
    <m/>
  </r>
  <r>
    <n v="49"/>
    <d v="2023-05-28T00:00:00"/>
    <x v="3"/>
    <x v="1"/>
    <s v="PAPEL CREPE VERDE Y PALILLOS."/>
    <m/>
    <n v="-28"/>
    <m/>
  </r>
  <r>
    <n v="50"/>
    <d v="2023-05-30T00:00:00"/>
    <x v="3"/>
    <x v="2"/>
    <s v="SRA. AMELIA."/>
    <n v="100"/>
    <m/>
    <m/>
  </r>
  <r>
    <n v="51"/>
    <d v="2023-06-01T00:00:00"/>
    <x v="4"/>
    <x v="0"/>
    <s v="C. PALABRA."/>
    <n v="686"/>
    <m/>
    <s v="13 Intenciones."/>
  </r>
  <r>
    <n v="52"/>
    <d v="2023-06-03T00:00:00"/>
    <x v="4"/>
    <x v="2"/>
    <s v="SRA. ISABEL VAZQUEZ."/>
    <n v="500"/>
    <m/>
    <s v="PARA ADORNO FLORAL."/>
  </r>
  <r>
    <n v="53"/>
    <d v="2023-06-04T00:00:00"/>
    <x v="4"/>
    <x v="3"/>
    <s v="ADORNO FLORAL DEL ALTAR."/>
    <m/>
    <n v="-500"/>
    <s v="SOL. SANTISIMA TRINIDAD."/>
  </r>
  <r>
    <n v="54"/>
    <d v="2023-06-04T00:00:00"/>
    <x v="4"/>
    <x v="4"/>
    <s v="1 PZA 600 ML. AGUA CIEL BOTELLA."/>
    <n v="15"/>
    <m/>
    <s v="YOLANDA."/>
  </r>
  <r>
    <n v="55"/>
    <d v="2023-06-05T00:00:00"/>
    <x v="4"/>
    <x v="1"/>
    <s v="COMPRA CABLE P/MICROFONO."/>
    <m/>
    <n v="-110"/>
    <m/>
  </r>
  <r>
    <n v="56"/>
    <d v="2023-06-05T00:00:00"/>
    <x v="4"/>
    <x v="1"/>
    <s v="COMPRA MICROFONO ALAMBRICO."/>
    <m/>
    <n v="-111"/>
    <m/>
  </r>
  <r>
    <n v="57"/>
    <d v="2023-06-05T00:00:00"/>
    <x v="4"/>
    <x v="1"/>
    <s v="MANUTERGIO."/>
    <m/>
    <n v="-20"/>
    <s v="UNA PIEZA."/>
  </r>
  <r>
    <n v="58"/>
    <d v="2023-06-07T00:00:00"/>
    <x v="4"/>
    <x v="2"/>
    <s v="SRA. ISABEL VAZQUEZ."/>
    <n v="500"/>
    <m/>
    <s v="PARA ADORNO FLORAL."/>
  </r>
  <r>
    <n v="59"/>
    <d v="2023-06-08T00:00:00"/>
    <x v="4"/>
    <x v="3"/>
    <s v="ADORNO FLORAL DEL ALTAR."/>
    <m/>
    <n v="-500"/>
    <s v="SOL. CUERPO DE CRISTO."/>
  </r>
  <r>
    <n v="60"/>
    <d v="2023-06-08T00:00:00"/>
    <x v="4"/>
    <x v="0"/>
    <s v="MISA CUERPO DE CRISTO."/>
    <n v="374"/>
    <m/>
    <s v="PADRE CARLO. 8 Intenciones."/>
  </r>
  <r>
    <n v="61"/>
    <d v="2023-06-08T00:00:00"/>
    <x v="4"/>
    <x v="1"/>
    <s v="3 PZA 600 ML. AGUA CIEL BOTELLAS."/>
    <m/>
    <n v="-45"/>
    <s v="PADRE, VICTOR, YOLANDA."/>
  </r>
  <r>
    <n v="62"/>
    <d v="2023-06-08T00:00:00"/>
    <x v="4"/>
    <x v="1"/>
    <s v="ESTIPENDIO PADRE CARLO."/>
    <m/>
    <n v="-300"/>
    <m/>
  </r>
  <r>
    <n v="63"/>
    <d v="2023-06-08T00:00:00"/>
    <x v="4"/>
    <x v="4"/>
    <s v="3 PZA 600 ML. AGUA CIEL BOTELLAS."/>
    <n v="45"/>
    <m/>
    <s v="PADRE, VICTOR, YOLANDA."/>
  </r>
  <r>
    <n v="64"/>
    <d v="2023-06-15T00:00:00"/>
    <x v="4"/>
    <x v="0"/>
    <s v="C. PALABRA."/>
    <n v="258"/>
    <m/>
    <s v="8 Intenciones."/>
  </r>
  <r>
    <n v="65"/>
    <d v="2023-06-15T00:00:00"/>
    <x v="4"/>
    <x v="4"/>
    <s v="1 PZA 600 ML. AGUA CIEL BOTELLA."/>
    <n v="15"/>
    <m/>
    <m/>
  </r>
  <r>
    <n v="66"/>
    <d v="2023-06-21T00:00:00"/>
    <x v="4"/>
    <x v="1"/>
    <s v="DULCES"/>
    <m/>
    <n v="-48.5"/>
    <m/>
  </r>
  <r>
    <n v="67"/>
    <d v="2023-06-22T00:00:00"/>
    <x v="4"/>
    <x v="0"/>
    <s v="C. PALABRA."/>
    <n v="220.5"/>
    <m/>
    <s v="6 Intenciones."/>
  </r>
  <r>
    <n v="68"/>
    <d v="2023-06-24T00:00:00"/>
    <x v="4"/>
    <x v="5"/>
    <s v="30 PZA KG. SAL DE GRANO."/>
    <m/>
    <n v="-180"/>
    <m/>
  </r>
  <r>
    <n v="69"/>
    <d v="2023-06-24T00:00:00"/>
    <x v="4"/>
    <x v="5"/>
    <s v="84 PZA 500 ML AGUA GV."/>
    <m/>
    <n v="-225"/>
    <m/>
  </r>
  <r>
    <n v="70"/>
    <d v="2023-06-28T00:00:00"/>
    <x v="4"/>
    <x v="4"/>
    <s v="17 PZA 600 ML. AGUA CIEL BOTELLA."/>
    <n v="255"/>
    <m/>
    <s v="VENTA A $ 15.00 C/U"/>
  </r>
  <r>
    <n v="71"/>
    <d v="2023-06-28T00:00:00"/>
    <x v="4"/>
    <x v="4"/>
    <s v="30 PZA KG. SAL DE GRANO. "/>
    <n v="300"/>
    <m/>
    <s v="VENTA A $ 10.00 C/U"/>
  </r>
  <r>
    <n v="72"/>
    <d v="2023-06-28T00:00:00"/>
    <x v="4"/>
    <x v="4"/>
    <s v="56 PZA 500 ML. AGUA GV."/>
    <n v="280"/>
    <m/>
    <s v="VENTA A $ 5.00 C/U"/>
  </r>
  <r>
    <n v="73"/>
    <d v="2023-06-29T00:00:00"/>
    <x v="4"/>
    <x v="0"/>
    <s v="C. PALABRA."/>
    <n v="224"/>
    <m/>
    <s v="3 Intenciones."/>
  </r>
  <r>
    <n v="74"/>
    <d v="2023-06-29T00:00:00"/>
    <x v="4"/>
    <x v="1"/>
    <s v="2 PZA 600 ML. AGUA CIEL BOTELLAS."/>
    <m/>
    <n v="-30"/>
    <s v="SERVICORES QUE NO PAGARON."/>
  </r>
  <r>
    <n v="75"/>
    <d v="2023-06-29T00:00:00"/>
    <x v="4"/>
    <x v="4"/>
    <s v="2 PZA 600 ML. AGUA CIEL BOTELLAS."/>
    <n v="30"/>
    <m/>
    <s v="SERVICORES QUE NO PAGARON."/>
  </r>
  <r>
    <n v="76"/>
    <d v="2023-07-02T00:00:00"/>
    <x v="4"/>
    <x v="5"/>
    <s v="BONO POR AYUDA A LUPITA."/>
    <m/>
    <n v="-15"/>
    <m/>
  </r>
  <r>
    <n v="77"/>
    <d v="2023-07-06T00:00:00"/>
    <x v="5"/>
    <x v="0"/>
    <s v="C. PALABRA."/>
    <n v="402"/>
    <m/>
    <s v="VICTOR. 10 Intenciones."/>
  </r>
  <r>
    <n v="78"/>
    <d v="2023-07-06T00:00:00"/>
    <x v="5"/>
    <x v="4"/>
    <s v="2 PZA 600 ML.  AGUAS CIEL BOTELLA."/>
    <n v="20"/>
    <m/>
    <s v="VENTA A $ 10.00 C/U"/>
  </r>
  <r>
    <n v="79"/>
    <d v="2023-07-13T00:00:00"/>
    <x v="5"/>
    <x v="0"/>
    <s v="C. PALABRA."/>
    <n v="346.5"/>
    <m/>
    <s v="TERESITA. 7 Intenciones."/>
  </r>
  <r>
    <n v="80"/>
    <d v="2023-07-13T00:00:00"/>
    <x v="5"/>
    <x v="5"/>
    <s v="99 PZA .5KG SACO DE SAL 50 KG."/>
    <m/>
    <n v="-190"/>
    <m/>
  </r>
  <r>
    <n v="81"/>
    <d v="2023-07-13T00:00:00"/>
    <x v="5"/>
    <x v="5"/>
    <s v="BOSA DE ROLLO Y DE PLASTICO."/>
    <m/>
    <n v="-130"/>
    <m/>
  </r>
  <r>
    <n v="82"/>
    <d v="2023-07-14T00:00:00"/>
    <x v="5"/>
    <x v="5"/>
    <s v="1.- SELLADORA MANUAL CHICA 25 CMS."/>
    <m/>
    <n v="-483.6"/>
    <m/>
  </r>
  <r>
    <n v="83"/>
    <d v="2023-07-14T00:00:00"/>
    <x v="5"/>
    <x v="5"/>
    <s v="10.- SOBRE COIN 60 KGNO."/>
    <m/>
    <n v="-13.4"/>
    <m/>
  </r>
  <r>
    <n v="84"/>
    <d v="2023-07-15T00:00:00"/>
    <x v="5"/>
    <x v="5"/>
    <s v="1.- ROLLO DE CINTA TRANSPARENTE."/>
    <m/>
    <n v="-20"/>
    <m/>
  </r>
  <r>
    <n v="85"/>
    <d v="2023-07-20T00:00:00"/>
    <x v="5"/>
    <x v="0"/>
    <s v="C. PALABRA."/>
    <n v="352.5"/>
    <m/>
    <s v="ANITA. 15 Intenciones."/>
  </r>
  <r>
    <n v="86"/>
    <d v="2023-07-24T00:00:00"/>
    <x v="5"/>
    <x v="1"/>
    <s v="DULCES SEMAFOROS"/>
    <m/>
    <n v="-67"/>
    <m/>
  </r>
  <r>
    <n v="87"/>
    <d v="2023-07-24T00:00:00"/>
    <x v="5"/>
    <x v="1"/>
    <s v="FABULOSO, TRAPEADOR Y ESCOBA CHICOS"/>
    <m/>
    <n v="-49"/>
    <m/>
  </r>
  <r>
    <n v="88"/>
    <d v="2023-07-24T00:00:00"/>
    <x v="5"/>
    <x v="5"/>
    <s v="84 PZA 500 ML. AGUA GV. BOTELLA."/>
    <m/>
    <n v="-225"/>
    <m/>
  </r>
  <r>
    <n v="89"/>
    <d v="2023-07-27T00:00:00"/>
    <x v="5"/>
    <x v="0"/>
    <s v="C. PALABRA."/>
    <n v="230"/>
    <m/>
    <s v="LUCIO. 16 Intenciones."/>
  </r>
  <r>
    <n v="90"/>
    <d v="2023-07-27T00:00:00"/>
    <x v="5"/>
    <x v="4"/>
    <s v="2 PZA 600 ML. AGUAS CIEL BOTELLA. "/>
    <n v="10"/>
    <m/>
    <s v="VENTA A $ 5.00 C/U"/>
  </r>
  <r>
    <n v="91"/>
    <d v="2023-07-28T00:00:00"/>
    <x v="5"/>
    <x v="4"/>
    <s v="64 PZA .5KG SAL DE GRANO."/>
    <n v="320"/>
    <m/>
    <s v="VENTA A $ 5.00 C/U"/>
  </r>
  <r>
    <n v="92"/>
    <d v="2023-07-28T00:00:00"/>
    <x v="5"/>
    <x v="4"/>
    <s v="80.- BOTELLAS AGUA GV."/>
    <n v="400"/>
    <m/>
    <s v="VENTA A $ 5.00 C/U"/>
  </r>
  <r>
    <n v="93"/>
    <d v="2023-07-28T00:00:00"/>
    <x v="5"/>
    <x v="5"/>
    <s v="BONO POR AYUDA A LUPITA."/>
    <m/>
    <n v="-10"/>
    <m/>
  </r>
  <r>
    <n v="94"/>
    <d v="2023-08-03T00:00:00"/>
    <x v="6"/>
    <x v="0"/>
    <s v="C. PALABRA."/>
    <n v="182"/>
    <m/>
    <s v="LUCIO. 9 Intenciones."/>
  </r>
  <r>
    <n v="95"/>
    <d v="2023-08-03T00:00:00"/>
    <x v="6"/>
    <x v="4"/>
    <s v="2 PZA 600 ML. AGUA CIEL BOTELLA."/>
    <n v="10"/>
    <m/>
    <s v="VENTA A $ 5.00 C/U"/>
  </r>
  <r>
    <n v="96"/>
    <d v="2023-08-06T00:00:00"/>
    <x v="6"/>
    <x v="1"/>
    <s v="1 PZA 600 ML. AGUA CIEL BOTELLA."/>
    <m/>
    <n v="-15"/>
    <s v="DIO LUCIO AL PADRE."/>
  </r>
  <r>
    <n v="97"/>
    <d v="2023-08-06T00:00:00"/>
    <x v="6"/>
    <x v="4"/>
    <s v="1 PZA 600 ML. AGUA CIEL BOTELLA."/>
    <n v="15"/>
    <m/>
    <s v="DIO LUCIO AL PADRE."/>
  </r>
  <r>
    <n v="98"/>
    <d v="2023-08-08T00:00:00"/>
    <x v="6"/>
    <x v="5"/>
    <s v="98 PZA .5KG SACO DE SAL 50 KG."/>
    <m/>
    <n v="-190"/>
    <m/>
  </r>
  <r>
    <n v="99"/>
    <d v="2023-08-10T00:00:00"/>
    <x v="6"/>
    <x v="0"/>
    <s v="C. PALABRA."/>
    <n v="433.5"/>
    <m/>
    <s v="ANITA, 22 Intenciones."/>
  </r>
  <r>
    <n v="100"/>
    <d v="2023-08-17T00:00:00"/>
    <x v="6"/>
    <x v="0"/>
    <s v="C. PALABRA."/>
    <n v="185"/>
    <m/>
    <s v="TERESITA. 12 Intenciones."/>
  </r>
  <r>
    <n v="101"/>
    <d v="2023-08-17T00:00:00"/>
    <x v="6"/>
    <x v="1"/>
    <s v="4 PZA 600 ML. AGUA CIEL BOTELLA"/>
    <m/>
    <n v="-60"/>
    <s v="USO CAPILLA"/>
  </r>
  <r>
    <n v="102"/>
    <d v="2023-08-17T00:00:00"/>
    <x v="6"/>
    <x v="4"/>
    <s v="4 PZA 600 ML. AGUA CIEL BOTELLA"/>
    <n v="60"/>
    <m/>
    <s v="USO CAPILLA"/>
  </r>
  <r>
    <n v="103"/>
    <d v="2023-08-18T00:00:00"/>
    <x v="6"/>
    <x v="1"/>
    <s v="DULCAS PARA MISA DEL DOMINGO."/>
    <m/>
    <n v="-94"/>
    <m/>
  </r>
  <r>
    <n v="104"/>
    <d v="2023-08-19T00:00:00"/>
    <x v="6"/>
    <x v="1"/>
    <s v="4 DUPLICADOS DE LLAVE DE INGRESO."/>
    <m/>
    <n v="-120"/>
    <s v="PUERTA VERDE (JESUS, LUCIO, NIDIA, ROSA)."/>
  </r>
  <r>
    <n v="105"/>
    <d v="2023-08-22T00:00:00"/>
    <x v="6"/>
    <x v="5"/>
    <s v="56 PZA 500 ML. AGUA GV."/>
    <m/>
    <n v="-150"/>
    <m/>
  </r>
  <r>
    <n v="106"/>
    <d v="2023-08-24T00:00:00"/>
    <x v="6"/>
    <x v="0"/>
    <s v="C. PALABRA."/>
    <n v="231"/>
    <m/>
    <s v="VICTOR. 4 Intenciones."/>
  </r>
  <r>
    <n v="107"/>
    <d v="2023-08-28T00:00:00"/>
    <x v="6"/>
    <x v="1"/>
    <s v="1 PZA .5KG SAL DE GRANO."/>
    <m/>
    <n v="-5"/>
    <s v="USO MISA SANACION."/>
  </r>
  <r>
    <n v="108"/>
    <d v="2023-08-28T00:00:00"/>
    <x v="6"/>
    <x v="1"/>
    <s v="3 PZA 500 ML. AGUA GV."/>
    <m/>
    <n v="-15"/>
    <s v="USO MISA SANACION."/>
  </r>
  <r>
    <n v="109"/>
    <d v="2023-08-28T00:00:00"/>
    <x v="6"/>
    <x v="1"/>
    <s v="6 PZA 600 ML. AGUA CIEL BOTELLA."/>
    <m/>
    <n v="-90"/>
    <s v="USO MISA SANACION."/>
  </r>
  <r>
    <n v="110"/>
    <d v="2023-08-28T00:00:00"/>
    <x v="6"/>
    <x v="4"/>
    <s v="1 PZA .5KG SAL DE GRANO."/>
    <n v="5"/>
    <m/>
    <s v="USO MISA SANACION."/>
  </r>
  <r>
    <n v="111"/>
    <d v="2023-08-28T00:00:00"/>
    <x v="6"/>
    <x v="4"/>
    <s v="3 PZA 500 ML. AGUA GV."/>
    <n v="15"/>
    <m/>
    <s v="USO MISA SANACION."/>
  </r>
  <r>
    <n v="112"/>
    <d v="2023-08-28T00:00:00"/>
    <x v="6"/>
    <x v="4"/>
    <s v="6 PZA 600 ML. AGUA CIEL BOTELLA."/>
    <n v="90"/>
    <m/>
    <s v="USO MISA SANACION."/>
  </r>
  <r>
    <n v="113"/>
    <d v="2023-08-28T00:00:00"/>
    <x v="6"/>
    <x v="4"/>
    <s v="63 PZA .5KG SAL DE GRANO."/>
    <n v="315"/>
    <m/>
    <m/>
  </r>
  <r>
    <n v="114"/>
    <d v="2023-08-28T00:00:00"/>
    <x v="6"/>
    <x v="4"/>
    <s v="65 PZA 500 ML. AGUA GV."/>
    <n v="325"/>
    <m/>
    <m/>
  </r>
  <r>
    <n v="115"/>
    <d v="2023-08-31T00:00:00"/>
    <x v="6"/>
    <x v="0"/>
    <s v="C. PALABRA."/>
    <n v="165"/>
    <m/>
    <s v="SARA. 4 Intenciones."/>
  </r>
  <r>
    <n v="116"/>
    <d v="2023-09-07T00:00:00"/>
    <x v="7"/>
    <x v="0"/>
    <s v="C. PALABRA."/>
    <n v="235"/>
    <m/>
    <s v="VICTOR. 8 Intenciones"/>
  </r>
  <r>
    <n v="117"/>
    <d v="2023-09-07T00:00:00"/>
    <x v="7"/>
    <x v="1"/>
    <s v="1 PZA 600 ML. AGUA CIEL BOTELLA."/>
    <m/>
    <n v="-15"/>
    <s v="USO EN CELEBRACION"/>
  </r>
  <r>
    <n v="118"/>
    <d v="2023-09-07T00:00:00"/>
    <x v="7"/>
    <x v="4"/>
    <s v="1 PZA 600 ML. AGUA CIEL BOTELLA."/>
    <n v="15"/>
    <m/>
    <s v="USO EN CELEBRACION"/>
  </r>
  <r>
    <n v="119"/>
    <d v="2023-09-08T00:00:00"/>
    <x v="7"/>
    <x v="1"/>
    <s v="1 ENCENDEDOR"/>
    <m/>
    <n v="-45"/>
    <m/>
  </r>
  <r>
    <n v="120"/>
    <d v="2023-09-14T00:00:00"/>
    <x v="7"/>
    <x v="0"/>
    <s v="C. PALABRA."/>
    <n v="420.5"/>
    <m/>
    <s v="TERESITA. 19 Intenciones."/>
  </r>
  <r>
    <n v="121"/>
    <d v="2023-09-20T00:00:00"/>
    <x v="7"/>
    <x v="1"/>
    <s v="DULCES PARA MISA DEL DOMINGO."/>
    <m/>
    <n v="-185.5"/>
    <m/>
  </r>
  <r>
    <n v="122"/>
    <d v="2023-09-20T00:00:00"/>
    <x v="7"/>
    <x v="1"/>
    <s v="ESMALTES SPRAY BLANCO."/>
    <m/>
    <n v="-160"/>
    <m/>
  </r>
  <r>
    <n v="123"/>
    <d v="2023-09-20T00:00:00"/>
    <x v="7"/>
    <x v="1"/>
    <s v="TAQUETES Y BROCA PARA BASE DEL SAGRARIO."/>
    <m/>
    <n v="-191"/>
    <m/>
  </r>
  <r>
    <n v="124"/>
    <d v="2023-09-20T00:00:00"/>
    <x v="7"/>
    <x v="1"/>
    <s v="TIRAR BASURA "/>
    <m/>
    <n v="-10"/>
    <m/>
  </r>
  <r>
    <n v="125"/>
    <d v="2023-09-21T00:00:00"/>
    <x v="7"/>
    <x v="0"/>
    <s v="C. PALABRA."/>
    <n v="290.5"/>
    <m/>
    <s v="SARA, 11 Intenciones."/>
  </r>
  <r>
    <n v="126"/>
    <d v="2023-09-24T00:00:00"/>
    <x v="7"/>
    <x v="2"/>
    <s v="SOBRANTE INTENCIONES ."/>
    <n v="10"/>
    <m/>
    <m/>
  </r>
  <r>
    <n v="127"/>
    <d v="2023-09-28T00:00:00"/>
    <x v="7"/>
    <x v="1"/>
    <s v="3 PZA 500 ML. GV"/>
    <m/>
    <n v="-15"/>
    <s v="3 PARA USO ALTAR."/>
  </r>
  <r>
    <n v="128"/>
    <d v="2023-09-28T00:00:00"/>
    <x v="7"/>
    <x v="1"/>
    <s v="3 PZA 600 ML. AGUA CIEL BOTELLAS."/>
    <m/>
    <n v="-15"/>
    <s v="SERVICIO ALTAR."/>
  </r>
  <r>
    <n v="129"/>
    <d v="2023-09-28T00:00:00"/>
    <x v="7"/>
    <x v="4"/>
    <s v="3 PZA 600 ML. AGUA CIEL BOTELLAS."/>
    <n v="15"/>
    <m/>
    <s v="SERVICIO ALTAR."/>
  </r>
  <r>
    <n v="130"/>
    <d v="2023-09-28T00:00:00"/>
    <x v="7"/>
    <x v="4"/>
    <s v="68 PZA .5KG SAL DE GRANO."/>
    <n v="330"/>
    <m/>
    <m/>
  </r>
  <r>
    <n v="131"/>
    <d v="2023-09-28T00:00:00"/>
    <x v="7"/>
    <x v="4"/>
    <s v="72 PZA 500 ML. GV"/>
    <n v="360"/>
    <m/>
    <m/>
  </r>
  <r>
    <n v="132"/>
    <d v="2023-09-28T00:00:00"/>
    <x v="7"/>
    <x v="5"/>
    <s v="84 PZAS 500 ML GV"/>
    <m/>
    <n v="-300"/>
    <m/>
  </r>
  <r>
    <n v="133"/>
    <d v="2023-09-28T00:00:00"/>
    <x v="7"/>
    <x v="5"/>
    <s v="BONO POR AYUDA A LUPITA."/>
    <m/>
    <n v="-15"/>
    <m/>
  </r>
  <r>
    <n v="134"/>
    <d v="2023-10-01T00:00:00"/>
    <x v="8"/>
    <x v="1"/>
    <s v="FABULOSO."/>
    <m/>
    <n v="-27"/>
    <m/>
  </r>
  <r>
    <n v="135"/>
    <d v="2023-10-06T00:00:00"/>
    <x v="8"/>
    <x v="0"/>
    <s v="C. PALABRA."/>
    <n v="136"/>
    <m/>
    <s v="VICTORI, 8 Intenciones."/>
  </r>
  <r>
    <n v="136"/>
    <d v="2023-10-07T00:00:00"/>
    <x v="8"/>
    <x v="1"/>
    <s v="PARCHE PARA VESTIDO MONAGUILLO."/>
    <m/>
    <n v="-50"/>
    <m/>
  </r>
  <r>
    <n v="137"/>
    <d v="2023-10-08T00:00:00"/>
    <x v="8"/>
    <x v="2"/>
    <s v="APORTACION METZY Y JAZMIN."/>
    <n v="450"/>
    <m/>
    <s v="Para Bancos."/>
  </r>
  <r>
    <n v="138"/>
    <d v="2023-10-08T00:00:00"/>
    <x v="8"/>
    <x v="2"/>
    <s v="RIFA COLCHA (DONACION)."/>
    <n v="1000"/>
    <m/>
    <s v="Realizo More la Rifa."/>
  </r>
  <r>
    <n v="139"/>
    <d v="2023-10-11T00:00:00"/>
    <x v="8"/>
    <x v="3"/>
    <s v="APORTACION METZY Y JAZMIN."/>
    <m/>
    <n v="-450"/>
    <s v="SE ENTREGO A LUCIO. BANCOS."/>
  </r>
  <r>
    <n v="140"/>
    <d v="2023-10-11T00:00:00"/>
    <x v="8"/>
    <x v="3"/>
    <s v="RIFA COLCHA (DONACION)."/>
    <m/>
    <n v="-1000"/>
    <s v="SE ENTREGO A LUCIO. BANCOS."/>
  </r>
  <r>
    <n v="141"/>
    <d v="2023-10-11T00:00:00"/>
    <x v="8"/>
    <x v="3"/>
    <s v="SE ASIGNO PARA BANCOS."/>
    <m/>
    <n v="-1400"/>
    <s v="SE ENTREGO A LUCIO. BANCOS."/>
  </r>
  <r>
    <n v="142"/>
    <d v="2023-10-11T00:00:00"/>
    <x v="8"/>
    <x v="1"/>
    <s v="BOLSA 8X26 PARA ESTIPENDIOS"/>
    <m/>
    <n v="-7"/>
    <m/>
  </r>
  <r>
    <n v="143"/>
    <d v="2023-10-12T00:00:00"/>
    <x v="8"/>
    <x v="0"/>
    <s v="C. PALABRA."/>
    <n v="130.5"/>
    <m/>
    <s v="TERE, 8 Intenciones."/>
  </r>
  <r>
    <n v="144"/>
    <d v="2023-10-18T00:00:00"/>
    <x v="8"/>
    <x v="1"/>
    <s v="TRANSFE, PARA FIESTAS TABLA ROCA"/>
    <m/>
    <n v="-2500"/>
    <s v="DEL ALTAR."/>
  </r>
  <r>
    <n v="145"/>
    <d v="2023-10-19T00:00:00"/>
    <x v="8"/>
    <x v="0"/>
    <s v="C. PALABRA."/>
    <n v="217"/>
    <m/>
    <s v="VICTOR: 12 Intenciones."/>
  </r>
  <r>
    <n v="146"/>
    <d v="2023-10-20T00:00:00"/>
    <x v="8"/>
    <x v="1"/>
    <s v="DOS SACOS DE CEMENTO"/>
    <m/>
    <n v="-480"/>
    <s v="PARA RAMPA Y ENTRADA."/>
  </r>
  <r>
    <n v="147"/>
    <d v="2023-10-21T00:00:00"/>
    <x v="8"/>
    <x v="1"/>
    <s v="UN SACO DE CEMENTO."/>
    <m/>
    <n v="-240"/>
    <s v="PARA RAMPA Y ENTRADA."/>
  </r>
  <r>
    <n v="148"/>
    <d v="2023-10-22T00:00:00"/>
    <x v="8"/>
    <x v="3"/>
    <s v="PARA COMPRA SAL Y AGUA."/>
    <m/>
    <n v="-290"/>
    <m/>
  </r>
  <r>
    <n v="149"/>
    <d v="2023-10-22T00:00:00"/>
    <x v="8"/>
    <x v="1"/>
    <s v="ENTREGA FONDOS AL PADRE."/>
    <m/>
    <n v="-3640.5"/>
    <m/>
  </r>
  <r>
    <n v="150"/>
    <d v="2023-10-22T00:00:00"/>
    <x v="8"/>
    <x v="4"/>
    <s v="APORTACIONES."/>
    <n v="290"/>
    <m/>
    <m/>
  </r>
  <r>
    <n v="151"/>
    <d v="2023-10-26T00:00:00"/>
    <x v="8"/>
    <x v="0"/>
    <s v="C. PALABRA."/>
    <n v="275.5"/>
    <m/>
    <s v="TERE, 10 Intenciones."/>
  </r>
  <r>
    <n v="152"/>
    <d v="2023-10-28T00:00:00"/>
    <x v="8"/>
    <x v="2"/>
    <s v="MANDA A SAN JUDAS."/>
    <n v="322.5"/>
    <m/>
    <m/>
  </r>
  <r>
    <n v="153"/>
    <d v="2023-10-31T00:00:00"/>
    <x v="8"/>
    <x v="2"/>
    <s v="SOBRANTE DE FIESTAS."/>
    <n v="3614"/>
    <m/>
    <s v="PARA COMPRAR MICROFONOS."/>
  </r>
  <r>
    <n v="154"/>
    <d v="2023-11-01T00:00:00"/>
    <x v="9"/>
    <x v="3"/>
    <s v="COMPRA MICROFONO INALAMBRICO"/>
    <m/>
    <n v="-2410"/>
    <s v="GLOBAL PLANET."/>
  </r>
  <r>
    <n v="155"/>
    <d v="2023-11-02T00:00:00"/>
    <x v="9"/>
    <x v="0"/>
    <s v="C. PALABRA."/>
    <n v="944"/>
    <m/>
    <s v="TERE, 61 Intenciones"/>
  </r>
  <r>
    <n v="156"/>
    <d v="2023-11-03T00:00:00"/>
    <x v="9"/>
    <x v="3"/>
    <s v="ANGELES PARA SANTISIMO."/>
    <m/>
    <n v="-280"/>
    <m/>
  </r>
  <r>
    <n v="157"/>
    <d v="2023-11-03T00:00:00"/>
    <x v="9"/>
    <x v="3"/>
    <s v="VELAS PARA CORONA ADV."/>
    <m/>
    <n v="-385"/>
    <m/>
  </r>
  <r>
    <n v="158"/>
    <d v="2023-11-08T00:00:00"/>
    <x v="9"/>
    <x v="3"/>
    <s v="DISCOS DE CORTE, METAL, CORONA ADV."/>
    <m/>
    <n v="-258.5"/>
    <s v="CDA"/>
  </r>
  <r>
    <n v="159"/>
    <d v="2023-11-09T00:00:00"/>
    <x v="9"/>
    <x v="2"/>
    <s v="LUCIO APORTACION DEL PAN."/>
    <n v="150"/>
    <m/>
    <m/>
  </r>
  <r>
    <n v="160"/>
    <d v="2023-11-09T00:00:00"/>
    <x v="9"/>
    <x v="0"/>
    <s v="C. PALABRA."/>
    <n v="436.5"/>
    <m/>
    <s v="VICTOR, 15 Intenciones."/>
  </r>
  <r>
    <n v="161"/>
    <d v="2023-11-13T00:00:00"/>
    <x v="9"/>
    <x v="3"/>
    <s v="AEROSOL, TORNILLOS Y REGATON P/CORONA ADV."/>
    <m/>
    <n v="-142.5"/>
    <s v="CDA"/>
  </r>
  <r>
    <n v="162"/>
    <d v="2023-11-14T00:00:00"/>
    <x v="9"/>
    <x v="2"/>
    <s v="SRA. AMELIA Para Platillo."/>
    <n v="100"/>
    <m/>
    <m/>
  </r>
  <r>
    <n v="163"/>
    <d v="2023-11-16T00:00:00"/>
    <x v="9"/>
    <x v="5"/>
    <s v="COSTAL DE SAL 50 KG."/>
    <m/>
    <n v="-185"/>
    <m/>
  </r>
  <r>
    <n v="164"/>
    <d v="2023-11-16T00:00:00"/>
    <x v="9"/>
    <x v="0"/>
    <s v="C. PALABRA."/>
    <n v="425"/>
    <m/>
    <m/>
  </r>
  <r>
    <n v="165"/>
    <d v="2023-11-17T00:00:00"/>
    <x v="9"/>
    <x v="3"/>
    <s v="LISTON PLATA Y ESFEREAS GRIS."/>
    <m/>
    <n v="-100"/>
    <s v="MODATELA"/>
  </r>
  <r>
    <n v="166"/>
    <d v="2023-11-17T00:00:00"/>
    <x v="9"/>
    <x v="3"/>
    <s v="SERIES Y ESFEREAS."/>
    <m/>
    <n v="-210"/>
    <s v="WALDO'S"/>
  </r>
  <r>
    <n v="167"/>
    <d v="2023-11-17T00:00:00"/>
    <x v="9"/>
    <x v="3"/>
    <s v="LISTON MORADO Y ESFERAS MORADAS"/>
    <m/>
    <n v="-92"/>
    <s v="PAPELERIA MONY"/>
  </r>
  <r>
    <n v="168"/>
    <d v="2023-11-18T00:00:00"/>
    <x v="9"/>
    <x v="3"/>
    <s v="ESMALTES SPRAY PLATA Y TORNILLOS."/>
    <m/>
    <n v="-132"/>
    <s v="CDA"/>
  </r>
  <r>
    <n v="169"/>
    <d v="2023-11-23T00:00:00"/>
    <x v="9"/>
    <x v="0"/>
    <s v="C. PALABRA."/>
    <n v="301"/>
    <m/>
    <s v="ROCIO, 14 Intenciones"/>
  </r>
  <r>
    <n v="170"/>
    <d v="2023-11-24T00:00:00"/>
    <x v="9"/>
    <x v="5"/>
    <s v="56 PZA 500 ML. GV"/>
    <m/>
    <n v="-176"/>
    <s v="WALMART ALTEA."/>
  </r>
  <r>
    <n v="171"/>
    <d v="2023-11-28T00:00:00"/>
    <x v="9"/>
    <x v="4"/>
    <s v="69.- PZA AGUA 500 ML. GV."/>
    <n v="345"/>
    <m/>
    <m/>
  </r>
  <r>
    <n v="172"/>
    <d v="2023-11-28T00:00:00"/>
    <x v="9"/>
    <x v="4"/>
    <s v="68.- PZA SAL DE 1/2 KG."/>
    <n v="340"/>
    <m/>
    <m/>
  </r>
  <r>
    <n v="173"/>
    <d v="2023-11-28T00:00:00"/>
    <x v="9"/>
    <x v="5"/>
    <s v="BONO POR AYUDA A LUPITA."/>
    <m/>
    <n v="-14"/>
    <m/>
  </r>
  <r>
    <n v="174"/>
    <d v="2023-11-28T00:00:00"/>
    <x v="9"/>
    <x v="2"/>
    <s v="APORTACIONES EN MISA."/>
    <n v="370"/>
    <m/>
    <s v="Cambios en las Intenciones."/>
  </r>
  <r>
    <n v="175"/>
    <d v="2023-11-30T00:00:00"/>
    <x v="9"/>
    <x v="0"/>
    <s v="C. PALABRA."/>
    <n v="282"/>
    <m/>
    <s v="SARA: 16 Intenciones."/>
  </r>
  <r>
    <n v="176"/>
    <d v="2023-12-03T00:00:00"/>
    <x v="10"/>
    <x v="4"/>
    <s v="1.- PZA AGUA 500 ML. GV"/>
    <n v="5"/>
    <m/>
    <s v="P/Don Carlos."/>
  </r>
  <r>
    <n v="177"/>
    <d v="2023-12-07T00:00:00"/>
    <x v="10"/>
    <x v="0"/>
    <s v="C. PALABRA."/>
    <n v="308"/>
    <m/>
    <s v="TERE, 17 Intenciones."/>
  </r>
  <r>
    <n v="178"/>
    <d v="2023-12-12T00:00:00"/>
    <x v="10"/>
    <x v="2"/>
    <s v="MARIA INES."/>
    <n v="200"/>
    <m/>
    <m/>
  </r>
  <r>
    <n v="179"/>
    <d v="2023-12-12T00:00:00"/>
    <x v="10"/>
    <x v="2"/>
    <s v="APORTACION INTENCIONES"/>
    <n v="10"/>
    <m/>
    <m/>
  </r>
  <r>
    <n v="180"/>
    <d v="2023-12-14T00:00:00"/>
    <x v="10"/>
    <x v="0"/>
    <s v="C. PALABRA."/>
    <n v="192"/>
    <m/>
    <s v="ROCIO, 10 Intenciones."/>
  </r>
  <r>
    <n v="181"/>
    <d v="2023-12-15T00:00:00"/>
    <x v="10"/>
    <x v="1"/>
    <s v="LIMPIADOR BRISA MARINA."/>
    <m/>
    <n v="-55"/>
    <s v="CHEDRAUI"/>
  </r>
  <r>
    <n v="182"/>
    <d v="2023-12-15T00:00:00"/>
    <x v="10"/>
    <x v="1"/>
    <s v="4 ROLLOS PAPEL HIGIENICO."/>
    <m/>
    <n v="-30"/>
    <s v="CHEDRAUI"/>
  </r>
  <r>
    <n v="183"/>
    <d v="2023-12-21T00:00:00"/>
    <x v="10"/>
    <x v="0"/>
    <s v="C. PALABRA."/>
    <n v="263"/>
    <m/>
    <s v="TERE, 24 Intenciones."/>
  </r>
  <r>
    <n v="184"/>
    <d v="2023-12-25T00:00:00"/>
    <x v="10"/>
    <x v="2"/>
    <s v="APORTACION INTENCIONES"/>
    <n v="10"/>
    <m/>
    <m/>
  </r>
  <r>
    <n v="185"/>
    <d v="2023-12-26T00:00:00"/>
    <x v="10"/>
    <x v="1"/>
    <s v="PLATILLO COMUNION NIQUEL (CASA ANGUIANO)."/>
    <m/>
    <n v="-1063"/>
    <m/>
  </r>
  <r>
    <n v="186"/>
    <d v="2023-12-28T00:00:00"/>
    <x v="10"/>
    <x v="4"/>
    <s v="32.- PZA SAL DE 1/2 KG."/>
    <n v="160"/>
    <m/>
    <m/>
  </r>
  <r>
    <n v="187"/>
    <d v="2023-12-28T00:00:00"/>
    <x v="10"/>
    <x v="4"/>
    <s v="15.- PZA AGUA 500 ML. GV."/>
    <n v="75"/>
    <m/>
    <m/>
  </r>
  <r>
    <n v="188"/>
    <d v="2023-12-28T00:00:00"/>
    <x v="10"/>
    <x v="4"/>
    <s v="APORTACIONES"/>
    <n v="15"/>
    <m/>
    <m/>
  </r>
  <r>
    <n v="189"/>
    <d v="2023-12-31T00:00:00"/>
    <x v="10"/>
    <x v="1"/>
    <s v="ESTIPENDIO PADRE LUIS"/>
    <m/>
    <n v="-500"/>
    <s v="MISA 1ro. ENERO."/>
  </r>
  <r>
    <n v="190"/>
    <m/>
    <x v="11"/>
    <x v="6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1"/>
    <d v="2023-12-31T00:00:00"/>
    <x v="0"/>
    <x v="0"/>
    <s v="APORTACIONES SALDO INICIAL."/>
    <n v="766.5"/>
    <m/>
    <x v="0"/>
  </r>
  <r>
    <n v="2"/>
    <d v="2023-12-31T00:00:00"/>
    <x v="0"/>
    <x v="1"/>
    <s v="C. PALABRA. SALDO INICIAL."/>
    <n v="1779"/>
    <m/>
    <x v="1"/>
  </r>
  <r>
    <n v="3"/>
    <d v="2023-12-31T00:00:00"/>
    <x v="0"/>
    <x v="2"/>
    <s v="VENTAS SALDO INICIAL."/>
    <n v="1643"/>
    <m/>
    <x v="2"/>
  </r>
  <r>
    <n v="4"/>
    <d v="2024-01-04T00:00:00"/>
    <x v="0"/>
    <x v="1"/>
    <s v="C. PALABRA. 24 INTENCIONES; PILI VAZQUEZ."/>
    <n v="329"/>
    <m/>
    <x v="1"/>
  </r>
  <r>
    <n v="5"/>
    <d v="2024-01-05T00:00:00"/>
    <x v="0"/>
    <x v="3"/>
    <s v="112 PZAS AGUA 500 ML. GV."/>
    <m/>
    <n v="-320"/>
    <x v="2"/>
  </r>
  <r>
    <n v="6"/>
    <d v="2024-01-05T00:00:00"/>
    <x v="0"/>
    <x v="3"/>
    <s v="50 KG SAL DE GRANO."/>
    <m/>
    <n v="-185"/>
    <x v="2"/>
  </r>
  <r>
    <n v="7"/>
    <d v="2024-01-11T00:00:00"/>
    <x v="0"/>
    <x v="1"/>
    <s v="C. PALABRA. 10 INTENCIONES; ROCIO."/>
    <n v="127"/>
    <m/>
    <x v="1"/>
  </r>
  <r>
    <n v="8"/>
    <d v="2024-01-18T00:00:00"/>
    <x v="0"/>
    <x v="1"/>
    <s v="C. PALABRA. 6 INTENCIONES; TERESITA."/>
    <n v="96"/>
    <m/>
    <x v="1"/>
  </r>
  <r>
    <n v="9"/>
    <d v="2024-01-22T00:00:00"/>
    <x v="0"/>
    <x v="4"/>
    <s v="2 BOLSAS DE DULCES."/>
    <m/>
    <n v="-89"/>
    <x v="3"/>
  </r>
  <r>
    <n v="10"/>
    <d v="2024-01-25T00:00:00"/>
    <x v="0"/>
    <x v="1"/>
    <s v="C. PALABRA. 18 INTENCIONES; SARA."/>
    <n v="429"/>
    <m/>
    <x v="1"/>
  </r>
  <r>
    <n v="11"/>
    <d v="2024-01-26T00:00:00"/>
    <x v="0"/>
    <x v="0"/>
    <s v="DONATIVOS EN LA VENTA DE AGUA Y SAL."/>
    <n v="103"/>
    <m/>
    <x v="0"/>
  </r>
  <r>
    <n v="12"/>
    <d v="2024-01-26T00:00:00"/>
    <x v="0"/>
    <x v="0"/>
    <s v="SORANTE INTENCIONES MISA SANACION."/>
    <n v="10"/>
    <m/>
    <x v="0"/>
  </r>
  <r>
    <n v="13"/>
    <d v="2024-01-26T00:00:00"/>
    <x v="0"/>
    <x v="2"/>
    <s v="39.- PZAS AGUA 500 ML. GV."/>
    <n v="195"/>
    <m/>
    <x v="2"/>
  </r>
  <r>
    <n v="14"/>
    <d v="2024-01-26T00:00:00"/>
    <x v="0"/>
    <x v="2"/>
    <s v="45.- PZAS SAL 1/5 KG. "/>
    <n v="225"/>
    <m/>
    <x v="2"/>
  </r>
  <r>
    <n v="15"/>
    <d v="2024-01-27T00:00:00"/>
    <x v="0"/>
    <x v="5"/>
    <s v="2.- DOS LAMPARA PARA REPONER."/>
    <m/>
    <n v="-60"/>
    <x v="4"/>
  </r>
  <r>
    <n v="16"/>
    <d v="2024-02-01T00:00:00"/>
    <x v="1"/>
    <x v="1"/>
    <s v="C. PALABRA. 11 INTENCIONES; SARA."/>
    <n v="176"/>
    <m/>
    <x v="1"/>
  </r>
  <r>
    <n v="17"/>
    <d v="2024-02-08T00:00:00"/>
    <x v="1"/>
    <x v="1"/>
    <s v="C. PALABRA. 13 INTENCIONES; VICTOR."/>
    <n v="306"/>
    <m/>
    <x v="1"/>
  </r>
  <r>
    <n v="18"/>
    <d v="2024-02-11T00:00:00"/>
    <x v="1"/>
    <x v="0"/>
    <s v="SORANTE INTENCIONES MISA SANACION."/>
    <n v="20"/>
    <m/>
    <x v="0"/>
  </r>
  <r>
    <n v="19"/>
    <d v="2024-02-13T00:00:00"/>
    <x v="1"/>
    <x v="4"/>
    <s v="DULCES PARA MISA."/>
    <m/>
    <n v="-121"/>
    <x v="3"/>
  </r>
  <r>
    <n v="20"/>
    <d v="2024-02-13T00:00:00"/>
    <x v="1"/>
    <x v="4"/>
    <s v="PARA HACER ALCANCIA (BOTE)."/>
    <m/>
    <n v="-35"/>
    <x v="3"/>
  </r>
  <r>
    <n v="21"/>
    <d v="2024-02-15T00:00:00"/>
    <x v="1"/>
    <x v="1"/>
    <s v="36 INTENCIONES MISA DE 8:00 PM."/>
    <n v="360"/>
    <m/>
    <x v="5"/>
  </r>
  <r>
    <n v="22"/>
    <d v="2024-02-15T00:00:00"/>
    <x v="1"/>
    <x v="1"/>
    <s v="MISA DE 8:00 PM, P. MANESH TOMAS."/>
    <n v="445.5"/>
    <m/>
    <x v="5"/>
  </r>
  <r>
    <n v="23"/>
    <d v="2024-02-15T00:00:00"/>
    <x v="1"/>
    <x v="2"/>
    <s v="3 .- PZA AGUA 500 ML. GV (2 SER. ALTAR)"/>
    <n v="5"/>
    <m/>
    <x v="2"/>
  </r>
  <r>
    <n v="24"/>
    <d v="2024-02-17T00:00:00"/>
    <x v="1"/>
    <x v="4"/>
    <s v="ENTREGA COLECTA AL PADRE LUIS GARCIA."/>
    <m/>
    <n v="-805.5"/>
    <x v="6"/>
  </r>
  <r>
    <n v="25"/>
    <d v="2024-02-19T00:00:00"/>
    <x v="1"/>
    <x v="0"/>
    <s v="COOPERACION DEJARON PARA CULTO."/>
    <n v="20"/>
    <m/>
    <x v="0"/>
  </r>
  <r>
    <n v="26"/>
    <d v="2024-02-22T00:00:00"/>
    <x v="1"/>
    <x v="1"/>
    <s v="C. PALABRA. 18 INTENCIONES; VICTOR."/>
    <n v="320.5"/>
    <m/>
    <x v="1"/>
  </r>
  <r>
    <n v="27"/>
    <d v="2024-02-23T00:00:00"/>
    <x v="1"/>
    <x v="2"/>
    <s v="55.- PZAS SAL 1/5 KG. "/>
    <n v="275"/>
    <m/>
    <x v="2"/>
  </r>
  <r>
    <n v="28"/>
    <d v="2024-02-23T00:00:00"/>
    <x v="1"/>
    <x v="2"/>
    <s v="63.- PZAS AGUA 500 ML. GV."/>
    <n v="315"/>
    <m/>
    <x v="2"/>
  </r>
  <r>
    <n v="29"/>
    <d v="2024-02-24T00:00:00"/>
    <x v="1"/>
    <x v="4"/>
    <s v="1.- COJIN PARA LA CEDE."/>
    <m/>
    <n v="-350"/>
    <x v="3"/>
  </r>
  <r>
    <n v="30"/>
    <d v="2024-02-24T00:00:00"/>
    <x v="1"/>
    <x v="4"/>
    <s v="1.- MANTEL PARA ALTAR."/>
    <m/>
    <n v="-100"/>
    <x v="3"/>
  </r>
  <r>
    <n v="31"/>
    <d v="2024-02-24T00:00:00"/>
    <x v="1"/>
    <x v="4"/>
    <s v="2.- ESCOBAS Y UN ATOMIZADOR."/>
    <m/>
    <n v="-156"/>
    <x v="4"/>
  </r>
  <r>
    <n v="32"/>
    <d v="2024-02-29T00:00:00"/>
    <x v="1"/>
    <x v="1"/>
    <s v="C. PALABRA. 16 INTENCIONES; CARLOS."/>
    <n v="320"/>
    <m/>
    <x v="1"/>
  </r>
  <r>
    <n v="33"/>
    <d v="2024-02-29T00:00:00"/>
    <x v="1"/>
    <x v="4"/>
    <s v="PALETA RELOJ"/>
    <m/>
    <n v="-55"/>
    <x v="3"/>
  </r>
  <r>
    <n v="34"/>
    <d v="2024-02-29T00:00:00"/>
    <x v="1"/>
    <x v="3"/>
    <s v="0.63 KGS. BOLSA ROLLO 15X25 POLISEDA REYMA"/>
    <m/>
    <n v="-39.5"/>
    <x v="2"/>
  </r>
  <r>
    <n v="35"/>
    <d v="2024-02-29T00:00:00"/>
    <x v="1"/>
    <x v="3"/>
    <s v="0.92 KGS. BOLSA ROLLO 18X26 POLISEDA REYMA"/>
    <m/>
    <n v="-57"/>
    <x v="2"/>
  </r>
  <r>
    <n v="36"/>
    <d v="2024-02-29T00:00:00"/>
    <x v="1"/>
    <x v="3"/>
    <s v="112.- PZAS AGUA 500 ML- GV."/>
    <m/>
    <n v="-320"/>
    <x v="7"/>
  </r>
  <r>
    <n v="37"/>
    <d v="2024-02-29T00:00:00"/>
    <x v="1"/>
    <x v="3"/>
    <s v="50 KGS. SAL DE COLIMA,"/>
    <m/>
    <n v="-185"/>
    <x v="8"/>
  </r>
  <r>
    <n v="38"/>
    <d v="2024-03-05T00:00:00"/>
    <x v="2"/>
    <x v="4"/>
    <s v="ENTREGA COLECTA AL PADRE LUIS GARCIA."/>
    <m/>
    <n v="-2976.5"/>
    <x v="6"/>
  </r>
  <r>
    <n v="39"/>
    <d v="2024-03-07T00:00:00"/>
    <x v="2"/>
    <x v="0"/>
    <s v="COOPERACION DEJARON PARA CULTO."/>
    <n v="130"/>
    <m/>
    <x v="0"/>
  </r>
  <r>
    <n v="40"/>
    <d v="2024-03-07T00:00:00"/>
    <x v="2"/>
    <x v="0"/>
    <s v="DEPOSITO SRA. PARA CAPILLA (CREO CONTRU)"/>
    <n v="500"/>
    <m/>
    <x v="0"/>
  </r>
  <r>
    <n v="41"/>
    <d v="2024-03-07T00:00:00"/>
    <x v="2"/>
    <x v="1"/>
    <s v="C. PALABRA. 16 INTENCIONES; TERESITA.."/>
    <n v="440"/>
    <m/>
    <x v="1"/>
  </r>
  <r>
    <n v="42"/>
    <d v="2024-03-08T00:00:00"/>
    <x v="2"/>
    <x v="4"/>
    <s v="FOCO PARA REFLECTOR DEL CRISTO."/>
    <m/>
    <n v="-40"/>
    <x v="4"/>
  </r>
  <r>
    <n v="43"/>
    <d v="2024-03-17T00:00:00"/>
    <x v="2"/>
    <x v="0"/>
    <s v="COOPERACION DEJARON PARA CULTO."/>
    <n v="50"/>
    <m/>
    <x v="0"/>
  </r>
  <r>
    <n v="44"/>
    <d v="2024-03-17T00:00:00"/>
    <x v="2"/>
    <x v="0"/>
    <s v="SORANTE INTENCIONES MISA."/>
    <n v="10"/>
    <m/>
    <x v="0"/>
  </r>
  <r>
    <n v="45"/>
    <d v="2024-03-19T00:00:00"/>
    <x v="3"/>
    <x v="5"/>
    <s v="LIQUIDACION 50% 2 BANCAS."/>
    <m/>
    <n v="-2500"/>
    <x v="9"/>
  </r>
  <r>
    <n v="46"/>
    <d v="2024-03-21T00:00:00"/>
    <x v="2"/>
    <x v="1"/>
    <s v="C. PALABRA. 7 INTENCIONES; VICTOR.."/>
    <n v="222"/>
    <m/>
    <x v="1"/>
  </r>
  <r>
    <n v="47"/>
    <d v="2024-03-22T00:00:00"/>
    <x v="2"/>
    <x v="0"/>
    <s v="COOPERACION DEJARON PARA CULTO."/>
    <n v="1940"/>
    <m/>
    <x v="0"/>
  </r>
  <r>
    <n v="48"/>
    <d v="2024-03-22T00:00:00"/>
    <x v="2"/>
    <x v="1"/>
    <s v="APORTACION PARA PALMAS."/>
    <n v="200"/>
    <m/>
    <x v="10"/>
  </r>
  <r>
    <n v="49"/>
    <d v="2024-03-22T00:00:00"/>
    <x v="2"/>
    <x v="4"/>
    <s v="FOCO PARA PUERTA DE SACRISTIA."/>
    <m/>
    <n v="-25"/>
    <x v="4"/>
  </r>
  <r>
    <n v="50"/>
    <d v="2024-03-22T00:00:00"/>
    <x v="2"/>
    <x v="2"/>
    <s v="1 PZA. AGUA 500 ML-GV. (SERVICIO)"/>
    <n v="0"/>
    <m/>
    <x v="11"/>
  </r>
  <r>
    <n v="51"/>
    <d v="2024-03-22T00:00:00"/>
    <x v="2"/>
    <x v="2"/>
    <s v="40.- PZA SAL 500 GR-COLIMA"/>
    <n v="200"/>
    <m/>
    <x v="12"/>
  </r>
  <r>
    <n v="52"/>
    <d v="2024-03-22T00:00:00"/>
    <x v="2"/>
    <x v="2"/>
    <s v="49.- PZA AGUA 500 ML-GV."/>
    <n v="245"/>
    <m/>
    <x v="13"/>
  </r>
  <r>
    <n v="53"/>
    <d v="2024-03-23T00:00:00"/>
    <x v="2"/>
    <x v="2"/>
    <s v="1.- PZA SAL 500 GR-COLIMA."/>
    <n v="5"/>
    <m/>
    <x v="14"/>
  </r>
  <r>
    <n v="54"/>
    <d v="2024-03-24T00:00:00"/>
    <x v="2"/>
    <x v="4"/>
    <s v="ADORNO DE PALMAS."/>
    <m/>
    <n v="-700"/>
    <x v="3"/>
  </r>
  <r>
    <n v="55"/>
    <d v="2024-03-24T00:00:00"/>
    <x v="2"/>
    <x v="4"/>
    <s v="RECOLECCION DE BASURA"/>
    <m/>
    <n v="-10"/>
    <x v="4"/>
  </r>
  <r>
    <n v="56"/>
    <d v="2024-03-26T00:00:00"/>
    <x v="2"/>
    <x v="3"/>
    <s v="APADRINAMIENTO CIRIO DE CAPILLA."/>
    <m/>
    <n v="-750"/>
    <x v="2"/>
  </r>
  <r>
    <n v="57"/>
    <d v="2024-03-30T00:00:00"/>
    <x v="2"/>
    <x v="2"/>
    <s v="2.- PZA AGUA 500 ML. GV (SERVICIO)"/>
    <n v="0"/>
    <m/>
    <x v="15"/>
  </r>
  <r>
    <n v="58"/>
    <d v="2024-04-01T00:00:00"/>
    <x v="4"/>
    <x v="0"/>
    <s v="APORTACION SRA. AMELIA."/>
    <n v="100"/>
    <m/>
    <x v="0"/>
  </r>
  <r>
    <n v="59"/>
    <d v="2024-04-04T00:00:00"/>
    <x v="4"/>
    <x v="1"/>
    <s v="C. PALABRA. 20 INTENCIONES; SARA."/>
    <n v="286"/>
    <m/>
    <x v="1"/>
  </r>
  <r>
    <n v="60"/>
    <d v="2024-04-07T00:00:00"/>
    <x v="4"/>
    <x v="0"/>
    <s v="COOPERACION DEJARON PARA CULTO."/>
    <n v="30"/>
    <m/>
    <x v="0"/>
  </r>
  <r>
    <n v="61"/>
    <d v="2024-04-07T00:00:00"/>
    <x v="4"/>
    <x v="0"/>
    <s v="SORANTE INTENCIONES MISA."/>
    <n v="30"/>
    <m/>
    <x v="0"/>
  </r>
  <r>
    <n v="62"/>
    <d v="2024-04-10T00:00:00"/>
    <x v="4"/>
    <x v="5"/>
    <s v="COMPRA VELADORAS MICHEL."/>
    <m/>
    <n v="-310"/>
    <x v="3"/>
  </r>
  <r>
    <n v="63"/>
    <d v="2024-04-11T00:00:00"/>
    <x v="4"/>
    <x v="1"/>
    <s v="MISA DE 8:00 PM, P. MANESH TOMAS. 40 INTEN"/>
    <n v="713"/>
    <m/>
    <x v="5"/>
  </r>
  <r>
    <n v="64"/>
    <d v="2024-04-11T00:00:00"/>
    <x v="4"/>
    <x v="4"/>
    <s v="1lt. CLORO."/>
    <m/>
    <n v="-12"/>
    <x v="4"/>
  </r>
  <r>
    <n v="65"/>
    <d v="2024-04-12T00:00:00"/>
    <x v="4"/>
    <x v="4"/>
    <s v="ENTREGA COLECTA AL PADRE LUIS GARCIA."/>
    <m/>
    <n v="-1000"/>
    <x v="6"/>
  </r>
  <r>
    <n v="66"/>
    <d v="2024-04-18T00:00:00"/>
    <x v="4"/>
    <x v="1"/>
    <s v="C. PALABRA. 18 INTENCIONES; GERARDO."/>
    <n v="426.5"/>
    <m/>
    <x v="1"/>
  </r>
  <r>
    <n v="67"/>
    <d v="2024-04-25T00:00:00"/>
    <x v="4"/>
    <x v="0"/>
    <s v="COOPERACION DEJARON PARA CULTO."/>
    <n v="100"/>
    <m/>
    <x v="0"/>
  </r>
  <r>
    <n v="68"/>
    <d v="2024-04-25T00:00:00"/>
    <x v="4"/>
    <x v="1"/>
    <s v="C. PALABRA. 17 INTENCIONES; TERESITA."/>
    <n v="299.5"/>
    <m/>
    <x v="1"/>
  </r>
  <r>
    <n v="69"/>
    <d v="2024-04-26T00:00:00"/>
    <x v="4"/>
    <x v="4"/>
    <s v="AGUA SERVICIO CAPILLA (MAR/ABR)."/>
    <m/>
    <n v="-81"/>
    <x v="3"/>
  </r>
  <r>
    <n v="70"/>
    <d v="2024-04-26T00:00:00"/>
    <x v="4"/>
    <x v="2"/>
    <s v="51.- PZA AGUA 500 ML. GV (SERVICIO)"/>
    <n v="255"/>
    <m/>
    <x v="16"/>
  </r>
  <r>
    <n v="71"/>
    <d v="2024-04-26T00:00:00"/>
    <x v="4"/>
    <x v="2"/>
    <s v="55.- PZA SAL 500 GR-COLIMA."/>
    <n v="275"/>
    <m/>
    <x v="16"/>
  </r>
  <r>
    <n v="72"/>
    <d v="2024-04-26T00:00:00"/>
    <x v="4"/>
    <x v="2"/>
    <s v="7.- PZA AGUA 500 ML. GV (SERVICIO)"/>
    <n v="0"/>
    <m/>
    <x v="2"/>
  </r>
  <r>
    <n v="73"/>
    <d v="2024-04-27T00:00:00"/>
    <x v="4"/>
    <x v="4"/>
    <s v="DULCES PARA MISA."/>
    <m/>
    <n v="-45"/>
    <x v="3"/>
  </r>
  <r>
    <n v="74"/>
    <d v="2024-04-28T00:00:00"/>
    <x v="4"/>
    <x v="4"/>
    <s v="TIRAR BASURA."/>
    <m/>
    <n v="-20"/>
    <x v="4"/>
  </r>
  <r>
    <n v="75"/>
    <d v="2024-05-02T00:00:00"/>
    <x v="5"/>
    <x v="1"/>
    <s v="C. PALABRA. 23 INTENCIONES; TERESITA."/>
    <n v="411.5"/>
    <m/>
    <x v="1"/>
  </r>
  <r>
    <n v="76"/>
    <d v="2024-05-02T00:00:00"/>
    <x v="5"/>
    <x v="4"/>
    <s v="COMPRA DULCES."/>
    <m/>
    <n v="-53"/>
    <x v="3"/>
  </r>
  <r>
    <n v="77"/>
    <d v="2024-05-02T00:00:00"/>
    <x v="5"/>
    <x v="3"/>
    <s v="112 PZAS AGUA 500 ML. GV."/>
    <m/>
    <n v="-320"/>
    <x v="17"/>
  </r>
  <r>
    <n v="78"/>
    <d v="2024-05-02T00:00:00"/>
    <x v="5"/>
    <x v="3"/>
    <s v="50 KGS. SAL DE COLIMA,"/>
    <m/>
    <n v="-185"/>
    <x v="18"/>
  </r>
  <r>
    <n v="79"/>
    <d v="2024-05-04T00:00:00"/>
    <x v="5"/>
    <x v="5"/>
    <s v="DUPLICADO LLAVES CUARTOS."/>
    <m/>
    <n v="-45"/>
    <x v="4"/>
  </r>
  <r>
    <n v="80"/>
    <d v="2024-05-04T00:00:00"/>
    <x v="5"/>
    <x v="5"/>
    <s v="PINTURA VINILICA Y ESMALTE BLANCO."/>
    <m/>
    <n v="-110"/>
    <x v="4"/>
  </r>
  <r>
    <n v="81"/>
    <d v="2024-05-05T00:00:00"/>
    <x v="5"/>
    <x v="0"/>
    <s v="COOPERACION DEJARON PARA CULTO."/>
    <n v="190"/>
    <m/>
    <x v="0"/>
  </r>
  <r>
    <n v="82"/>
    <d v="2024-05-05T00:00:00"/>
    <x v="5"/>
    <x v="5"/>
    <s v="2 PZAS. AGUA USO CAPILLA."/>
    <m/>
    <n v="-10"/>
    <x v="3"/>
  </r>
  <r>
    <n v="83"/>
    <d v="2024-05-05T00:00:00"/>
    <x v="5"/>
    <x v="4"/>
    <s v="ENTREGA COLECTA AL PADRE LUIS GARCIA."/>
    <m/>
    <n v="-1012.5"/>
    <x v="6"/>
  </r>
  <r>
    <n v="84"/>
    <d v="2024-05-05T00:00:00"/>
    <x v="5"/>
    <x v="2"/>
    <s v="2 PZAS. AGUA USO CAPILLA."/>
    <n v="10"/>
    <m/>
    <x v="19"/>
  </r>
  <r>
    <n v="85"/>
    <d v="2024-05-09T00:00:00"/>
    <x v="5"/>
    <x v="1"/>
    <s v="JUEVES MISA DE 7:00 PM, P. GABRIEL. INT.-44"/>
    <n v="882.5"/>
    <m/>
    <x v="5"/>
  </r>
  <r>
    <n v="86"/>
    <d v="2024-05-11T00:00:00"/>
    <x v="5"/>
    <x v="4"/>
    <s v="ENTREGA COLECTA AL PADRE LUIS GARCIA."/>
    <m/>
    <n v="-882.5"/>
    <x v="6"/>
  </r>
  <r>
    <n v="87"/>
    <d v="2024-05-12T00:00:00"/>
    <x v="5"/>
    <x v="0"/>
    <s v="COOPERACION DEJARON PARA CULTO."/>
    <n v="500"/>
    <m/>
    <x v="0"/>
  </r>
  <r>
    <n v="88"/>
    <d v="2024-05-12T00:00:00"/>
    <x v="5"/>
    <x v="0"/>
    <s v="SORANTE INTENCIONES MISA."/>
    <n v="10"/>
    <m/>
    <x v="0"/>
  </r>
  <r>
    <n v="89"/>
    <d v="2024-05-12T00:00:00"/>
    <x v="5"/>
    <x v="0"/>
    <s v="SR. JESUS LUNA PARA CULTO."/>
    <n v="50"/>
    <m/>
    <x v="0"/>
  </r>
  <r>
    <n v="90"/>
    <d v="2024-05-12T00:00:00"/>
    <x v="5"/>
    <x v="2"/>
    <s v="2 PZAS. AGUA 500 ML. GV."/>
    <n v="10"/>
    <m/>
    <x v="2"/>
  </r>
  <r>
    <n v="91"/>
    <d v="2024-05-13T00:00:00"/>
    <x v="5"/>
    <x v="0"/>
    <s v="SRA. AMELIA AGUILAR PARA CULTO."/>
    <n v="100"/>
    <m/>
    <x v="0"/>
  </r>
  <r>
    <n v="92"/>
    <d v="2024-05-15T00:00:00"/>
    <x v="5"/>
    <x v="4"/>
    <s v="COMPRA DULCES."/>
    <m/>
    <n v="-103.5"/>
    <x v="3"/>
  </r>
  <r>
    <n v="93"/>
    <d v="2024-05-15T00:00:00"/>
    <x v="5"/>
    <x v="4"/>
    <s v="TELAS Y FIGURAS PARA PENTECOSTES Y CORPUS."/>
    <m/>
    <n v="-120"/>
    <x v="3"/>
  </r>
  <r>
    <n v="94"/>
    <d v="2024-05-16T00:00:00"/>
    <x v="5"/>
    <x v="1"/>
    <s v="C. PALABRA. 22 INTENCIONES; GERARDO."/>
    <n v="495"/>
    <m/>
    <x v="1"/>
  </r>
  <r>
    <n v="95"/>
    <d v="2024-05-19T00:00:00"/>
    <x v="5"/>
    <x v="0"/>
    <s v="COOPERACION DEJARON PARA CULTO."/>
    <n v="50"/>
    <m/>
    <x v="0"/>
  </r>
  <r>
    <n v="96"/>
    <d v="2024-05-19T00:00:00"/>
    <x v="5"/>
    <x v="4"/>
    <s v="ADORNO DE FLORES PARA PENTECOSTES."/>
    <m/>
    <n v="-400"/>
    <x v="3"/>
  </r>
  <r>
    <n v="97"/>
    <d v="2024-05-19T00:00:00"/>
    <x v="5"/>
    <x v="2"/>
    <s v="3 PZAS AGUA 500 ML GV."/>
    <n v="15"/>
    <m/>
    <x v="20"/>
  </r>
  <r>
    <n v="98"/>
    <d v="2024-05-23T00:00:00"/>
    <x v="5"/>
    <x v="1"/>
    <s v="C. PALABRA. 15 INTENCIONES; VICTOR."/>
    <n v="382"/>
    <m/>
    <x v="1"/>
  </r>
  <r>
    <n v="99"/>
    <d v="2024-05-23T00:00:00"/>
    <x v="5"/>
    <x v="2"/>
    <s v="3 PZAS AGUA 500 ML GV."/>
    <n v="15"/>
    <m/>
    <x v="21"/>
  </r>
  <r>
    <n v="100"/>
    <d v="2024-05-26T00:00:00"/>
    <x v="5"/>
    <x v="0"/>
    <s v="COOPERACION DEJARON PARA CULTO."/>
    <n v="50"/>
    <m/>
    <x v="0"/>
  </r>
  <r>
    <n v="101"/>
    <d v="2024-05-31T00:00:00"/>
    <x v="5"/>
    <x v="0"/>
    <s v="COOPERACION DEJARON PARA CULTO."/>
    <n v="10"/>
    <m/>
    <x v="0"/>
  </r>
  <r>
    <n v="102"/>
    <d v="2024-05-31T00:00:00"/>
    <x v="5"/>
    <x v="4"/>
    <s v="TIRAR BASURA."/>
    <m/>
    <n v="-2"/>
    <x v="4"/>
  </r>
  <r>
    <n v="103"/>
    <d v="2024-05-31T00:00:00"/>
    <x v="5"/>
    <x v="2"/>
    <s v="49.- PZA SAL 500 GR-COLIMA."/>
    <n v="245"/>
    <m/>
    <x v="22"/>
  </r>
  <r>
    <n v="104"/>
    <d v="2024-05-31T00:00:00"/>
    <x v="5"/>
    <x v="2"/>
    <s v="59 PZAS AGUA 500 ML GV."/>
    <n v="295"/>
    <m/>
    <x v="22"/>
  </r>
  <r>
    <n v="105"/>
    <d v="2024-06-01T00:00:00"/>
    <x v="3"/>
    <x v="4"/>
    <s v="ENTREGA COLECTA AL PADRE LUIS GARCIA."/>
    <m/>
    <n v="-251.5"/>
    <x v="6"/>
  </r>
  <r>
    <n v="106"/>
    <d v="2024-06-02T00:00:00"/>
    <x v="3"/>
    <x v="0"/>
    <s v="COOPERACION DEJARON PARA CULTO."/>
    <n v="200"/>
    <m/>
    <x v="0"/>
  </r>
  <r>
    <n v="107"/>
    <d v="2024-06-02T00:00:00"/>
    <x v="3"/>
    <x v="2"/>
    <s v="2.- PZA AGUA 500 ML. GV (SERVICIO)"/>
    <n v="5"/>
    <m/>
    <x v="23"/>
  </r>
  <r>
    <n v="108"/>
    <d v="2024-06-06T00:00:00"/>
    <x v="3"/>
    <x v="0"/>
    <s v="COOPERACION DEJARON PARA CULTO."/>
    <n v="550"/>
    <m/>
    <x v="0"/>
  </r>
  <r>
    <n v="109"/>
    <d v="2024-06-06T00:00:00"/>
    <x v="3"/>
    <x v="1"/>
    <s v="C. PALABRA. 35 INTENCIONES; ANITA."/>
    <n v="585"/>
    <m/>
    <x v="1"/>
  </r>
  <r>
    <n v="110"/>
    <d v="2024-06-06T00:00:00"/>
    <x v="3"/>
    <x v="2"/>
    <s v="RESERVA PARA CULTO."/>
    <n v="30"/>
    <m/>
    <x v="24"/>
  </r>
  <r>
    <n v="111"/>
    <d v="2024-06-09T00:00:00"/>
    <x v="3"/>
    <x v="0"/>
    <s v="COOPERACION DEJARON PARA CULTO."/>
    <n v="20"/>
    <m/>
    <x v="0"/>
  </r>
  <r>
    <n v="112"/>
    <d v="2024-06-09T00:00:00"/>
    <x v="3"/>
    <x v="0"/>
    <s v="SORANTE INTENCIONES MISA."/>
    <n v="10"/>
    <m/>
    <x v="0"/>
  </r>
  <r>
    <n v="113"/>
    <d v="2024-06-11T00:00:00"/>
    <x v="3"/>
    <x v="5"/>
    <s v="APARTADO 50% 2 BANCAS."/>
    <m/>
    <n v="-2500"/>
    <x v="9"/>
  </r>
  <r>
    <n v="114"/>
    <d v="2024-06-13T00:00:00"/>
    <x v="3"/>
    <x v="1"/>
    <s v="C. PALABRA. 21 INTENCIONES; TERESITA."/>
    <n v="417"/>
    <m/>
    <x v="1"/>
  </r>
  <r>
    <n v="115"/>
    <d v="2024-06-13T00:00:00"/>
    <x v="3"/>
    <x v="2"/>
    <s v="RESERVA PARA CULTO."/>
    <n v="21"/>
    <m/>
    <x v="24"/>
  </r>
  <r>
    <n v="116"/>
    <d v="2024-06-16T00:00:00"/>
    <x v="3"/>
    <x v="0"/>
    <s v="COOPERACION DEJARON PARA CULTO."/>
    <n v="550"/>
    <m/>
    <x v="0"/>
  </r>
  <r>
    <n v="117"/>
    <d v="2024-06-16T00:00:00"/>
    <x v="3"/>
    <x v="2"/>
    <s v="2.- PZA AGUA 500 ML. GV (CARLOS Y PADRE)"/>
    <n v="11"/>
    <m/>
    <x v="2"/>
  </r>
  <r>
    <n v="118"/>
    <d v="2024-06-20T00:00:00"/>
    <x v="3"/>
    <x v="0"/>
    <s v="CAMPAÑA COMPRA DE BANCAS."/>
    <n v="240"/>
    <m/>
    <x v="0"/>
  </r>
  <r>
    <n v="119"/>
    <d v="2024-06-20T00:00:00"/>
    <x v="3"/>
    <x v="1"/>
    <s v="C. PALABRA. 28 INTENCIONES; VICTOR"/>
    <n v="577"/>
    <m/>
    <x v="1"/>
  </r>
  <r>
    <n v="120"/>
    <d v="2024-06-20T00:00:00"/>
    <x v="3"/>
    <x v="2"/>
    <s v="RESERVA PARA CULTO."/>
    <n v="30"/>
    <m/>
    <x v="24"/>
  </r>
  <r>
    <n v="121"/>
    <d v="2024-06-21T00:00:00"/>
    <x v="3"/>
    <x v="3"/>
    <s v="CINTA CANELA Y FRANELA PARA ALTAR."/>
    <m/>
    <n v="-35"/>
    <x v="24"/>
  </r>
  <r>
    <n v="122"/>
    <d v="2024-06-23T00:00:00"/>
    <x v="3"/>
    <x v="3"/>
    <s v="TIRAR BASURA."/>
    <m/>
    <n v="-8"/>
    <x v="24"/>
  </r>
  <r>
    <n v="123"/>
    <d v="2024-06-27T00:00:00"/>
    <x v="3"/>
    <x v="0"/>
    <s v="CAMPAÑA COMPRA DE BANCAS."/>
    <n v="935"/>
    <m/>
    <x v="0"/>
  </r>
  <r>
    <n v="124"/>
    <d v="2024-06-27T00:00:00"/>
    <x v="3"/>
    <x v="1"/>
    <s v="C. PALABRA. 22 INTENCIONES; SARA"/>
    <n v="430"/>
    <m/>
    <x v="1"/>
  </r>
  <r>
    <n v="125"/>
    <d v="2024-06-27T00:00:00"/>
    <x v="3"/>
    <x v="2"/>
    <s v="RESERVA PARA CULTO."/>
    <n v="21"/>
    <m/>
    <x v="24"/>
  </r>
  <r>
    <n v="126"/>
    <d v="2024-06-28T00:00:00"/>
    <x v="3"/>
    <x v="2"/>
    <s v="VENTA AGUA Y SAL."/>
    <n v="355"/>
    <m/>
    <x v="2"/>
  </r>
  <r>
    <n v="127"/>
    <d v="2024-06-29T00:00:00"/>
    <x v="3"/>
    <x v="4"/>
    <s v="ENTREGA COLECTA AL PADRE LUIS GARCIA."/>
    <m/>
    <n v="-2009"/>
    <x v="6"/>
  </r>
  <r>
    <n v="128"/>
    <d v="2024-06-30T00:00:00"/>
    <x v="3"/>
    <x v="0"/>
    <s v="CAMPAÑA COMPRA DE BANCAS."/>
    <n v="70"/>
    <m/>
    <x v="0"/>
  </r>
  <r>
    <n v="129"/>
    <d v="2024-06-30T00:00:00"/>
    <x v="3"/>
    <x v="3"/>
    <s v="1/4 KG BOLSA 8X26 (PARA CAMBIO)"/>
    <m/>
    <n v="-18"/>
    <x v="24"/>
  </r>
  <r>
    <n v="130"/>
    <d v="2024-07-04T00:00:00"/>
    <x v="6"/>
    <x v="0"/>
    <s v="CAMPAÑA COMPRA DE BANCAS."/>
    <n v="180"/>
    <m/>
    <x v="0"/>
  </r>
  <r>
    <n v="131"/>
    <d v="2024-07-04T00:00:00"/>
    <x v="6"/>
    <x v="1"/>
    <s v="C. PALABRA. 21 INTENCIONES; ANITA"/>
    <n v="301"/>
    <m/>
    <x v="1"/>
  </r>
  <r>
    <n v="132"/>
    <d v="2024-07-04T00:00:00"/>
    <x v="6"/>
    <x v="2"/>
    <s v="RESERVA PARA CULTO."/>
    <n v="16"/>
    <m/>
    <x v="24"/>
  </r>
  <r>
    <n v="133"/>
    <d v="2024-07-09T00:00:00"/>
    <x v="6"/>
    <x v="3"/>
    <s v="56.- PZA AGUA 500 ML. GV"/>
    <m/>
    <n v="-160"/>
    <x v="25"/>
  </r>
  <r>
    <n v="134"/>
    <d v="2024-07-11T00:00:00"/>
    <x v="6"/>
    <x v="0"/>
    <s v="CAMPAÑA COMPRA DE BANCAS."/>
    <n v="60"/>
    <m/>
    <x v="0"/>
  </r>
  <r>
    <n v="135"/>
    <d v="2024-07-11T00:00:00"/>
    <x v="6"/>
    <x v="1"/>
    <s v="C. PALABRA. 29 INTENCIONES; GERARDO-MIGUEL"/>
    <n v="496"/>
    <m/>
    <x v="1"/>
  </r>
  <r>
    <n v="136"/>
    <d v="2024-07-11T00:00:00"/>
    <x v="6"/>
    <x v="2"/>
    <s v="RESERVA PARA CULTO."/>
    <n v="10"/>
    <m/>
    <x v="2"/>
  </r>
  <r>
    <n v="137"/>
    <d v="2024-07-13T00:00:00"/>
    <x v="6"/>
    <x v="3"/>
    <s v="50 KGS. SAL DE COLIMA,"/>
    <m/>
    <n v="-185"/>
    <x v="26"/>
  </r>
  <r>
    <n v="138"/>
    <d v="2024-07-14T00:00:00"/>
    <x v="6"/>
    <x v="0"/>
    <s v="CAMPAÑA COMPRA DE BANCAS."/>
    <n v="210"/>
    <m/>
    <x v="0"/>
  </r>
  <r>
    <n v="139"/>
    <d v="2024-07-18T00:00:00"/>
    <x v="6"/>
    <x v="0"/>
    <s v="CAMPAÑA COMPRA DE BANCAS."/>
    <n v="70"/>
    <m/>
    <x v="0"/>
  </r>
  <r>
    <n v="140"/>
    <d v="2024-07-18T00:00:00"/>
    <x v="6"/>
    <x v="1"/>
    <s v="APORTACION DE LAS VENTAS."/>
    <n v="57"/>
    <m/>
    <x v="10"/>
  </r>
  <r>
    <n v="141"/>
    <d v="2024-07-18T00:00:00"/>
    <x v="6"/>
    <x v="1"/>
    <s v="C. PALABRA. 30 INTENCIONES; VICTOR."/>
    <n v="524.5"/>
    <m/>
    <x v="1"/>
  </r>
  <r>
    <n v="142"/>
    <d v="2024-07-18T00:00:00"/>
    <x v="6"/>
    <x v="3"/>
    <s v="SE PASA A LITURGIA."/>
    <m/>
    <n v="-57"/>
    <x v="24"/>
  </r>
  <r>
    <n v="143"/>
    <d v="2024-07-21T00:00:00"/>
    <x v="6"/>
    <x v="0"/>
    <s v="CAMPAÑA COMPRA DE BANCAS."/>
    <n v="450"/>
    <m/>
    <x v="0"/>
  </r>
  <r>
    <n v="144"/>
    <d v="2024-07-21T00:00:00"/>
    <x v="6"/>
    <x v="2"/>
    <s v="1.- PZA AGUA 500 ML. GV"/>
    <n v="5"/>
    <m/>
    <x v="2"/>
  </r>
  <r>
    <n v="145"/>
    <d v="2024-07-22T00:00:00"/>
    <x v="6"/>
    <x v="4"/>
    <s v="DOS LONAS DE SERVICIOS CAPILLA."/>
    <m/>
    <n v="-450"/>
    <x v="3"/>
  </r>
  <r>
    <n v="146"/>
    <d v="2024-07-25T00:00:00"/>
    <x v="6"/>
    <x v="0"/>
    <s v="CAMPAÑA COMPRA DE BANCAS."/>
    <n v="250"/>
    <m/>
    <x v="0"/>
  </r>
  <r>
    <n v="147"/>
    <d v="2024-07-25T00:00:00"/>
    <x v="6"/>
    <x v="1"/>
    <s v="C. PALABRA. 18 INTENCIONES; SARITA."/>
    <n v="278"/>
    <m/>
    <x v="1"/>
  </r>
  <r>
    <n v="148"/>
    <d v="2024-07-26T00:00:00"/>
    <x v="6"/>
    <x v="0"/>
    <s v="CAMPAÑA COMPRA DE BANCAS."/>
    <n v="1700"/>
    <m/>
    <x v="0"/>
  </r>
  <r>
    <n v="149"/>
    <d v="2024-07-26T00:00:00"/>
    <x v="6"/>
    <x v="2"/>
    <s v="VENTA EN MISA SANACION."/>
    <n v="449"/>
    <m/>
    <x v="2"/>
  </r>
  <r>
    <n v="150"/>
    <d v="2024-07-27T00:00:00"/>
    <x v="6"/>
    <x v="4"/>
    <s v="ENTREGA COLECTA AL PADRE LUIS GARCIA."/>
    <m/>
    <n v="-1206.5"/>
    <x v="6"/>
  </r>
  <r>
    <n v="151"/>
    <d v="2024-07-28T00:00:00"/>
    <x v="6"/>
    <x v="0"/>
    <s v="CAMPAÑA COMPRA DE BANCAS."/>
    <n v="710"/>
    <m/>
    <x v="0"/>
  </r>
  <r>
    <n v="152"/>
    <d v="2024-08-01T00:00:00"/>
    <x v="7"/>
    <x v="0"/>
    <s v="CAMPAÑA COMPRA DE BANCAS."/>
    <n v="340"/>
    <m/>
    <x v="0"/>
  </r>
  <r>
    <n v="153"/>
    <d v="2024-08-01T00:00:00"/>
    <x v="7"/>
    <x v="1"/>
    <s v="C. PALABRA. 8 INTENCIONES; TERESITA."/>
    <n v="199.5"/>
    <m/>
    <x v="1"/>
  </r>
  <r>
    <n v="154"/>
    <d v="2024-08-04T00:00:00"/>
    <x v="7"/>
    <x v="0"/>
    <s v="CAMPAÑA COMPRA DE BANCAS."/>
    <n v="250"/>
    <m/>
    <x v="0"/>
  </r>
  <r>
    <n v="155"/>
    <d v="2024-08-05T00:00:00"/>
    <x v="7"/>
    <x v="0"/>
    <s v="SRA. AMELIA AGUILAR PARA BANCAS."/>
    <n v="200"/>
    <m/>
    <x v="0"/>
  </r>
  <r>
    <n v="156"/>
    <d v="2024-08-06T00:00:00"/>
    <x v="7"/>
    <x v="5"/>
    <s v="ANTICIPO DE BANCAS.  "/>
    <m/>
    <n v="-3000"/>
    <x v="9"/>
  </r>
  <r>
    <n v="157"/>
    <d v="2024-08-08T00:00:00"/>
    <x v="7"/>
    <x v="0"/>
    <s v="CAMPAÑA COMPRA DE BANCAS."/>
    <n v="100"/>
    <m/>
    <x v="0"/>
  </r>
  <r>
    <n v="158"/>
    <d v="2024-08-08T00:00:00"/>
    <x v="7"/>
    <x v="1"/>
    <s v="C. PALABRA. 11 INTENCIONES; SARA."/>
    <n v="234"/>
    <m/>
    <x v="1"/>
  </r>
  <r>
    <n v="159"/>
    <d v="2024-08-11T00:00:00"/>
    <x v="7"/>
    <x v="0"/>
    <s v="CAMPAÑA COMPRA DE BANCAS."/>
    <n v="717"/>
    <m/>
    <x v="0"/>
  </r>
  <r>
    <n v="160"/>
    <d v="2024-08-15T00:00:00"/>
    <x v="7"/>
    <x v="0"/>
    <s v="CAMPAÑA COMPRA DE BANCAS."/>
    <n v="50"/>
    <m/>
    <x v="0"/>
  </r>
  <r>
    <n v="161"/>
    <d v="2024-08-15T00:00:00"/>
    <x v="7"/>
    <x v="1"/>
    <s v="C. PALABRA. 14 INTENCIONES; TERESITA."/>
    <n v="188.5"/>
    <m/>
    <x v="1"/>
  </r>
  <r>
    <n v="162"/>
    <d v="2024-08-15T00:00:00"/>
    <x v="7"/>
    <x v="4"/>
    <s v="TIRAR BASURA."/>
    <m/>
    <n v="-5"/>
    <x v="4"/>
  </r>
  <r>
    <n v="163"/>
    <d v="2024-08-18T00:00:00"/>
    <x v="7"/>
    <x v="0"/>
    <s v="CAMPAÑA COMPRA DE BANCAS."/>
    <n v="90"/>
    <m/>
    <x v="0"/>
  </r>
  <r>
    <n v="164"/>
    <d v="2024-08-18T00:00:00"/>
    <x v="7"/>
    <x v="5"/>
    <s v="PAGO DE BANCAS."/>
    <m/>
    <n v="-3000"/>
    <x v="9"/>
  </r>
  <r>
    <n v="165"/>
    <d v="2024-08-22T00:00:00"/>
    <x v="7"/>
    <x v="0"/>
    <s v="CAMPAÑA COMPRA DE BANCAS."/>
    <n v="150"/>
    <m/>
    <x v="0"/>
  </r>
  <r>
    <n v="166"/>
    <d v="2024-08-22T00:00:00"/>
    <x v="7"/>
    <x v="1"/>
    <s v="C. PALABRA. 34 INTENCIONES; ANITA."/>
    <n v="456.5"/>
    <m/>
    <x v="1"/>
  </r>
  <r>
    <n v="167"/>
    <d v="2024-08-25T00:00:00"/>
    <x v="7"/>
    <x v="0"/>
    <s v="CAMPAÑA COMPRA DE BANCAS."/>
    <n v="250"/>
    <m/>
    <x v="0"/>
  </r>
  <r>
    <n v="168"/>
    <d v="2024-08-25T00:00:00"/>
    <x v="7"/>
    <x v="2"/>
    <s v="3.- PZA AGUA 500 ML. GV"/>
    <n v="15"/>
    <m/>
    <x v="2"/>
  </r>
  <r>
    <n v="169"/>
    <d v="2024-08-29T00:00:00"/>
    <x v="7"/>
    <x v="0"/>
    <s v="CAMPAÑA COMPRA DE BANCAS."/>
    <n v="160"/>
    <m/>
    <x v="0"/>
  </r>
  <r>
    <n v="170"/>
    <d v="2024-08-29T00:00:00"/>
    <x v="7"/>
    <x v="1"/>
    <s v="C. PALABRA. 20 INTENCIONES; VICTOR."/>
    <n v="376"/>
    <m/>
    <x v="1"/>
  </r>
  <r>
    <n v="171"/>
    <d v="2024-08-31T00:00:00"/>
    <x v="7"/>
    <x v="4"/>
    <s v="DULCES PARA MISA."/>
    <m/>
    <n v="-55"/>
    <x v="3"/>
  </r>
  <r>
    <n v="172"/>
    <d v="2024-08-31T00:00:00"/>
    <x v="7"/>
    <x v="4"/>
    <s v="ENTREGA COLECTA AL PADRE LUIS GARCIA."/>
    <m/>
    <n v="-1394.5"/>
    <x v="6"/>
  </r>
  <r>
    <n v="173"/>
    <d v="2024-09-01T00:00:00"/>
    <x v="8"/>
    <x v="0"/>
    <s v="CAMPAÑA COMPRA DE BANCAS."/>
    <n v="185"/>
    <m/>
    <x v="0"/>
  </r>
  <r>
    <n v="174"/>
    <d v="2024-09-05T00:00:00"/>
    <x v="8"/>
    <x v="0"/>
    <s v="CAMPAÑA COMPRA DE BANCAS."/>
    <n v="260"/>
    <m/>
    <x v="0"/>
  </r>
  <r>
    <n v="175"/>
    <d v="2024-09-05T00:00:00"/>
    <x v="8"/>
    <x v="1"/>
    <s v="C. PALABRA. 32 INTENCIONES; ANITA."/>
    <n v="471"/>
    <m/>
    <x v="1"/>
  </r>
  <r>
    <n v="176"/>
    <d v="2024-09-08T00:00:00"/>
    <x v="8"/>
    <x v="0"/>
    <s v="CAMPAÑA COMPRA DE BANCAS."/>
    <n v="260"/>
    <m/>
    <x v="0"/>
  </r>
  <r>
    <n v="177"/>
    <d v="2024-09-09T00:00:00"/>
    <x v="8"/>
    <x v="0"/>
    <s v="CAMPAÑA COMPRA DE BANCAS. AMIGA MA. INES."/>
    <n v="500"/>
    <m/>
    <x v="0"/>
  </r>
  <r>
    <n v="178"/>
    <d v="2024-09-09T00:00:00"/>
    <x v="8"/>
    <x v="4"/>
    <s v="GISES PARA FLECHAS Y LETREROS."/>
    <m/>
    <n v="-23.5"/>
    <x v="3"/>
  </r>
  <r>
    <n v="179"/>
    <d v="2024-09-12T00:00:00"/>
    <x v="8"/>
    <x v="0"/>
    <s v="CAMPAÑA COMPRA DE BANCAS."/>
    <n v="250"/>
    <m/>
    <x v="0"/>
  </r>
  <r>
    <n v="180"/>
    <d v="2024-09-12T00:00:00"/>
    <x v="8"/>
    <x v="1"/>
    <s v="MISA P. MANESH. 45 INTENCIONES"/>
    <n v="946"/>
    <m/>
    <x v="5"/>
  </r>
  <r>
    <n v="181"/>
    <d v="2024-09-15T00:00:00"/>
    <x v="8"/>
    <x v="0"/>
    <s v="CAMPAÑA COMPRA DE BANCAS."/>
    <n v="147.5"/>
    <m/>
    <x v="0"/>
  </r>
  <r>
    <n v="182"/>
    <d v="2024-09-15T00:00:00"/>
    <x v="8"/>
    <x v="0"/>
    <s v="PADRINOS PARA FIESTAS DE SAN JUDAS T."/>
    <n v="350"/>
    <m/>
    <x v="0"/>
  </r>
  <r>
    <n v="183"/>
    <d v="2024-09-17T00:00:00"/>
    <x v="8"/>
    <x v="3"/>
    <s v="56.-  PZA AGUA 500 ML. GV"/>
    <m/>
    <n v="-152"/>
    <x v="2"/>
  </r>
  <r>
    <n v="184"/>
    <d v="2024-09-18T00:00:00"/>
    <x v="8"/>
    <x v="0"/>
    <s v="PADRINOS PARA FIESTAS DE SAN JUDAS T."/>
    <n v="300"/>
    <m/>
    <x v="0"/>
  </r>
  <r>
    <n v="185"/>
    <d v="2024-09-19T00:00:00"/>
    <x v="8"/>
    <x v="1"/>
    <s v="C. PALABRA. 15 INTENCIONES; VICTOR."/>
    <n v="234"/>
    <m/>
    <x v="1"/>
  </r>
  <r>
    <n v="186"/>
    <d v="2024-09-21T00:00:00"/>
    <x v="8"/>
    <x v="4"/>
    <s v="REPONER ESCOBA QUE ROMPIO ALBAÑIL."/>
    <m/>
    <n v="-55"/>
    <x v="4"/>
  </r>
  <r>
    <n v="187"/>
    <d v="2024-09-22T00:00:00"/>
    <x v="8"/>
    <x v="0"/>
    <s v="BOTE PARA FIESTA SAN JUDAS TADEO."/>
    <n v="30"/>
    <m/>
    <x v="0"/>
  </r>
  <r>
    <n v="188"/>
    <d v="2024-09-22T00:00:00"/>
    <x v="8"/>
    <x v="0"/>
    <s v="PADRINOS PARA FIESTAS DE SAN JUDAS T."/>
    <n v="1200"/>
    <m/>
    <x v="0"/>
  </r>
  <r>
    <n v="189"/>
    <d v="2024-09-26T00:00:00"/>
    <x v="8"/>
    <x v="0"/>
    <s v="BOTE PARA FIESTA SAN JUDAS TADEO."/>
    <n v="70"/>
    <m/>
    <x v="0"/>
  </r>
  <r>
    <n v="190"/>
    <d v="2024-09-26T00:00:00"/>
    <x v="8"/>
    <x v="0"/>
    <s v="PADRINOS PARA FIESTAS DE SAN JUDAS T."/>
    <n v="620"/>
    <m/>
    <x v="0"/>
  </r>
  <r>
    <n v="191"/>
    <d v="2024-09-26T00:00:00"/>
    <x v="8"/>
    <x v="1"/>
    <s v="C. PALABRA. 21 INTENCIONES; TERESITA."/>
    <n v="301"/>
    <m/>
    <x v="1"/>
  </r>
  <r>
    <n v="192"/>
    <d v="2024-09-27T00:00:00"/>
    <x v="8"/>
    <x v="2"/>
    <s v="43.- PZA SAL 500 GR-COLIMA."/>
    <n v="215"/>
    <m/>
    <x v="2"/>
  </r>
  <r>
    <n v="193"/>
    <d v="2024-09-27T00:00:00"/>
    <x v="8"/>
    <x v="2"/>
    <s v="58.-  PZA AGUA 500 ML. GV"/>
    <n v="290"/>
    <m/>
    <x v="2"/>
  </r>
  <r>
    <n v="194"/>
    <d v="2024-09-28T00:00:00"/>
    <x v="8"/>
    <x v="4"/>
    <s v="1 FOCO."/>
    <m/>
    <n v="-55"/>
    <x v="4"/>
  </r>
  <r>
    <n v="195"/>
    <d v="2024-09-28T00:00:00"/>
    <x v="8"/>
    <x v="4"/>
    <s v="4 LAMARAS"/>
    <m/>
    <n v="-110"/>
    <x v="4"/>
  </r>
  <r>
    <n v="196"/>
    <d v="2024-09-28T00:00:00"/>
    <x v="8"/>
    <x v="4"/>
    <s v="ENTREGA COLECTA AL PADRE LUIS GARCIA."/>
    <m/>
    <n v="-1458.5"/>
    <x v="6"/>
  </r>
  <r>
    <n v="197"/>
    <d v="2024-09-28T00:00:00"/>
    <x v="8"/>
    <x v="4"/>
    <s v="ESMALTE PARA DELIMITAR PASILLOS."/>
    <m/>
    <n v="-250"/>
    <x v="4"/>
  </r>
  <r>
    <n v="198"/>
    <d v="2024-09-29T00:00:00"/>
    <x v="8"/>
    <x v="0"/>
    <s v="BOTE PARA FIESTA SAN JUDAS TADEO."/>
    <n v="160"/>
    <m/>
    <x v="0"/>
  </r>
  <r>
    <n v="199"/>
    <d v="2024-09-29T00:00:00"/>
    <x v="8"/>
    <x v="0"/>
    <s v="CAMPAÑA COMPRA DE BANCAS. MARIA INES."/>
    <n v="500"/>
    <m/>
    <x v="0"/>
  </r>
  <r>
    <n v="200"/>
    <d v="2024-09-29T00:00:00"/>
    <x v="8"/>
    <x v="0"/>
    <s v="PADRINOS PARA FIESTAS DE SAN JUDAS T."/>
    <n v="800"/>
    <m/>
    <x v="0"/>
  </r>
  <r>
    <n v="201"/>
    <d v="2024-09-30T00:00:00"/>
    <x v="8"/>
    <x v="5"/>
    <s v="CAMPAÑA COMPRA DE BANCAS."/>
    <m/>
    <n v="-80.5"/>
    <x v="9"/>
  </r>
  <r>
    <n v="202"/>
    <d v="2024-09-30T00:00:00"/>
    <x v="8"/>
    <x v="5"/>
    <s v="CAMPAÑA COMPRA DE BANCAS.4027-6658-4634-7145 Hugo Antonio Macias de Leon"/>
    <m/>
    <n v="-3700"/>
    <x v="9"/>
  </r>
  <r>
    <n v="203"/>
    <d v="2024-09-30T00:00:00"/>
    <x v="8"/>
    <x v="5"/>
    <s v="CAMPAÑA COMPRA DE BANCAS.VENTA DE AGUA Y SAL"/>
    <m/>
    <n v="-2219.5"/>
    <x v="9"/>
  </r>
  <r>
    <n v="204"/>
    <d v="2024-10-01T00:00:00"/>
    <x v="9"/>
    <x v="5"/>
    <s v="COPIAS DE LOS PROGRAMAS DE LAS FIESTAS."/>
    <m/>
    <n v="-300"/>
    <x v="27"/>
  </r>
  <r>
    <n v="205"/>
    <d v="2024-10-02T00:00:00"/>
    <x v="9"/>
    <x v="0"/>
    <s v="PADRINOS PARA FIESTAS DE SAN JUDAS T."/>
    <n v="400"/>
    <m/>
    <x v="0"/>
  </r>
  <r>
    <n v="206"/>
    <d v="2024-10-03T00:00:00"/>
    <x v="9"/>
    <x v="0"/>
    <s v="BOTE PARA FIESTA SAN JUDAS TADEO."/>
    <n v="100"/>
    <m/>
    <x v="0"/>
  </r>
  <r>
    <n v="207"/>
    <d v="2024-10-03T00:00:00"/>
    <x v="9"/>
    <x v="0"/>
    <s v="PADRINOS PARA FIESTAS DE SAN JUDAS T."/>
    <n v="100"/>
    <m/>
    <x v="0"/>
  </r>
  <r>
    <n v="208"/>
    <d v="2024-10-03T00:00:00"/>
    <x v="9"/>
    <x v="1"/>
    <s v="C. PALABRA. 27 INTENCIONES; SARA."/>
    <n v="447"/>
    <m/>
    <x v="1"/>
  </r>
  <r>
    <n v="209"/>
    <d v="2024-10-03T00:00:00"/>
    <x v="9"/>
    <x v="4"/>
    <s v="PAGO CFE."/>
    <m/>
    <n v="-281"/>
    <x v="4"/>
  </r>
  <r>
    <n v="210"/>
    <d v="2024-10-04T00:00:00"/>
    <x v="9"/>
    <x v="0"/>
    <s v="PADRINOS PARA FIESTAS DE SAN JUDAS T."/>
    <n v="100"/>
    <m/>
    <x v="0"/>
  </r>
  <r>
    <n v="211"/>
    <d v="2024-10-06T00:00:00"/>
    <x v="9"/>
    <x v="0"/>
    <s v="BOTE PARA FIESTA SAN JUDAS TADEO."/>
    <n v="70"/>
    <m/>
    <x v="0"/>
  </r>
  <r>
    <n v="212"/>
    <d v="2024-10-06T00:00:00"/>
    <x v="9"/>
    <x v="0"/>
    <s v="PADRINOS PARA FIESTAS DE SAN JUDAS T."/>
    <n v="650"/>
    <m/>
    <x v="0"/>
  </r>
  <r>
    <n v="213"/>
    <d v="2024-10-10T00:00:00"/>
    <x v="9"/>
    <x v="1"/>
    <s v="MISA. 41 INTENCIONES; P. CESAR A. RCJ."/>
    <n v="1030.5"/>
    <m/>
    <x v="5"/>
  </r>
  <r>
    <n v="214"/>
    <d v="2024-10-13T00:00:00"/>
    <x v="9"/>
    <x v="0"/>
    <s v="BOTE PARA FIESTA SAN JUDAS TADEO."/>
    <n v="60"/>
    <m/>
    <x v="0"/>
  </r>
  <r>
    <n v="215"/>
    <d v="2024-10-13T00:00:00"/>
    <x v="9"/>
    <x v="0"/>
    <s v="PADRINOS PARA FIESTAS DE SAN JUDAS T."/>
    <n v="750"/>
    <m/>
    <x v="0"/>
  </r>
  <r>
    <n v="216"/>
    <d v="2024-10-15T00:00:00"/>
    <x v="9"/>
    <x v="4"/>
    <s v="CLORO Y FABULOSO."/>
    <m/>
    <n v="-64"/>
    <x v="4"/>
  </r>
  <r>
    <n v="217"/>
    <d v="2024-10-16T00:00:00"/>
    <x v="9"/>
    <x v="5"/>
    <s v="ESMALTE PARA DELIMITAR PASILLOS."/>
    <m/>
    <n v="-523"/>
    <x v="4"/>
  </r>
  <r>
    <n v="218"/>
    <d v="2024-10-17T00:00:00"/>
    <x v="9"/>
    <x v="0"/>
    <s v="PADRINOS PARA FIESTAS DE SAN JUDAS T."/>
    <n v="750"/>
    <m/>
    <x v="0"/>
  </r>
  <r>
    <n v="219"/>
    <d v="2024-10-17T00:00:00"/>
    <x v="9"/>
    <x v="1"/>
    <s v="C. PALABRA. 23 INTENCIONES; ANITA."/>
    <n v="315"/>
    <m/>
    <x v="1"/>
  </r>
  <r>
    <n v="220"/>
    <d v="2024-10-18T00:00:00"/>
    <x v="9"/>
    <x v="4"/>
    <s v="CAMION DE LA BASURA."/>
    <m/>
    <n v="-3"/>
    <x v="4"/>
  </r>
  <r>
    <n v="221"/>
    <d v="2024-10-19T00:00:00"/>
    <x v="9"/>
    <x v="5"/>
    <s v="ESMALTE PARA DELIMITAR PASILLOS."/>
    <m/>
    <n v="-613"/>
    <x v="4"/>
  </r>
  <r>
    <n v="222"/>
    <d v="2024-10-20T00:00:00"/>
    <x v="9"/>
    <x v="0"/>
    <s v="BOTE PARA FIESTA SAN JUDAS TADEO."/>
    <n v="20"/>
    <m/>
    <x v="0"/>
  </r>
  <r>
    <n v="223"/>
    <d v="2024-10-20T00:00:00"/>
    <x v="9"/>
    <x v="0"/>
    <s v="PADRINOS PARA FIESTAS DE SAN JUDAS T."/>
    <n v="750"/>
    <m/>
    <x v="0"/>
  </r>
  <r>
    <n v="224"/>
    <d v="2024-10-22T00:00:00"/>
    <x v="9"/>
    <x v="5"/>
    <s v="VELAS PARA LOS CIRIALES."/>
    <m/>
    <n v="-51"/>
    <x v="3"/>
  </r>
  <r>
    <n v="225"/>
    <d v="2024-10-22T00:00:00"/>
    <x v="9"/>
    <x v="3"/>
    <s v="90.-  PZA AGUA 500 ML. SAM'S."/>
    <m/>
    <n v="-300"/>
    <x v="28"/>
  </r>
  <r>
    <n v="226"/>
    <d v="2024-10-24T00:00:00"/>
    <x v="9"/>
    <x v="1"/>
    <s v="C. PALABRA. 26 INTENCIONES; VICTOR."/>
    <n v="519"/>
    <m/>
    <x v="1"/>
  </r>
  <r>
    <n v="227"/>
    <d v="2024-10-25T00:00:00"/>
    <x v="9"/>
    <x v="0"/>
    <s v="PADRINOS PARA FIESTAS DE SAN JUDAS T."/>
    <n v="600"/>
    <m/>
    <x v="0"/>
  </r>
  <r>
    <n v="228"/>
    <d v="2024-10-25T00:00:00"/>
    <x v="9"/>
    <x v="2"/>
    <s v="103.-  PZA AGUA 500 ML. SAM'S."/>
    <n v="515"/>
    <m/>
    <x v="2"/>
  </r>
  <r>
    <n v="229"/>
    <d v="2024-10-25T00:00:00"/>
    <x v="9"/>
    <x v="2"/>
    <s v="40.- PZA SAL 500 GR-COLIMA."/>
    <n v="200"/>
    <m/>
    <x v="2"/>
  </r>
  <r>
    <n v="230"/>
    <d v="2024-10-27T00:00:00"/>
    <x v="9"/>
    <x v="0"/>
    <s v="PADRINOS PARA FIESTAS DE SAN JUDAS T."/>
    <n v="1200"/>
    <m/>
    <x v="0"/>
  </r>
  <r>
    <n v="231"/>
    <d v="2024-10-27T00:00:00"/>
    <x v="9"/>
    <x v="5"/>
    <s v="PAGO DE ARREGLO FLORAL."/>
    <m/>
    <n v="-1700"/>
    <x v="27"/>
  </r>
  <r>
    <n v="232"/>
    <d v="2024-10-28T00:00:00"/>
    <x v="9"/>
    <x v="0"/>
    <s v="BOTE PARA FIESTA SAN JUDAS TADEO."/>
    <n v="761.5"/>
    <m/>
    <x v="0"/>
  </r>
  <r>
    <n v="233"/>
    <d v="2024-10-28T00:00:00"/>
    <x v="9"/>
    <x v="0"/>
    <s v="PADRINOS PARA FIESTAS DE SAN JUDAS T."/>
    <n v="250"/>
    <m/>
    <x v="0"/>
  </r>
  <r>
    <n v="234"/>
    <d v="2024-10-29T00:00:00"/>
    <x v="9"/>
    <x v="5"/>
    <s v="ESTIPENDIOS A SECERDOTES."/>
    <m/>
    <n v="-1850"/>
    <x v="27"/>
  </r>
  <r>
    <n v="235"/>
    <d v="2024-10-29T00:00:00"/>
    <x v="9"/>
    <x v="5"/>
    <s v="PAGO DE MUSICA."/>
    <m/>
    <n v="-1800"/>
    <x v="27"/>
  </r>
  <r>
    <n v="236"/>
    <d v="2024-10-31T00:00:00"/>
    <x v="9"/>
    <x v="1"/>
    <s v="C. PALABRA. 18 INTENCIONES; VICTOR."/>
    <n v="274"/>
    <m/>
    <x v="1"/>
  </r>
  <r>
    <n v="237"/>
    <d v="2024-11-01T00:00:00"/>
    <x v="10"/>
    <x v="4"/>
    <s v="ENTREGA COLECTA AL PADRE LUIS GARCIA."/>
    <m/>
    <n v="-2237.5"/>
    <x v="6"/>
  </r>
  <r>
    <n v="238"/>
    <d v="2024-11-04T00:00:00"/>
    <x v="10"/>
    <x v="4"/>
    <s v="BATERIAS PARA MICROFONOS 4 AA STEREN."/>
    <m/>
    <n v="-279"/>
    <x v="4"/>
  </r>
  <r>
    <n v="239"/>
    <d v="2024-11-04T00:00:00"/>
    <x v="10"/>
    <x v="4"/>
    <s v="DULCES PARA MISA."/>
    <m/>
    <n v="-107.5"/>
    <x v="3"/>
  </r>
  <r>
    <n v="240"/>
    <d v="2024-11-05T00:00:00"/>
    <x v="10"/>
    <x v="3"/>
    <s v="COSTAL 50 KG. SAL DE COLIMA."/>
    <m/>
    <n v="-180"/>
    <x v="2"/>
  </r>
  <r>
    <n v="241"/>
    <d v="2024-11-07T00:00:00"/>
    <x v="10"/>
    <x v="1"/>
    <s v="C. PALABRA. 28 INTENCIONES; VICTOR."/>
    <n v="563"/>
    <m/>
    <x v="1"/>
  </r>
  <r>
    <n v="242"/>
    <d v="2024-11-08T00:00:00"/>
    <x v="10"/>
    <x v="3"/>
    <s v="144.-  PZA AGUA 500 ML. SAM'S."/>
    <m/>
    <n v="-342"/>
    <x v="2"/>
  </r>
  <r>
    <n v="243"/>
    <d v="2024-11-10T00:00:00"/>
    <x v="10"/>
    <x v="0"/>
    <s v="APORTACION EN EL BOTE."/>
    <n v="120"/>
    <m/>
    <x v="0"/>
  </r>
  <r>
    <n v="244"/>
    <d v="2024-11-10T00:00:00"/>
    <x v="10"/>
    <x v="2"/>
    <s v="PARA CERRAR CANTIDAD, PUSE."/>
    <n v="2"/>
    <m/>
    <x v="2"/>
  </r>
  <r>
    <n v="245"/>
    <d v="2024-11-14T00:00:00"/>
    <x v="10"/>
    <x v="1"/>
    <s v="JUEVES MISA DE 7:00 PM, P. MANESH. INT.-46"/>
    <n v="678"/>
    <m/>
    <x v="5"/>
  </r>
  <r>
    <n v="246"/>
    <d v="2024-11-15T00:00:00"/>
    <x v="10"/>
    <x v="4"/>
    <s v="MISAL NOVIEMBRE Y DICIEMBRE, TIRAR BASURA."/>
    <m/>
    <n v="-62.5"/>
    <x v="3"/>
  </r>
  <r>
    <n v="247"/>
    <d v="2024-11-21T00:00:00"/>
    <x v="10"/>
    <x v="0"/>
    <s v="APORTACION EN EL BOTE."/>
    <n v="220"/>
    <m/>
    <x v="0"/>
  </r>
  <r>
    <n v="248"/>
    <d v="2024-11-21T00:00:00"/>
    <x v="10"/>
    <x v="1"/>
    <s v="C. PALABRA. 27 INTENCIONES; TERESITA."/>
    <n v="508"/>
    <m/>
    <x v="1"/>
  </r>
  <r>
    <n v="249"/>
    <d v="2024-11-24T00:00:00"/>
    <x v="10"/>
    <x v="0"/>
    <s v="APORTACION EN EL BOTE."/>
    <n v="146.5"/>
    <m/>
    <x v="0"/>
  </r>
  <r>
    <n v="250"/>
    <d v="2024-11-24T00:00:00"/>
    <x v="10"/>
    <x v="4"/>
    <s v="CAMION DE LA BASURA."/>
    <m/>
    <n v="-20"/>
    <x v="4"/>
  </r>
  <r>
    <n v="251"/>
    <d v="2024-11-28T00:00:00"/>
    <x v="10"/>
    <x v="0"/>
    <s v="APORTACION EN EL BOTE."/>
    <n v="200"/>
    <m/>
    <x v="0"/>
  </r>
  <r>
    <n v="252"/>
    <d v="2024-11-28T00:00:00"/>
    <x v="10"/>
    <x v="1"/>
    <s v="C. PALABRA. 18 INTENCIONES; ANITA."/>
    <n v="248"/>
    <m/>
    <x v="1"/>
  </r>
  <r>
    <n v="253"/>
    <d v="2024-11-29T00:00:00"/>
    <x v="10"/>
    <x v="4"/>
    <s v="4 PILAS MICROFONOS PADRE MANESH."/>
    <m/>
    <n v="-92"/>
    <x v="3"/>
  </r>
  <r>
    <n v="254"/>
    <d v="2024-11-29T00:00:00"/>
    <x v="10"/>
    <x v="4"/>
    <s v="PAGO CFE."/>
    <m/>
    <n v="-287"/>
    <x v="4"/>
  </r>
  <r>
    <n v="255"/>
    <d v="2024-11-29T00:00:00"/>
    <x v="10"/>
    <x v="2"/>
    <s v="2.- IMPRESIONES USO DE SACRAMENTALES."/>
    <n v="10"/>
    <m/>
    <x v="2"/>
  </r>
  <r>
    <n v="256"/>
    <d v="2024-11-29T00:00:00"/>
    <x v="10"/>
    <x v="2"/>
    <s v="62.- PZA SAL 500 GR-COLIMA."/>
    <n v="310"/>
    <m/>
    <x v="2"/>
  </r>
  <r>
    <n v="257"/>
    <d v="2024-11-29T00:00:00"/>
    <x v="10"/>
    <x v="2"/>
    <s v="66.-  PZA AGUA 500 ML. SAM'S."/>
    <n v="330"/>
    <m/>
    <x v="2"/>
  </r>
  <r>
    <n v="258"/>
    <d v="2024-11-30T00:00:00"/>
    <x v="10"/>
    <x v="4"/>
    <s v="CAMION DE LA BASURA."/>
    <m/>
    <n v="-10"/>
    <x v="4"/>
  </r>
  <r>
    <n v="259"/>
    <d v="2024-11-30T00:00:00"/>
    <x v="10"/>
    <x v="4"/>
    <s v="VELAS PARA CORONA DE ADVIENTO."/>
    <m/>
    <n v="-455"/>
    <x v="3"/>
  </r>
  <r>
    <n v="260"/>
    <d v="2024-12-01T00:00:00"/>
    <x v="11"/>
    <x v="0"/>
    <s v="APORTACION EN EL BOTE."/>
    <n v="60"/>
    <m/>
    <x v="0"/>
  </r>
  <r>
    <n v="261"/>
    <d v="2024-12-01T00:00:00"/>
    <x v="11"/>
    <x v="0"/>
    <s v="APORTACION ROSA ISELA P/BANCAS. V. ADVIENTO."/>
    <n v="455"/>
    <m/>
    <x v="0"/>
  </r>
  <r>
    <n v="262"/>
    <d v="2024-12-03T00:00:00"/>
    <x v="11"/>
    <x v="4"/>
    <s v="ENTREGA COLECTA AL PADRE LUIS GARCIA."/>
    <m/>
    <n v="-684"/>
    <x v="6"/>
  </r>
  <r>
    <n v="263"/>
    <d v="2024-12-04T00:00:00"/>
    <x v="11"/>
    <x v="4"/>
    <s v="COMPRA DE MANTEL ROSA, MODATELA TONALA."/>
    <m/>
    <n v="-80"/>
    <x v="3"/>
  </r>
  <r>
    <n v="264"/>
    <d v="2024-12-05T00:00:00"/>
    <x v="11"/>
    <x v="0"/>
    <s v="APORTACION EN EL BOTE."/>
    <n v="50"/>
    <m/>
    <x v="0"/>
  </r>
  <r>
    <n v="265"/>
    <d v="2024-12-05T00:00:00"/>
    <x v="11"/>
    <x v="1"/>
    <s v="C. PALABRA. 18 INTENCIONES; ANITA."/>
    <n v="393"/>
    <m/>
    <x v="1"/>
  </r>
  <r>
    <n v="266"/>
    <d v="2024-12-08T00:00:00"/>
    <x v="11"/>
    <x v="0"/>
    <s v="APORTACION EN EL BOTE."/>
    <n v="20"/>
    <m/>
    <x v="0"/>
  </r>
  <r>
    <n v="267"/>
    <d v="2024-12-08T00:00:00"/>
    <x v="11"/>
    <x v="0"/>
    <s v="FLORES PARA LA VIRGEN DE GUADALUPE. DON JESUS"/>
    <n v="200"/>
    <m/>
    <x v="0"/>
  </r>
  <r>
    <n v="268"/>
    <d v="2024-12-08T00:00:00"/>
    <x v="11"/>
    <x v="4"/>
    <s v="CAMION DE LA BASURA."/>
    <m/>
    <n v="-5"/>
    <x v="4"/>
  </r>
  <r>
    <n v="269"/>
    <d v="2024-12-09T00:00:00"/>
    <x v="11"/>
    <x v="0"/>
    <s v="FLORES PARA LA VIRGEN DE GUADALUPE. D. AMELIA"/>
    <n v="100"/>
    <m/>
    <x v="0"/>
  </r>
  <r>
    <n v="270"/>
    <d v="2024-12-10T00:00:00"/>
    <x v="11"/>
    <x v="0"/>
    <s v="FLORES PARA LA VIRGEN DE GUADALUPE. SRA TIENDA"/>
    <n v="200"/>
    <m/>
    <x v="0"/>
  </r>
  <r>
    <n v="271"/>
    <d v="2024-12-10T00:00:00"/>
    <x v="11"/>
    <x v="0"/>
    <s v="FLORES PARA LA VIRGEN DE GUADALUPE. YOLANDA"/>
    <n v="100"/>
    <m/>
    <x v="0"/>
  </r>
  <r>
    <n v="272"/>
    <d v="2024-12-11T00:00:00"/>
    <x v="11"/>
    <x v="3"/>
    <s v="90.-  PZA AGUA 500 ML. SAM'S."/>
    <m/>
    <n v="-233"/>
    <x v="2"/>
  </r>
  <r>
    <n v="273"/>
    <d v="2024-12-11T00:00:00"/>
    <x v="11"/>
    <x v="3"/>
    <s v="COSTAL 50 KG. SAL DE COLIMA."/>
    <m/>
    <n v="-180"/>
    <x v="2"/>
  </r>
  <r>
    <n v="274"/>
    <d v="2024-12-12T00:00:00"/>
    <x v="11"/>
    <x v="1"/>
    <s v="MISA CELEBRADA POR PADRE SAJI."/>
    <n v="1265.5"/>
    <m/>
    <x v="5"/>
  </r>
  <r>
    <n v="275"/>
    <d v="2024-12-14T00:00:00"/>
    <x v="11"/>
    <x v="4"/>
    <s v="CABLE Y CONTACTO PARA NACIMIENTO"/>
    <m/>
    <n v="-150"/>
    <x v="4"/>
  </r>
  <r>
    <n v="276"/>
    <d v="2024-12-15T00:00:00"/>
    <x v="11"/>
    <x v="0"/>
    <s v="APORTACION EN EL BOTE."/>
    <n v="1090"/>
    <m/>
    <x v="0"/>
  </r>
  <r>
    <n v="277"/>
    <d v="2024-12-16T00:00:00"/>
    <x v="11"/>
    <x v="4"/>
    <s v="JABON Y FABULOSO"/>
    <m/>
    <n v="-60"/>
    <x v="4"/>
  </r>
  <r>
    <n v="278"/>
    <d v="2024-12-19T00:00:00"/>
    <x v="11"/>
    <x v="0"/>
    <s v="APORTACION EN EL BOTE."/>
    <n v="149"/>
    <m/>
    <x v="0"/>
  </r>
  <r>
    <n v="279"/>
    <d v="2024-12-19T00:00:00"/>
    <x v="11"/>
    <x v="1"/>
    <s v="C. PALABRA. 17 INTENCIONES; ANITA."/>
    <n v="211"/>
    <m/>
    <x v="1"/>
  </r>
  <r>
    <n v="280"/>
    <d v="2024-12-25T00:00:00"/>
    <x v="11"/>
    <x v="0"/>
    <s v="APORTACION EN EL BOTE."/>
    <n v="205"/>
    <m/>
    <x v="0"/>
  </r>
  <r>
    <n v="281"/>
    <d v="2024-12-26T00:00:00"/>
    <x v="11"/>
    <x v="4"/>
    <s v="CANDADO 158, DUPLICADO 14*20 LLAVES Y 2*6 LLAVEROS."/>
    <m/>
    <n v="-450"/>
    <x v="4"/>
  </r>
  <r>
    <n v="282"/>
    <d v="2024-12-29T00:00:00"/>
    <x v="11"/>
    <x v="0"/>
    <s v="APORTACION EN EL BOTE."/>
    <n v="40"/>
    <m/>
    <x v="0"/>
  </r>
  <r>
    <n v="283"/>
    <d v="2024-12-30T00:00:00"/>
    <x v="11"/>
    <x v="4"/>
    <s v="ETIQUETAS PARA LLAVES."/>
    <m/>
    <n v="-7.5"/>
    <x v="4"/>
  </r>
  <r>
    <n v="284"/>
    <d v="2024-12-31T00:00:00"/>
    <x v="11"/>
    <x v="4"/>
    <s v="ENTREGA COLECTA AL PADRE LUIS GARCIA."/>
    <m/>
    <n v="-1117"/>
    <x v="6"/>
  </r>
  <r>
    <n v="285"/>
    <m/>
    <x v="12"/>
    <x v="6"/>
    <m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1"/>
    <d v="2025-01-02T00:00:00"/>
    <x v="0"/>
    <x v="0"/>
    <s v="SALDO PARA COMPRA DE BANCAS."/>
    <n v="0"/>
    <m/>
    <s v="Me quede con un saldo de $ 4,459 y que decidimos dejarlos en inversion, ya que darselos al padre o a Lucio serian para sus bolsillos."/>
  </r>
  <r>
    <n v="2"/>
    <d v="2025-01-17T00:00:00"/>
    <x v="0"/>
    <x v="0"/>
    <s v="APERTURA DE INVERSION AZTECA."/>
    <n v="4459"/>
    <m/>
    <m/>
  </r>
  <r>
    <n v="3"/>
    <d v="2025-02-17T00:00:00"/>
    <x v="1"/>
    <x v="0"/>
    <s v="INTERESES GENERADOS."/>
    <n v="7.43"/>
    <m/>
    <s v="PLAZO AZTECA 2%"/>
  </r>
  <r>
    <n v="4"/>
    <m/>
    <x v="2"/>
    <x v="1"/>
    <m/>
    <m/>
    <m/>
    <m/>
  </r>
  <r>
    <n v="5"/>
    <m/>
    <x v="2"/>
    <x v="1"/>
    <m/>
    <m/>
    <m/>
    <m/>
  </r>
  <r>
    <n v="6"/>
    <m/>
    <x v="2"/>
    <x v="1"/>
    <m/>
    <m/>
    <m/>
    <m/>
  </r>
  <r>
    <n v="7"/>
    <m/>
    <x v="2"/>
    <x v="1"/>
    <m/>
    <m/>
    <m/>
    <m/>
  </r>
  <r>
    <n v="8"/>
    <m/>
    <x v="2"/>
    <x v="1"/>
    <m/>
    <m/>
    <m/>
    <m/>
  </r>
  <r>
    <n v="9"/>
    <m/>
    <x v="2"/>
    <x v="1"/>
    <m/>
    <m/>
    <m/>
    <m/>
  </r>
  <r>
    <n v="10"/>
    <m/>
    <x v="2"/>
    <x v="1"/>
    <m/>
    <m/>
    <m/>
    <m/>
  </r>
  <r>
    <n v="11"/>
    <m/>
    <x v="2"/>
    <x v="1"/>
    <m/>
    <m/>
    <m/>
    <m/>
  </r>
  <r>
    <n v="12"/>
    <m/>
    <x v="2"/>
    <x v="1"/>
    <m/>
    <m/>
    <m/>
    <m/>
  </r>
  <r>
    <n v="13"/>
    <m/>
    <x v="2"/>
    <x v="1"/>
    <m/>
    <m/>
    <m/>
    <m/>
  </r>
  <r>
    <n v="14"/>
    <m/>
    <x v="2"/>
    <x v="1"/>
    <m/>
    <m/>
    <m/>
    <m/>
  </r>
  <r>
    <n v="15"/>
    <m/>
    <x v="2"/>
    <x v="1"/>
    <m/>
    <m/>
    <m/>
    <m/>
  </r>
  <r>
    <n v="16"/>
    <m/>
    <x v="2"/>
    <x v="1"/>
    <m/>
    <m/>
    <m/>
    <m/>
  </r>
  <r>
    <n v="17"/>
    <m/>
    <x v="2"/>
    <x v="1"/>
    <m/>
    <m/>
    <m/>
    <m/>
  </r>
  <r>
    <n v="18"/>
    <m/>
    <x v="2"/>
    <x v="1"/>
    <m/>
    <m/>
    <m/>
    <m/>
  </r>
  <r>
    <n v="19"/>
    <m/>
    <x v="2"/>
    <x v="1"/>
    <m/>
    <m/>
    <m/>
    <m/>
  </r>
  <r>
    <n v="20"/>
    <m/>
    <x v="2"/>
    <x v="1"/>
    <m/>
    <m/>
    <m/>
    <m/>
  </r>
  <r>
    <n v="21"/>
    <m/>
    <x v="2"/>
    <x v="1"/>
    <m/>
    <m/>
    <m/>
    <m/>
  </r>
  <r>
    <n v="22"/>
    <m/>
    <x v="2"/>
    <x v="1"/>
    <m/>
    <m/>
    <m/>
    <m/>
  </r>
  <r>
    <n v="23"/>
    <m/>
    <x v="2"/>
    <x v="1"/>
    <m/>
    <m/>
    <m/>
    <m/>
  </r>
  <r>
    <n v="24"/>
    <m/>
    <x v="2"/>
    <x v="1"/>
    <m/>
    <m/>
    <m/>
    <m/>
  </r>
  <r>
    <n v="25"/>
    <m/>
    <x v="2"/>
    <x v="1"/>
    <m/>
    <m/>
    <m/>
    <m/>
  </r>
  <r>
    <n v="26"/>
    <m/>
    <x v="2"/>
    <x v="1"/>
    <m/>
    <m/>
    <m/>
    <m/>
  </r>
  <r>
    <n v="27"/>
    <m/>
    <x v="2"/>
    <x v="1"/>
    <m/>
    <m/>
    <m/>
    <m/>
  </r>
  <r>
    <n v="28"/>
    <m/>
    <x v="2"/>
    <x v="1"/>
    <m/>
    <m/>
    <m/>
    <m/>
  </r>
  <r>
    <n v="29"/>
    <m/>
    <x v="2"/>
    <x v="1"/>
    <m/>
    <m/>
    <m/>
    <m/>
  </r>
  <r>
    <n v="30"/>
    <m/>
    <x v="2"/>
    <x v="1"/>
    <m/>
    <m/>
    <m/>
    <m/>
  </r>
  <r>
    <n v="31"/>
    <m/>
    <x v="2"/>
    <x v="1"/>
    <m/>
    <m/>
    <m/>
    <m/>
  </r>
  <r>
    <n v="32"/>
    <m/>
    <x v="2"/>
    <x v="1"/>
    <m/>
    <m/>
    <m/>
    <m/>
  </r>
  <r>
    <n v="33"/>
    <m/>
    <x v="2"/>
    <x v="1"/>
    <m/>
    <m/>
    <m/>
    <m/>
  </r>
  <r>
    <n v="34"/>
    <m/>
    <x v="2"/>
    <x v="1"/>
    <m/>
    <m/>
    <m/>
    <m/>
  </r>
  <r>
    <n v="35"/>
    <m/>
    <x v="2"/>
    <x v="1"/>
    <m/>
    <m/>
    <m/>
    <m/>
  </r>
  <r>
    <n v="36"/>
    <m/>
    <x v="2"/>
    <x v="1"/>
    <m/>
    <m/>
    <m/>
    <m/>
  </r>
  <r>
    <n v="37"/>
    <m/>
    <x v="2"/>
    <x v="1"/>
    <m/>
    <m/>
    <m/>
    <m/>
  </r>
  <r>
    <n v="38"/>
    <m/>
    <x v="2"/>
    <x v="1"/>
    <m/>
    <m/>
    <m/>
    <m/>
  </r>
  <r>
    <n v="39"/>
    <m/>
    <x v="2"/>
    <x v="1"/>
    <m/>
    <m/>
    <m/>
    <m/>
  </r>
  <r>
    <n v="40"/>
    <m/>
    <x v="2"/>
    <x v="1"/>
    <m/>
    <m/>
    <m/>
    <m/>
  </r>
  <r>
    <n v="41"/>
    <m/>
    <x v="2"/>
    <x v="1"/>
    <m/>
    <m/>
    <m/>
    <m/>
  </r>
  <r>
    <n v="42"/>
    <m/>
    <x v="2"/>
    <x v="1"/>
    <m/>
    <m/>
    <m/>
    <m/>
  </r>
  <r>
    <n v="43"/>
    <m/>
    <x v="2"/>
    <x v="1"/>
    <m/>
    <m/>
    <m/>
    <m/>
  </r>
  <r>
    <n v="44"/>
    <m/>
    <x v="2"/>
    <x v="1"/>
    <m/>
    <m/>
    <m/>
    <m/>
  </r>
  <r>
    <n v="45"/>
    <m/>
    <x v="2"/>
    <x v="1"/>
    <m/>
    <m/>
    <m/>
    <m/>
  </r>
  <r>
    <n v="46"/>
    <m/>
    <x v="2"/>
    <x v="1"/>
    <m/>
    <m/>
    <m/>
    <m/>
  </r>
  <r>
    <n v="47"/>
    <m/>
    <x v="2"/>
    <x v="1"/>
    <m/>
    <m/>
    <m/>
    <m/>
  </r>
  <r>
    <n v="48"/>
    <m/>
    <x v="2"/>
    <x v="1"/>
    <m/>
    <m/>
    <m/>
    <m/>
  </r>
  <r>
    <n v="49"/>
    <m/>
    <x v="2"/>
    <x v="1"/>
    <m/>
    <m/>
    <m/>
    <m/>
  </r>
  <r>
    <n v="50"/>
    <m/>
    <x v="2"/>
    <x v="1"/>
    <m/>
    <m/>
    <m/>
    <m/>
  </r>
  <r>
    <n v="51"/>
    <m/>
    <x v="2"/>
    <x v="1"/>
    <m/>
    <m/>
    <m/>
    <m/>
  </r>
  <r>
    <n v="52"/>
    <m/>
    <x v="2"/>
    <x v="1"/>
    <m/>
    <m/>
    <m/>
    <m/>
  </r>
  <r>
    <n v="53"/>
    <m/>
    <x v="2"/>
    <x v="1"/>
    <m/>
    <m/>
    <m/>
    <m/>
  </r>
  <r>
    <n v="54"/>
    <m/>
    <x v="2"/>
    <x v="1"/>
    <m/>
    <m/>
    <m/>
    <m/>
  </r>
  <r>
    <n v="55"/>
    <m/>
    <x v="2"/>
    <x v="1"/>
    <m/>
    <m/>
    <m/>
    <m/>
  </r>
  <r>
    <n v="56"/>
    <m/>
    <x v="2"/>
    <x v="1"/>
    <m/>
    <m/>
    <m/>
    <m/>
  </r>
  <r>
    <n v="57"/>
    <m/>
    <x v="2"/>
    <x v="1"/>
    <m/>
    <m/>
    <m/>
    <m/>
  </r>
  <r>
    <n v="58"/>
    <m/>
    <x v="2"/>
    <x v="1"/>
    <m/>
    <m/>
    <m/>
    <m/>
  </r>
  <r>
    <n v="59"/>
    <m/>
    <x v="2"/>
    <x v="1"/>
    <m/>
    <m/>
    <m/>
    <m/>
  </r>
  <r>
    <n v="60"/>
    <m/>
    <x v="2"/>
    <x v="1"/>
    <m/>
    <m/>
    <m/>
    <m/>
  </r>
  <r>
    <n v="61"/>
    <m/>
    <x v="2"/>
    <x v="1"/>
    <m/>
    <m/>
    <m/>
    <m/>
  </r>
  <r>
    <n v="62"/>
    <m/>
    <x v="2"/>
    <x v="1"/>
    <m/>
    <m/>
    <m/>
    <m/>
  </r>
  <r>
    <n v="63"/>
    <m/>
    <x v="2"/>
    <x v="1"/>
    <m/>
    <m/>
    <m/>
    <m/>
  </r>
  <r>
    <n v="64"/>
    <m/>
    <x v="2"/>
    <x v="1"/>
    <m/>
    <m/>
    <m/>
    <m/>
  </r>
  <r>
    <n v="65"/>
    <m/>
    <x v="2"/>
    <x v="1"/>
    <m/>
    <m/>
    <m/>
    <m/>
  </r>
  <r>
    <n v="66"/>
    <m/>
    <x v="2"/>
    <x v="1"/>
    <m/>
    <m/>
    <m/>
    <m/>
  </r>
  <r>
    <n v="67"/>
    <m/>
    <x v="2"/>
    <x v="1"/>
    <m/>
    <m/>
    <m/>
    <m/>
  </r>
  <r>
    <n v="68"/>
    <m/>
    <x v="2"/>
    <x v="1"/>
    <m/>
    <m/>
    <m/>
    <m/>
  </r>
  <r>
    <n v="69"/>
    <m/>
    <x v="2"/>
    <x v="1"/>
    <m/>
    <m/>
    <m/>
    <m/>
  </r>
  <r>
    <n v="70"/>
    <m/>
    <x v="2"/>
    <x v="1"/>
    <m/>
    <m/>
    <m/>
    <m/>
  </r>
  <r>
    <n v="71"/>
    <m/>
    <x v="2"/>
    <x v="1"/>
    <m/>
    <m/>
    <m/>
    <m/>
  </r>
  <r>
    <n v="72"/>
    <m/>
    <x v="2"/>
    <x v="1"/>
    <m/>
    <m/>
    <m/>
    <m/>
  </r>
  <r>
    <n v="73"/>
    <m/>
    <x v="2"/>
    <x v="1"/>
    <m/>
    <m/>
    <m/>
    <m/>
  </r>
  <r>
    <n v="74"/>
    <m/>
    <x v="2"/>
    <x v="1"/>
    <m/>
    <m/>
    <m/>
    <m/>
  </r>
  <r>
    <n v="75"/>
    <m/>
    <x v="2"/>
    <x v="1"/>
    <m/>
    <m/>
    <m/>
    <m/>
  </r>
  <r>
    <n v="76"/>
    <m/>
    <x v="2"/>
    <x v="1"/>
    <m/>
    <m/>
    <m/>
    <m/>
  </r>
  <r>
    <n v="77"/>
    <m/>
    <x v="2"/>
    <x v="1"/>
    <m/>
    <m/>
    <m/>
    <m/>
  </r>
  <r>
    <n v="78"/>
    <m/>
    <x v="2"/>
    <x v="1"/>
    <m/>
    <m/>
    <m/>
    <m/>
  </r>
  <r>
    <n v="79"/>
    <m/>
    <x v="2"/>
    <x v="1"/>
    <m/>
    <m/>
    <m/>
    <m/>
  </r>
  <r>
    <n v="80"/>
    <m/>
    <x v="2"/>
    <x v="1"/>
    <m/>
    <m/>
    <m/>
    <m/>
  </r>
  <r>
    <n v="81"/>
    <m/>
    <x v="2"/>
    <x v="1"/>
    <m/>
    <m/>
    <m/>
    <m/>
  </r>
  <r>
    <n v="82"/>
    <m/>
    <x v="2"/>
    <x v="1"/>
    <m/>
    <m/>
    <m/>
    <m/>
  </r>
  <r>
    <n v="83"/>
    <m/>
    <x v="2"/>
    <x v="1"/>
    <m/>
    <m/>
    <m/>
    <m/>
  </r>
  <r>
    <n v="84"/>
    <m/>
    <x v="2"/>
    <x v="1"/>
    <m/>
    <m/>
    <m/>
    <m/>
  </r>
  <r>
    <n v="85"/>
    <m/>
    <x v="2"/>
    <x v="1"/>
    <m/>
    <m/>
    <m/>
    <m/>
  </r>
  <r>
    <n v="86"/>
    <m/>
    <x v="2"/>
    <x v="1"/>
    <m/>
    <m/>
    <m/>
    <m/>
  </r>
  <r>
    <n v="87"/>
    <m/>
    <x v="2"/>
    <x v="1"/>
    <m/>
    <m/>
    <m/>
    <m/>
  </r>
  <r>
    <n v="88"/>
    <m/>
    <x v="2"/>
    <x v="1"/>
    <m/>
    <m/>
    <m/>
    <m/>
  </r>
  <r>
    <n v="89"/>
    <m/>
    <x v="2"/>
    <x v="1"/>
    <m/>
    <m/>
    <m/>
    <m/>
  </r>
  <r>
    <n v="90"/>
    <m/>
    <x v="2"/>
    <x v="1"/>
    <m/>
    <m/>
    <m/>
    <m/>
  </r>
  <r>
    <n v="91"/>
    <m/>
    <x v="2"/>
    <x v="1"/>
    <m/>
    <m/>
    <m/>
    <m/>
  </r>
  <r>
    <n v="92"/>
    <m/>
    <x v="2"/>
    <x v="1"/>
    <m/>
    <m/>
    <m/>
    <m/>
  </r>
  <r>
    <n v="93"/>
    <m/>
    <x v="2"/>
    <x v="1"/>
    <m/>
    <m/>
    <m/>
    <m/>
  </r>
  <r>
    <n v="94"/>
    <m/>
    <x v="2"/>
    <x v="1"/>
    <m/>
    <m/>
    <m/>
    <m/>
  </r>
  <r>
    <n v="95"/>
    <m/>
    <x v="2"/>
    <x v="1"/>
    <m/>
    <m/>
    <m/>
    <m/>
  </r>
  <r>
    <n v="96"/>
    <m/>
    <x v="2"/>
    <x v="1"/>
    <m/>
    <m/>
    <m/>
    <m/>
  </r>
  <r>
    <n v="97"/>
    <m/>
    <x v="2"/>
    <x v="1"/>
    <m/>
    <m/>
    <m/>
    <m/>
  </r>
  <r>
    <n v="98"/>
    <m/>
    <x v="2"/>
    <x v="1"/>
    <m/>
    <m/>
    <m/>
    <m/>
  </r>
  <r>
    <n v="99"/>
    <m/>
    <x v="2"/>
    <x v="1"/>
    <m/>
    <m/>
    <m/>
    <m/>
  </r>
  <r>
    <n v="100"/>
    <m/>
    <x v="2"/>
    <x v="1"/>
    <m/>
    <m/>
    <m/>
    <m/>
  </r>
  <r>
    <n v="101"/>
    <m/>
    <x v="2"/>
    <x v="1"/>
    <m/>
    <m/>
    <m/>
    <m/>
  </r>
  <r>
    <n v="102"/>
    <m/>
    <x v="2"/>
    <x v="1"/>
    <m/>
    <m/>
    <m/>
    <m/>
  </r>
  <r>
    <n v="103"/>
    <m/>
    <x v="2"/>
    <x v="1"/>
    <m/>
    <m/>
    <m/>
    <m/>
  </r>
  <r>
    <n v="104"/>
    <m/>
    <x v="2"/>
    <x v="1"/>
    <m/>
    <m/>
    <m/>
    <m/>
  </r>
  <r>
    <n v="105"/>
    <m/>
    <x v="2"/>
    <x v="1"/>
    <m/>
    <m/>
    <m/>
    <m/>
  </r>
  <r>
    <n v="106"/>
    <m/>
    <x v="2"/>
    <x v="1"/>
    <m/>
    <m/>
    <m/>
    <m/>
  </r>
  <r>
    <n v="107"/>
    <m/>
    <x v="2"/>
    <x v="1"/>
    <m/>
    <m/>
    <m/>
    <m/>
  </r>
  <r>
    <n v="108"/>
    <m/>
    <x v="2"/>
    <x v="1"/>
    <m/>
    <m/>
    <m/>
    <m/>
  </r>
  <r>
    <n v="109"/>
    <m/>
    <x v="2"/>
    <x v="1"/>
    <m/>
    <m/>
    <m/>
    <m/>
  </r>
  <r>
    <n v="110"/>
    <m/>
    <x v="2"/>
    <x v="1"/>
    <m/>
    <m/>
    <m/>
    <m/>
  </r>
  <r>
    <n v="111"/>
    <m/>
    <x v="2"/>
    <x v="1"/>
    <m/>
    <m/>
    <m/>
    <m/>
  </r>
  <r>
    <n v="112"/>
    <m/>
    <x v="2"/>
    <x v="1"/>
    <m/>
    <m/>
    <m/>
    <m/>
  </r>
  <r>
    <n v="113"/>
    <m/>
    <x v="2"/>
    <x v="1"/>
    <m/>
    <m/>
    <m/>
    <m/>
  </r>
  <r>
    <n v="114"/>
    <m/>
    <x v="2"/>
    <x v="1"/>
    <m/>
    <m/>
    <m/>
    <m/>
  </r>
  <r>
    <n v="115"/>
    <m/>
    <x v="2"/>
    <x v="1"/>
    <m/>
    <m/>
    <m/>
    <m/>
  </r>
  <r>
    <n v="116"/>
    <m/>
    <x v="2"/>
    <x v="1"/>
    <m/>
    <m/>
    <m/>
    <m/>
  </r>
  <r>
    <n v="117"/>
    <m/>
    <x v="2"/>
    <x v="1"/>
    <m/>
    <m/>
    <m/>
    <m/>
  </r>
  <r>
    <n v="118"/>
    <m/>
    <x v="2"/>
    <x v="1"/>
    <m/>
    <m/>
    <m/>
    <m/>
  </r>
  <r>
    <n v="119"/>
    <m/>
    <x v="2"/>
    <x v="1"/>
    <m/>
    <m/>
    <m/>
    <m/>
  </r>
  <r>
    <n v="120"/>
    <m/>
    <x v="2"/>
    <x v="1"/>
    <m/>
    <m/>
    <m/>
    <m/>
  </r>
  <r>
    <n v="121"/>
    <m/>
    <x v="2"/>
    <x v="1"/>
    <m/>
    <m/>
    <m/>
    <m/>
  </r>
  <r>
    <n v="122"/>
    <m/>
    <x v="2"/>
    <x v="1"/>
    <m/>
    <m/>
    <m/>
    <m/>
  </r>
  <r>
    <n v="123"/>
    <m/>
    <x v="2"/>
    <x v="1"/>
    <m/>
    <m/>
    <m/>
    <m/>
  </r>
  <r>
    <n v="124"/>
    <m/>
    <x v="2"/>
    <x v="1"/>
    <m/>
    <m/>
    <m/>
    <m/>
  </r>
  <r>
    <n v="125"/>
    <m/>
    <x v="2"/>
    <x v="1"/>
    <m/>
    <m/>
    <m/>
    <m/>
  </r>
  <r>
    <n v="126"/>
    <m/>
    <x v="2"/>
    <x v="1"/>
    <m/>
    <m/>
    <m/>
    <m/>
  </r>
  <r>
    <n v="127"/>
    <m/>
    <x v="2"/>
    <x v="1"/>
    <m/>
    <m/>
    <m/>
    <m/>
  </r>
  <r>
    <n v="128"/>
    <m/>
    <x v="2"/>
    <x v="1"/>
    <m/>
    <m/>
    <m/>
    <m/>
  </r>
  <r>
    <n v="129"/>
    <m/>
    <x v="2"/>
    <x v="1"/>
    <m/>
    <m/>
    <m/>
    <m/>
  </r>
  <r>
    <n v="130"/>
    <m/>
    <x v="2"/>
    <x v="1"/>
    <m/>
    <m/>
    <m/>
    <m/>
  </r>
  <r>
    <n v="131"/>
    <m/>
    <x v="2"/>
    <x v="1"/>
    <m/>
    <m/>
    <m/>
    <m/>
  </r>
  <r>
    <n v="132"/>
    <m/>
    <x v="2"/>
    <x v="1"/>
    <m/>
    <m/>
    <m/>
    <m/>
  </r>
  <r>
    <n v="133"/>
    <m/>
    <x v="2"/>
    <x v="1"/>
    <m/>
    <m/>
    <m/>
    <m/>
  </r>
  <r>
    <n v="134"/>
    <m/>
    <x v="2"/>
    <x v="1"/>
    <m/>
    <m/>
    <m/>
    <m/>
  </r>
  <r>
    <n v="135"/>
    <m/>
    <x v="2"/>
    <x v="1"/>
    <m/>
    <m/>
    <m/>
    <m/>
  </r>
  <r>
    <n v="136"/>
    <m/>
    <x v="2"/>
    <x v="1"/>
    <m/>
    <m/>
    <m/>
    <m/>
  </r>
  <r>
    <n v="137"/>
    <m/>
    <x v="2"/>
    <x v="1"/>
    <m/>
    <m/>
    <m/>
    <m/>
  </r>
  <r>
    <n v="138"/>
    <m/>
    <x v="2"/>
    <x v="1"/>
    <m/>
    <m/>
    <m/>
    <m/>
  </r>
  <r>
    <n v="139"/>
    <m/>
    <x v="2"/>
    <x v="1"/>
    <m/>
    <m/>
    <m/>
    <m/>
  </r>
  <r>
    <n v="140"/>
    <m/>
    <x v="2"/>
    <x v="1"/>
    <m/>
    <m/>
    <m/>
    <m/>
  </r>
  <r>
    <n v="141"/>
    <m/>
    <x v="2"/>
    <x v="1"/>
    <m/>
    <m/>
    <m/>
    <m/>
  </r>
  <r>
    <n v="142"/>
    <m/>
    <x v="2"/>
    <x v="1"/>
    <m/>
    <m/>
    <m/>
    <m/>
  </r>
  <r>
    <n v="143"/>
    <m/>
    <x v="2"/>
    <x v="1"/>
    <m/>
    <m/>
    <m/>
    <m/>
  </r>
  <r>
    <n v="144"/>
    <m/>
    <x v="2"/>
    <x v="1"/>
    <m/>
    <m/>
    <m/>
    <m/>
  </r>
  <r>
    <n v="145"/>
    <m/>
    <x v="2"/>
    <x v="1"/>
    <m/>
    <m/>
    <m/>
    <m/>
  </r>
  <r>
    <n v="146"/>
    <m/>
    <x v="2"/>
    <x v="1"/>
    <m/>
    <m/>
    <m/>
    <m/>
  </r>
  <r>
    <n v="147"/>
    <m/>
    <x v="2"/>
    <x v="1"/>
    <m/>
    <m/>
    <m/>
    <m/>
  </r>
  <r>
    <n v="148"/>
    <m/>
    <x v="2"/>
    <x v="1"/>
    <m/>
    <m/>
    <m/>
    <m/>
  </r>
  <r>
    <n v="149"/>
    <m/>
    <x v="2"/>
    <x v="1"/>
    <m/>
    <m/>
    <m/>
    <m/>
  </r>
  <r>
    <n v="150"/>
    <m/>
    <x v="2"/>
    <x v="1"/>
    <m/>
    <m/>
    <m/>
    <m/>
  </r>
  <r>
    <n v="151"/>
    <m/>
    <x v="2"/>
    <x v="1"/>
    <m/>
    <m/>
    <m/>
    <m/>
  </r>
  <r>
    <n v="152"/>
    <m/>
    <x v="2"/>
    <x v="1"/>
    <m/>
    <m/>
    <m/>
    <m/>
  </r>
  <r>
    <n v="153"/>
    <m/>
    <x v="2"/>
    <x v="1"/>
    <m/>
    <m/>
    <m/>
    <m/>
  </r>
  <r>
    <n v="154"/>
    <m/>
    <x v="2"/>
    <x v="1"/>
    <m/>
    <m/>
    <m/>
    <m/>
  </r>
  <r>
    <n v="155"/>
    <m/>
    <x v="2"/>
    <x v="1"/>
    <m/>
    <m/>
    <m/>
    <m/>
  </r>
  <r>
    <n v="156"/>
    <m/>
    <x v="2"/>
    <x v="1"/>
    <m/>
    <m/>
    <m/>
    <m/>
  </r>
  <r>
    <n v="157"/>
    <m/>
    <x v="2"/>
    <x v="1"/>
    <m/>
    <m/>
    <m/>
    <m/>
  </r>
  <r>
    <n v="158"/>
    <m/>
    <x v="2"/>
    <x v="1"/>
    <m/>
    <m/>
    <m/>
    <m/>
  </r>
  <r>
    <n v="159"/>
    <m/>
    <x v="2"/>
    <x v="1"/>
    <m/>
    <m/>
    <m/>
    <m/>
  </r>
  <r>
    <n v="160"/>
    <m/>
    <x v="2"/>
    <x v="1"/>
    <m/>
    <m/>
    <m/>
    <m/>
  </r>
  <r>
    <n v="161"/>
    <m/>
    <x v="2"/>
    <x v="1"/>
    <m/>
    <m/>
    <m/>
    <m/>
  </r>
  <r>
    <n v="162"/>
    <m/>
    <x v="2"/>
    <x v="1"/>
    <m/>
    <m/>
    <m/>
    <m/>
  </r>
  <r>
    <n v="163"/>
    <m/>
    <x v="2"/>
    <x v="1"/>
    <m/>
    <m/>
    <m/>
    <m/>
  </r>
  <r>
    <n v="164"/>
    <m/>
    <x v="2"/>
    <x v="1"/>
    <m/>
    <m/>
    <m/>
    <m/>
  </r>
  <r>
    <n v="165"/>
    <m/>
    <x v="2"/>
    <x v="1"/>
    <m/>
    <m/>
    <m/>
    <m/>
  </r>
  <r>
    <n v="166"/>
    <m/>
    <x v="2"/>
    <x v="1"/>
    <m/>
    <m/>
    <m/>
    <m/>
  </r>
  <r>
    <n v="167"/>
    <m/>
    <x v="2"/>
    <x v="1"/>
    <m/>
    <m/>
    <m/>
    <m/>
  </r>
  <r>
    <n v="168"/>
    <m/>
    <x v="2"/>
    <x v="1"/>
    <m/>
    <m/>
    <m/>
    <m/>
  </r>
  <r>
    <n v="169"/>
    <m/>
    <x v="2"/>
    <x v="1"/>
    <m/>
    <m/>
    <m/>
    <m/>
  </r>
  <r>
    <n v="170"/>
    <m/>
    <x v="2"/>
    <x v="1"/>
    <m/>
    <m/>
    <m/>
    <m/>
  </r>
  <r>
    <n v="171"/>
    <m/>
    <x v="2"/>
    <x v="1"/>
    <m/>
    <m/>
    <m/>
    <m/>
  </r>
  <r>
    <n v="172"/>
    <m/>
    <x v="2"/>
    <x v="1"/>
    <m/>
    <m/>
    <m/>
    <m/>
  </r>
  <r>
    <n v="173"/>
    <m/>
    <x v="2"/>
    <x v="1"/>
    <m/>
    <m/>
    <m/>
    <m/>
  </r>
  <r>
    <n v="174"/>
    <m/>
    <x v="2"/>
    <x v="1"/>
    <m/>
    <m/>
    <m/>
    <m/>
  </r>
  <r>
    <n v="175"/>
    <m/>
    <x v="2"/>
    <x v="1"/>
    <m/>
    <m/>
    <m/>
    <m/>
  </r>
  <r>
    <n v="176"/>
    <m/>
    <x v="2"/>
    <x v="1"/>
    <m/>
    <m/>
    <m/>
    <m/>
  </r>
  <r>
    <n v="177"/>
    <m/>
    <x v="2"/>
    <x v="1"/>
    <m/>
    <m/>
    <m/>
    <m/>
  </r>
  <r>
    <n v="178"/>
    <m/>
    <x v="2"/>
    <x v="1"/>
    <m/>
    <m/>
    <m/>
    <m/>
  </r>
  <r>
    <n v="179"/>
    <m/>
    <x v="2"/>
    <x v="1"/>
    <m/>
    <m/>
    <m/>
    <m/>
  </r>
  <r>
    <n v="180"/>
    <m/>
    <x v="2"/>
    <x v="1"/>
    <m/>
    <m/>
    <m/>
    <m/>
  </r>
  <r>
    <n v="181"/>
    <m/>
    <x v="2"/>
    <x v="1"/>
    <m/>
    <m/>
    <m/>
    <m/>
  </r>
  <r>
    <n v="182"/>
    <m/>
    <x v="2"/>
    <x v="1"/>
    <m/>
    <m/>
    <m/>
    <m/>
  </r>
  <r>
    <n v="183"/>
    <m/>
    <x v="2"/>
    <x v="1"/>
    <m/>
    <m/>
    <m/>
    <m/>
  </r>
  <r>
    <n v="184"/>
    <m/>
    <x v="2"/>
    <x v="1"/>
    <m/>
    <m/>
    <m/>
    <m/>
  </r>
  <r>
    <n v="185"/>
    <m/>
    <x v="2"/>
    <x v="1"/>
    <m/>
    <m/>
    <m/>
    <m/>
  </r>
  <r>
    <n v="186"/>
    <m/>
    <x v="2"/>
    <x v="1"/>
    <m/>
    <m/>
    <m/>
    <m/>
  </r>
  <r>
    <n v="187"/>
    <m/>
    <x v="2"/>
    <x v="1"/>
    <m/>
    <m/>
    <m/>
    <m/>
  </r>
  <r>
    <n v="188"/>
    <m/>
    <x v="2"/>
    <x v="1"/>
    <m/>
    <m/>
    <m/>
    <m/>
  </r>
  <r>
    <n v="189"/>
    <m/>
    <x v="2"/>
    <x v="1"/>
    <m/>
    <m/>
    <m/>
    <m/>
  </r>
  <r>
    <n v="190"/>
    <m/>
    <x v="2"/>
    <x v="1"/>
    <m/>
    <m/>
    <m/>
    <m/>
  </r>
  <r>
    <n v="191"/>
    <m/>
    <x v="2"/>
    <x v="1"/>
    <m/>
    <m/>
    <m/>
    <m/>
  </r>
  <r>
    <n v="192"/>
    <m/>
    <x v="2"/>
    <x v="1"/>
    <m/>
    <m/>
    <m/>
    <m/>
  </r>
  <r>
    <n v="193"/>
    <m/>
    <x v="2"/>
    <x v="1"/>
    <m/>
    <m/>
    <m/>
    <m/>
  </r>
  <r>
    <n v="194"/>
    <m/>
    <x v="2"/>
    <x v="1"/>
    <m/>
    <m/>
    <m/>
    <m/>
  </r>
  <r>
    <n v="195"/>
    <m/>
    <x v="2"/>
    <x v="1"/>
    <m/>
    <m/>
    <m/>
    <m/>
  </r>
  <r>
    <n v="196"/>
    <m/>
    <x v="2"/>
    <x v="1"/>
    <m/>
    <m/>
    <m/>
    <m/>
  </r>
  <r>
    <n v="197"/>
    <m/>
    <x v="2"/>
    <x v="1"/>
    <m/>
    <m/>
    <m/>
    <m/>
  </r>
  <r>
    <n v="198"/>
    <m/>
    <x v="2"/>
    <x v="1"/>
    <m/>
    <m/>
    <m/>
    <m/>
  </r>
  <r>
    <n v="199"/>
    <m/>
    <x v="2"/>
    <x v="1"/>
    <m/>
    <m/>
    <m/>
    <m/>
  </r>
  <r>
    <n v="200"/>
    <m/>
    <x v="2"/>
    <x v="1"/>
    <m/>
    <m/>
    <m/>
    <m/>
  </r>
  <r>
    <n v="201"/>
    <m/>
    <x v="2"/>
    <x v="1"/>
    <m/>
    <m/>
    <m/>
    <m/>
  </r>
  <r>
    <n v="202"/>
    <m/>
    <x v="2"/>
    <x v="1"/>
    <m/>
    <m/>
    <m/>
    <m/>
  </r>
  <r>
    <n v="203"/>
    <m/>
    <x v="2"/>
    <x v="1"/>
    <m/>
    <m/>
    <m/>
    <m/>
  </r>
  <r>
    <n v="204"/>
    <m/>
    <x v="2"/>
    <x v="1"/>
    <m/>
    <m/>
    <m/>
    <m/>
  </r>
  <r>
    <n v="205"/>
    <m/>
    <x v="2"/>
    <x v="1"/>
    <m/>
    <m/>
    <m/>
    <m/>
  </r>
  <r>
    <n v="206"/>
    <m/>
    <x v="2"/>
    <x v="1"/>
    <m/>
    <m/>
    <m/>
    <m/>
  </r>
  <r>
    <n v="207"/>
    <m/>
    <x v="2"/>
    <x v="1"/>
    <m/>
    <m/>
    <m/>
    <m/>
  </r>
  <r>
    <n v="208"/>
    <m/>
    <x v="2"/>
    <x v="1"/>
    <m/>
    <m/>
    <m/>
    <m/>
  </r>
  <r>
    <n v="209"/>
    <m/>
    <x v="2"/>
    <x v="1"/>
    <m/>
    <m/>
    <m/>
    <m/>
  </r>
  <r>
    <n v="210"/>
    <m/>
    <x v="2"/>
    <x v="1"/>
    <m/>
    <m/>
    <m/>
    <m/>
  </r>
  <r>
    <n v="211"/>
    <m/>
    <x v="2"/>
    <x v="1"/>
    <m/>
    <m/>
    <m/>
    <m/>
  </r>
  <r>
    <n v="212"/>
    <m/>
    <x v="2"/>
    <x v="1"/>
    <m/>
    <m/>
    <m/>
    <m/>
  </r>
  <r>
    <n v="213"/>
    <m/>
    <x v="2"/>
    <x v="1"/>
    <m/>
    <m/>
    <m/>
    <m/>
  </r>
  <r>
    <n v="214"/>
    <m/>
    <x v="2"/>
    <x v="1"/>
    <m/>
    <m/>
    <m/>
    <m/>
  </r>
  <r>
    <n v="215"/>
    <m/>
    <x v="2"/>
    <x v="1"/>
    <m/>
    <m/>
    <m/>
    <m/>
  </r>
  <r>
    <n v="216"/>
    <m/>
    <x v="2"/>
    <x v="1"/>
    <m/>
    <m/>
    <m/>
    <m/>
  </r>
  <r>
    <n v="217"/>
    <m/>
    <x v="2"/>
    <x v="1"/>
    <m/>
    <m/>
    <m/>
    <m/>
  </r>
  <r>
    <n v="218"/>
    <m/>
    <x v="2"/>
    <x v="1"/>
    <m/>
    <m/>
    <m/>
    <m/>
  </r>
  <r>
    <n v="219"/>
    <m/>
    <x v="2"/>
    <x v="1"/>
    <m/>
    <m/>
    <m/>
    <m/>
  </r>
  <r>
    <n v="220"/>
    <m/>
    <x v="2"/>
    <x v="1"/>
    <m/>
    <m/>
    <m/>
    <m/>
  </r>
  <r>
    <n v="221"/>
    <m/>
    <x v="2"/>
    <x v="1"/>
    <m/>
    <m/>
    <m/>
    <m/>
  </r>
  <r>
    <n v="222"/>
    <m/>
    <x v="2"/>
    <x v="1"/>
    <m/>
    <m/>
    <m/>
    <m/>
  </r>
  <r>
    <n v="223"/>
    <m/>
    <x v="2"/>
    <x v="1"/>
    <m/>
    <m/>
    <m/>
    <m/>
  </r>
  <r>
    <n v="224"/>
    <m/>
    <x v="2"/>
    <x v="1"/>
    <m/>
    <m/>
    <m/>
    <m/>
  </r>
  <r>
    <n v="225"/>
    <m/>
    <x v="2"/>
    <x v="1"/>
    <m/>
    <m/>
    <m/>
    <m/>
  </r>
  <r>
    <n v="226"/>
    <m/>
    <x v="2"/>
    <x v="1"/>
    <m/>
    <m/>
    <m/>
    <m/>
  </r>
  <r>
    <n v="227"/>
    <m/>
    <x v="2"/>
    <x v="1"/>
    <m/>
    <m/>
    <m/>
    <m/>
  </r>
  <r>
    <n v="228"/>
    <m/>
    <x v="2"/>
    <x v="1"/>
    <m/>
    <m/>
    <m/>
    <m/>
  </r>
  <r>
    <n v="229"/>
    <m/>
    <x v="2"/>
    <x v="1"/>
    <m/>
    <m/>
    <m/>
    <m/>
  </r>
  <r>
    <n v="230"/>
    <m/>
    <x v="2"/>
    <x v="1"/>
    <m/>
    <m/>
    <m/>
    <m/>
  </r>
  <r>
    <n v="231"/>
    <m/>
    <x v="2"/>
    <x v="1"/>
    <m/>
    <m/>
    <m/>
    <m/>
  </r>
  <r>
    <n v="232"/>
    <m/>
    <x v="2"/>
    <x v="1"/>
    <m/>
    <m/>
    <m/>
    <m/>
  </r>
  <r>
    <n v="233"/>
    <m/>
    <x v="2"/>
    <x v="1"/>
    <m/>
    <m/>
    <m/>
    <m/>
  </r>
  <r>
    <n v="234"/>
    <m/>
    <x v="2"/>
    <x v="1"/>
    <m/>
    <m/>
    <m/>
    <m/>
  </r>
  <r>
    <n v="235"/>
    <m/>
    <x v="2"/>
    <x v="1"/>
    <m/>
    <m/>
    <m/>
    <m/>
  </r>
  <r>
    <n v="236"/>
    <m/>
    <x v="2"/>
    <x v="1"/>
    <m/>
    <m/>
    <m/>
    <m/>
  </r>
  <r>
    <n v="237"/>
    <m/>
    <x v="2"/>
    <x v="1"/>
    <m/>
    <m/>
    <m/>
    <m/>
  </r>
  <r>
    <n v="238"/>
    <m/>
    <x v="2"/>
    <x v="1"/>
    <m/>
    <m/>
    <m/>
    <m/>
  </r>
  <r>
    <n v="239"/>
    <m/>
    <x v="2"/>
    <x v="1"/>
    <m/>
    <m/>
    <m/>
    <m/>
  </r>
  <r>
    <n v="240"/>
    <m/>
    <x v="2"/>
    <x v="1"/>
    <m/>
    <m/>
    <m/>
    <m/>
  </r>
  <r>
    <n v="241"/>
    <m/>
    <x v="2"/>
    <x v="1"/>
    <m/>
    <m/>
    <m/>
    <m/>
  </r>
  <r>
    <n v="242"/>
    <m/>
    <x v="2"/>
    <x v="1"/>
    <m/>
    <m/>
    <m/>
    <m/>
  </r>
  <r>
    <n v="243"/>
    <m/>
    <x v="2"/>
    <x v="1"/>
    <m/>
    <m/>
    <m/>
    <m/>
  </r>
  <r>
    <n v="244"/>
    <m/>
    <x v="2"/>
    <x v="1"/>
    <m/>
    <m/>
    <m/>
    <m/>
  </r>
  <r>
    <n v="245"/>
    <m/>
    <x v="2"/>
    <x v="1"/>
    <m/>
    <m/>
    <m/>
    <m/>
  </r>
  <r>
    <n v="246"/>
    <m/>
    <x v="2"/>
    <x v="1"/>
    <m/>
    <m/>
    <m/>
    <m/>
  </r>
  <r>
    <n v="247"/>
    <m/>
    <x v="2"/>
    <x v="1"/>
    <m/>
    <m/>
    <m/>
    <m/>
  </r>
  <r>
    <n v="248"/>
    <m/>
    <x v="2"/>
    <x v="1"/>
    <m/>
    <m/>
    <m/>
    <m/>
  </r>
  <r>
    <n v="249"/>
    <m/>
    <x v="2"/>
    <x v="1"/>
    <m/>
    <m/>
    <m/>
    <m/>
  </r>
  <r>
    <n v="250"/>
    <m/>
    <x v="2"/>
    <x v="1"/>
    <m/>
    <m/>
    <m/>
    <m/>
  </r>
  <r>
    <n v="251"/>
    <m/>
    <x v="2"/>
    <x v="1"/>
    <m/>
    <m/>
    <m/>
    <m/>
  </r>
  <r>
    <n v="252"/>
    <m/>
    <x v="2"/>
    <x v="1"/>
    <m/>
    <m/>
    <m/>
    <m/>
  </r>
  <r>
    <n v="253"/>
    <m/>
    <x v="2"/>
    <x v="1"/>
    <m/>
    <m/>
    <m/>
    <m/>
  </r>
  <r>
    <n v="254"/>
    <m/>
    <x v="2"/>
    <x v="1"/>
    <m/>
    <m/>
    <m/>
    <m/>
  </r>
  <r>
    <n v="255"/>
    <m/>
    <x v="2"/>
    <x v="1"/>
    <m/>
    <m/>
    <m/>
    <m/>
  </r>
  <r>
    <n v="256"/>
    <m/>
    <x v="2"/>
    <x v="1"/>
    <m/>
    <m/>
    <m/>
    <m/>
  </r>
  <r>
    <n v="257"/>
    <m/>
    <x v="2"/>
    <x v="1"/>
    <m/>
    <m/>
    <m/>
    <m/>
  </r>
  <r>
    <n v="258"/>
    <m/>
    <x v="2"/>
    <x v="1"/>
    <m/>
    <m/>
    <m/>
    <m/>
  </r>
  <r>
    <n v="259"/>
    <m/>
    <x v="2"/>
    <x v="1"/>
    <m/>
    <m/>
    <m/>
    <m/>
  </r>
  <r>
    <n v="260"/>
    <m/>
    <x v="2"/>
    <x v="1"/>
    <m/>
    <m/>
    <m/>
    <m/>
  </r>
  <r>
    <n v="261"/>
    <m/>
    <x v="2"/>
    <x v="1"/>
    <m/>
    <m/>
    <m/>
    <m/>
  </r>
  <r>
    <n v="262"/>
    <m/>
    <x v="2"/>
    <x v="1"/>
    <m/>
    <m/>
    <m/>
    <m/>
  </r>
  <r>
    <n v="263"/>
    <m/>
    <x v="2"/>
    <x v="1"/>
    <m/>
    <m/>
    <m/>
    <m/>
  </r>
  <r>
    <n v="264"/>
    <m/>
    <x v="2"/>
    <x v="1"/>
    <m/>
    <m/>
    <m/>
    <m/>
  </r>
  <r>
    <n v="265"/>
    <m/>
    <x v="2"/>
    <x v="1"/>
    <m/>
    <m/>
    <m/>
    <m/>
  </r>
  <r>
    <n v="266"/>
    <m/>
    <x v="2"/>
    <x v="1"/>
    <m/>
    <m/>
    <m/>
    <m/>
  </r>
  <r>
    <n v="267"/>
    <m/>
    <x v="2"/>
    <x v="1"/>
    <m/>
    <m/>
    <m/>
    <m/>
  </r>
  <r>
    <n v="268"/>
    <m/>
    <x v="2"/>
    <x v="1"/>
    <m/>
    <m/>
    <m/>
    <m/>
  </r>
  <r>
    <n v="269"/>
    <m/>
    <x v="2"/>
    <x v="1"/>
    <m/>
    <m/>
    <m/>
    <m/>
  </r>
  <r>
    <n v="270"/>
    <m/>
    <x v="2"/>
    <x v="1"/>
    <m/>
    <m/>
    <m/>
    <m/>
  </r>
  <r>
    <n v="271"/>
    <m/>
    <x v="2"/>
    <x v="1"/>
    <m/>
    <m/>
    <m/>
    <m/>
  </r>
  <r>
    <n v="272"/>
    <m/>
    <x v="2"/>
    <x v="1"/>
    <m/>
    <m/>
    <m/>
    <m/>
  </r>
  <r>
    <n v="273"/>
    <m/>
    <x v="2"/>
    <x v="1"/>
    <m/>
    <m/>
    <m/>
    <m/>
  </r>
  <r>
    <n v="274"/>
    <m/>
    <x v="2"/>
    <x v="1"/>
    <m/>
    <m/>
    <m/>
    <m/>
  </r>
  <r>
    <n v="275"/>
    <m/>
    <x v="2"/>
    <x v="1"/>
    <m/>
    <m/>
    <m/>
    <m/>
  </r>
  <r>
    <n v="276"/>
    <m/>
    <x v="2"/>
    <x v="1"/>
    <m/>
    <m/>
    <m/>
    <m/>
  </r>
  <r>
    <n v="277"/>
    <m/>
    <x v="2"/>
    <x v="1"/>
    <m/>
    <m/>
    <m/>
    <m/>
  </r>
  <r>
    <n v="278"/>
    <m/>
    <x v="2"/>
    <x v="1"/>
    <m/>
    <m/>
    <m/>
    <m/>
  </r>
  <r>
    <n v="279"/>
    <m/>
    <x v="2"/>
    <x v="1"/>
    <m/>
    <m/>
    <m/>
    <m/>
  </r>
  <r>
    <n v="280"/>
    <m/>
    <x v="2"/>
    <x v="1"/>
    <m/>
    <m/>
    <m/>
    <m/>
  </r>
  <r>
    <n v="281"/>
    <m/>
    <x v="2"/>
    <x v="1"/>
    <m/>
    <m/>
    <m/>
    <m/>
  </r>
  <r>
    <n v="282"/>
    <m/>
    <x v="2"/>
    <x v="1"/>
    <m/>
    <m/>
    <m/>
    <m/>
  </r>
  <r>
    <n v="283"/>
    <m/>
    <x v="2"/>
    <x v="1"/>
    <m/>
    <m/>
    <m/>
    <m/>
  </r>
  <r>
    <n v="284"/>
    <m/>
    <x v="2"/>
    <x v="1"/>
    <m/>
    <m/>
    <m/>
    <m/>
  </r>
  <r>
    <n v="285"/>
    <m/>
    <x v="2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5680D-5ED4-48FF-9560-DA2606461E04}" name="TablaDinámica1" cacheId="1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RUBRO">
  <location ref="A6:C18" firstHeaderRow="0" firstDataRow="1" firstDataCol="1" rowPageCount="1" colPageCount="1"/>
  <pivotFields count="8">
    <pivotField numFmtId="3" showAll="0"/>
    <pivotField numFmtId="166" showAll="0"/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 sortType="ascending">
      <items count="8">
        <item h="1" x="2"/>
        <item h="1" x="3"/>
        <item x="0"/>
        <item x="1"/>
        <item h="1" x="4"/>
        <item h="1" x="5"/>
        <item h="1" x="6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0" numFmtId="165"/>
    <dataField name="EGRESOS" fld="6" baseField="2" baseItem="0" numFmtId="165"/>
  </dataFields>
  <formats count="7">
    <format dxfId="86">
      <pivotArea field="2" type="button" dataOnly="0" labelOnly="1" outline="0" axis="axisRow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4">
      <pivotArea outline="0" fieldPosition="0">
        <references count="1">
          <reference field="4294967294" count="1">
            <x v="1"/>
          </reference>
        </references>
      </pivotArea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1">
      <pivotArea field="2" type="button" dataOnly="0" labelOnly="1" outline="0" axis="axisRow" fieldPosition="0"/>
    </format>
    <format dxfId="80">
      <pivotArea field="2" type="button" dataOnly="0" labelOnly="1" outline="0" axis="axisRow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D2BB6-2777-4EB3-913B-113DDD359838}" name="TablaDinámica1" cacheId="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CONCEPTO">
  <location ref="A8:C43" firstHeaderRow="0" firstDataRow="1" firstDataCol="1" rowPageCount="1" colPageCount="1"/>
  <pivotFields count="8">
    <pivotField numFmtId="3" showAll="0"/>
    <pivotField showAll="0"/>
    <pivotField axis="axisRow" showAll="0">
      <items count="14">
        <item x="0"/>
        <item x="1"/>
        <item x="2"/>
        <item x="4"/>
        <item x="5"/>
        <item x="3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8">
        <item x="0"/>
        <item x="5"/>
        <item h="1" x="1"/>
        <item h="1" x="4"/>
        <item h="1" x="2"/>
        <item h="1" x="3"/>
        <item h="1" x="6"/>
        <item t="default"/>
      </items>
    </pivotField>
    <pivotField showAll="0"/>
    <pivotField dataField="1" showAll="0"/>
    <pivotField dataField="1" showAll="0"/>
    <pivotField axis="axisRow" showAll="0">
      <items count="48">
        <item x="23"/>
        <item m="1" x="36"/>
        <item x="26"/>
        <item m="1" x="31"/>
        <item m="1" x="40"/>
        <item x="28"/>
        <item x="25"/>
        <item m="1" x="34"/>
        <item x="21"/>
        <item m="1" x="33"/>
        <item m="1" x="41"/>
        <item m="1" x="43"/>
        <item m="1" x="35"/>
        <item x="16"/>
        <item x="8"/>
        <item x="7"/>
        <item x="15"/>
        <item x="12"/>
        <item x="11"/>
        <item x="13"/>
        <item x="14"/>
        <item x="22"/>
        <item x="19"/>
        <item x="17"/>
        <item x="18"/>
        <item m="1" x="42"/>
        <item m="1" x="39"/>
        <item x="24"/>
        <item m="1" x="30"/>
        <item m="1" x="32"/>
        <item m="1" x="37"/>
        <item m="1" x="44"/>
        <item m="1" x="45"/>
        <item m="1" x="38"/>
        <item x="20"/>
        <item m="1" x="29"/>
        <item m="1" x="46"/>
        <item x="2"/>
        <item x="0"/>
        <item x="4"/>
        <item x="9"/>
        <item x="3"/>
        <item x="27"/>
        <item x="1"/>
        <item x="5"/>
        <item x="6"/>
        <item x="10"/>
        <item t="default"/>
      </items>
    </pivotField>
  </pivotFields>
  <rowFields count="2">
    <field x="2"/>
    <field x="7"/>
  </rowFields>
  <rowItems count="35">
    <i>
      <x/>
    </i>
    <i r="1">
      <x v="38"/>
    </i>
    <i r="1">
      <x v="39"/>
    </i>
    <i>
      <x v="1"/>
    </i>
    <i r="1">
      <x v="38"/>
    </i>
    <i>
      <x v="2"/>
    </i>
    <i r="1">
      <x v="38"/>
    </i>
    <i>
      <x v="3"/>
    </i>
    <i r="1">
      <x v="38"/>
    </i>
    <i r="1">
      <x v="41"/>
    </i>
    <i>
      <x v="4"/>
    </i>
    <i r="1">
      <x v="38"/>
    </i>
    <i r="1">
      <x v="39"/>
    </i>
    <i r="1">
      <x v="41"/>
    </i>
    <i>
      <x v="5"/>
    </i>
    <i r="1">
      <x v="38"/>
    </i>
    <i r="1">
      <x v="40"/>
    </i>
    <i>
      <x v="6"/>
    </i>
    <i r="1">
      <x v="38"/>
    </i>
    <i>
      <x v="7"/>
    </i>
    <i r="1">
      <x v="38"/>
    </i>
    <i r="1">
      <x v="40"/>
    </i>
    <i>
      <x v="8"/>
    </i>
    <i r="1">
      <x v="38"/>
    </i>
    <i r="1">
      <x v="40"/>
    </i>
    <i>
      <x v="9"/>
    </i>
    <i r="1">
      <x v="38"/>
    </i>
    <i r="1">
      <x v="39"/>
    </i>
    <i r="1">
      <x v="41"/>
    </i>
    <i r="1">
      <x v="42"/>
    </i>
    <i>
      <x v="10"/>
    </i>
    <i r="1">
      <x v="38"/>
    </i>
    <i>
      <x v="11"/>
    </i>
    <i r="1">
      <x v="3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APORTE" fld="5" baseField="0" baseItem="0"/>
    <dataField name="GASTO" fld="6" baseField="0" baseItem="0"/>
  </dataFields>
  <formats count="8">
    <format dxfId="79">
      <pivotArea outline="0" collapsedLevelsAreSubtotals="1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field="2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">
      <pivotArea field="2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">
      <pivotArea grandRow="1" outline="0" collapsedLevelsAreSubtotals="1" fieldPosition="0"/>
    </format>
    <format dxfId="7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8DA4A-663B-4426-B242-DC24F91486BB}" name="TablaDinámica1" cacheId="8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RUBRO">
  <location ref="A6:C9" firstHeaderRow="0" firstDataRow="1" firstDataCol="1" rowPageCount="1" colPageCount="1"/>
  <pivotFields count="8">
    <pivotField numFmtId="3" showAll="0"/>
    <pivotField numFmtId="166" showAll="0"/>
    <pivotField axis="axisRow" multipleItemSelectionAllowed="1" showAll="0">
      <items count="4">
        <item x="2"/>
        <item x="0"/>
        <item x="1"/>
        <item t="default"/>
      </items>
    </pivotField>
    <pivotField axis="axisPage" multipleItemSelectionAllowed="1" showAll="0" sortType="ascending">
      <items count="3">
        <item x="0"/>
        <item h="1" x="1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0" numFmtId="165"/>
    <dataField name="EGRESOS" fld="6" baseField="2" baseItem="0" numFmtId="165"/>
  </dataFields>
  <formats count="7">
    <format dxfId="49">
      <pivotArea field="2" type="button" dataOnly="0" labelOnly="1" outline="0" axis="axisRow" fieldPosition="0"/>
    </format>
    <format dxfId="48">
      <pivotArea outline="0" fieldPosition="0">
        <references count="1">
          <reference field="4294967294" count="1">
            <x v="0"/>
          </reference>
        </references>
      </pivotArea>
    </format>
    <format dxfId="47">
      <pivotArea outline="0" fieldPosition="0">
        <references count="1">
          <reference field="4294967294" count="1">
            <x v="1"/>
          </reference>
        </references>
      </pivotArea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">
      <pivotArea field="2" type="button" dataOnly="0" labelOnly="1" outline="0" axis="axisRow" fieldPosition="0"/>
    </format>
    <format dxfId="43">
      <pivotArea field="2" type="button" dataOnly="0" labelOnly="1" outline="0" axis="axisRow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3A0FE-E616-4752-AE3D-F9B72651BB0B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MES">
  <location ref="A6:C12" firstHeaderRow="0" firstDataRow="1" firstDataCol="1" rowPageCount="1" colPageCount="1"/>
  <pivotFields count="8">
    <pivotField numFmtId="3" showAll="0"/>
    <pivotField showAll="0"/>
    <pivotField axis="axisRow" showAll="0" sortType="ascending">
      <items count="26">
        <item m="1" x="14"/>
        <item m="1" x="22"/>
        <item m="1" x="15"/>
        <item m="1" x="16"/>
        <item m="1" x="23"/>
        <item m="1" x="17"/>
        <item m="1" x="24"/>
        <item m="1" x="18"/>
        <item m="1" x="19"/>
        <item m="1" x="20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7">
        <item h="1" x="0"/>
        <item h="1" x="5"/>
        <item x="1"/>
        <item h="1" x="2"/>
        <item x="3"/>
        <item x="4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6"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12" numFmtId="44"/>
    <dataField name="EGRESOS" fld="6" baseField="2" baseItem="21" numFmtId="44"/>
  </dataFields>
  <formats count="2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2EAA0-EF9A-4603-B14E-7BA1347E58BB}" name="Flujo_SJTC" displayName="Flujo_SJTC" ref="B6:I196" totalsRowShown="0" dataDxfId="96" headerRowBorderDxfId="97" tableBorderDxfId="95">
  <autoFilter ref="B6:I196" xr:uid="{2552EAA0-EF9A-4603-B14E-7BA1347E58BB}"/>
  <tableColumns count="8">
    <tableColumn id="1" xr3:uid="{666C62DD-ED22-41CE-8167-F6AFF0D2B28F}" name="0.00" dataDxfId="94">
      <calculatedColumnFormula>B6+1</calculatedColumnFormula>
    </tableColumn>
    <tableColumn id="2" xr3:uid="{D89880FC-5D7D-4FA2-9802-AF70F9F19EB3}" name="FEC_MOV" dataDxfId="93"/>
    <tableColumn id="3" xr3:uid="{88ACA7B3-E072-450B-841B-956F62D87A4B}" name="MES" dataDxfId="92"/>
    <tableColumn id="4" xr3:uid="{06013185-F50E-4CCB-9743-59359A142DC0}" name="CATEGORIA" dataDxfId="91"/>
    <tableColumn id="5" xr3:uid="{088944E1-E487-4A6F-8D25-381138BDC7D4}" name="CONCEPTO" dataDxfId="90"/>
    <tableColumn id="6" xr3:uid="{F4182BBC-3D4B-408B-8D6E-9AC28ED5E534}" name="INGRESO" dataDxfId="89"/>
    <tableColumn id="7" xr3:uid="{98E79022-B6BA-4727-A513-DD674B00B6A8}" name="EGRESO" dataDxfId="88"/>
    <tableColumn id="8" xr3:uid="{E8EEA682-210F-455B-BC37-C5A74E17D5DC}" name="NOTAS" dataDxfId="8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ABF440-3C0D-4CBD-8965-04C1E3DF7A90}" name="DIAR_24" displayName="DIAR_24" ref="B6:I291" totalsRowShown="0" headerRowDxfId="71" dataDxfId="70" tableBorderDxfId="69">
  <autoFilter ref="B6:I291" xr:uid="{2552EAA0-EF9A-4603-B14E-7BA1347E58BB}">
    <filterColumn colId="3">
      <filters>
        <filter val="5_COMPRA"/>
      </filters>
    </filterColumn>
  </autoFilter>
  <sortState xmlns:xlrd2="http://schemas.microsoft.com/office/spreadsheetml/2017/richdata2" ref="B7:I291">
    <sortCondition ref="C7:C291"/>
    <sortCondition ref="E7:E291"/>
    <sortCondition ref="F7:F291"/>
  </sortState>
  <tableColumns count="8">
    <tableColumn id="1" xr3:uid="{78146467-D112-42E5-9BC7-E980D06B4565}" name="0.00" dataDxfId="68">
      <calculatedColumnFormula>B6+1</calculatedColumnFormula>
    </tableColumn>
    <tableColumn id="2" xr3:uid="{9558EA94-D895-43DF-802E-4C798231C01F}" name="FEC_MOV" dataDxfId="67"/>
    <tableColumn id="3" xr3:uid="{A4411C1A-8F1B-408F-B362-1A0C490FB7B3}" name="MES" dataDxfId="66"/>
    <tableColumn id="4" xr3:uid="{DEC667A6-A209-44C1-B5AF-7B6FFC069CA5}" name="CATEGORIA" dataDxfId="65"/>
    <tableColumn id="5" xr3:uid="{9A022393-26CF-443E-B2CC-3C6306359C04}" name="CONCEPTO" dataDxfId="64"/>
    <tableColumn id="6" xr3:uid="{447E0E4F-A9A2-4396-B807-71541E421FBC}" name="INGRESO" dataDxfId="63"/>
    <tableColumn id="7" xr3:uid="{B6EAA218-4F08-4621-909C-A91673DC3723}" name="EGRESO" dataDxfId="62"/>
    <tableColumn id="8" xr3:uid="{4D8AD61F-216C-4DB1-89F1-BC127C6F35E9}" name="NOTAS" dataDxfId="6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A96444-A6BB-4F80-A403-A34121976C61}" name="DIAR_247" displayName="DIAR_247" ref="B6:I291" totalsRowShown="0" headerRowDxfId="60" dataDxfId="59" tableBorderDxfId="58">
  <autoFilter ref="B6:I291" xr:uid="{2552EAA0-EF9A-4603-B14E-7BA1347E58BB}"/>
  <sortState xmlns:xlrd2="http://schemas.microsoft.com/office/spreadsheetml/2017/richdata2" ref="B7:I291">
    <sortCondition ref="C7:C291"/>
    <sortCondition ref="E7:E291"/>
    <sortCondition ref="F7:F291"/>
  </sortState>
  <tableColumns count="8">
    <tableColumn id="1" xr3:uid="{0C8F66E8-9B90-4E7F-A639-5781B266CDBF}" name="0.00" dataDxfId="57">
      <calculatedColumnFormula>B6+1</calculatedColumnFormula>
    </tableColumn>
    <tableColumn id="2" xr3:uid="{F500672D-906F-4A08-BA1C-614C6EC84311}" name="FEC_MOV" dataDxfId="56"/>
    <tableColumn id="3" xr3:uid="{C9BD63C7-6857-4622-A165-831B280B0D54}" name="MES" dataDxfId="55"/>
    <tableColumn id="4" xr3:uid="{E6778F23-4F38-46A1-8F1F-2F571A10FA32}" name="CATEGORIA" dataDxfId="54"/>
    <tableColumn id="5" xr3:uid="{B43CA4A3-6100-4273-BA27-063F8D5D0DAB}" name="CONCEPTO" dataDxfId="53"/>
    <tableColumn id="6" xr3:uid="{7E7F2028-E8A7-4D31-A3A2-AA70A5948836}" name="INGRESO" dataDxfId="52"/>
    <tableColumn id="7" xr3:uid="{C4FE14AE-0E9A-4178-A80A-29EAE5A59B1D}" name="EGRESO" dataDxfId="51"/>
    <tableColumn id="8" xr3:uid="{A2B9B41A-EA03-424E-A02A-32D3A30F8411}" name="NOTAS" dataDxfId="50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A66DCD-DDF7-4D22-BBDB-7A47EBF06157}" name="Inventario" displayName="Inventario" ref="B6:I38" totalsRowShown="0" headerRowDxfId="42" dataDxfId="41" tableBorderDxfId="40">
  <autoFilter ref="B6:I38" xr:uid="{D8A66DCD-DDF7-4D22-BBDB-7A47EBF06157}"/>
  <tableColumns count="8">
    <tableColumn id="1" xr3:uid="{CD264D47-6D4E-407C-B48E-42574E4C32EB}" name="0.00" dataDxfId="39">
      <calculatedColumnFormula>B6+1</calculatedColumnFormula>
    </tableColumn>
    <tableColumn id="2" xr3:uid="{A7191D60-130B-4135-805A-4190B408A0BC}" name="FEC_MOV" dataDxfId="38"/>
    <tableColumn id="3" xr3:uid="{0D68EE5E-281E-4D19-B303-F1642ACD6CC2}" name="MES" dataDxfId="37"/>
    <tableColumn id="4" xr3:uid="{DF737D5C-072F-4805-A1D2-0592EBF50E2A}" name="CATEGORIA" dataDxfId="36"/>
    <tableColumn id="5" xr3:uid="{7049B6C4-B9FC-434E-AF6F-3C25991C0CA7}" name="CONCEPTO" dataDxfId="35"/>
    <tableColumn id="6" xr3:uid="{249AD525-9FAF-4D08-95EF-7E4848924BEB}" name="AGUA" dataDxfId="34"/>
    <tableColumn id="7" xr3:uid="{F81138EF-1B05-47CB-82A3-F7FAB499BF47}" name="SAL" dataDxfId="33"/>
    <tableColumn id="8" xr3:uid="{19D9D7E1-5923-4301-984D-CE8DBAA8D2FD}" name="NOTAS" dataDxfId="32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DD1FBD-9890-4382-B08F-0507D4778EAA}" name="DIAR_245" displayName="DIAR_245" ref="B6:I197" totalsRowShown="0" headerRowDxfId="31" dataDxfId="30" tableBorderDxfId="29">
  <autoFilter ref="B6:I197" xr:uid="{2552EAA0-EF9A-4603-B14E-7BA1347E58BB}"/>
  <sortState xmlns:xlrd2="http://schemas.microsoft.com/office/spreadsheetml/2017/richdata2" ref="B7:I197">
    <sortCondition ref="C7:C197"/>
    <sortCondition ref="E7:E197"/>
    <sortCondition ref="F7:F197"/>
  </sortState>
  <tableColumns count="8">
    <tableColumn id="1" xr3:uid="{DAAFE782-C035-4940-83A1-D3C61C04C521}" name="0.00" dataDxfId="28">
      <calculatedColumnFormula>B6+1</calculatedColumnFormula>
    </tableColumn>
    <tableColumn id="2" xr3:uid="{E7A78958-F746-4063-8B52-06F870EE81AF}" name="FEC_MOV" dataDxfId="27"/>
    <tableColumn id="3" xr3:uid="{79E1BDCD-99F6-4FE7-A96D-704D2898F6EC}" name="MES" dataDxfId="26"/>
    <tableColumn id="4" xr3:uid="{9EB63500-5ACF-4EA0-B15F-CAE5740967D0}" name="CATEGORIA" dataDxfId="25"/>
    <tableColumn id="5" xr3:uid="{5339BA78-1EAB-439D-924C-5A0ABDBE1DEE}" name="CONCEPTO" dataDxfId="24"/>
    <tableColumn id="6" xr3:uid="{2BD202F9-48E0-487A-ABC2-2F72E95F64F5}" name="INGRESO" dataDxfId="23"/>
    <tableColumn id="7" xr3:uid="{89ED8DBD-22EB-44D6-B771-BBAC45B8B393}" name="EGRESO" dataDxfId="22"/>
    <tableColumn id="8" xr3:uid="{E5F5B623-846A-4D0C-94CE-54EE1DB6125A}" name="NOTAS" dataDxfId="21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07D9E-AAA7-4128-8391-85B1D744ED70}" name="Flujo_SJTC2" displayName="Flujo_SJTC2" ref="B6:J40" totalsRowShown="0" dataDxfId="17" headerRowBorderDxfId="18" tableBorderDxfId="16">
  <autoFilter ref="B6:J40" xr:uid="{2552EAA0-EF9A-4603-B14E-7BA1347E58BB}"/>
  <sortState xmlns:xlrd2="http://schemas.microsoft.com/office/spreadsheetml/2017/richdata2" ref="B7:J39">
    <sortCondition ref="C7:C39"/>
    <sortCondition ref="E7:E39"/>
    <sortCondition ref="F7:F39"/>
  </sortState>
  <tableColumns count="9">
    <tableColumn id="1" xr3:uid="{282B77B7-537B-4E4D-953F-00DF3E3914A8}" name="0.00" dataDxfId="15">
      <calculatedColumnFormula>B6+1</calculatedColumnFormula>
    </tableColumn>
    <tableColumn id="2" xr3:uid="{F5E81374-7B57-4DD6-9E6E-67A08F74B5A4}" name="FEC_MOV" dataDxfId="14"/>
    <tableColumn id="3" xr3:uid="{92A20AD5-EC3F-4205-8DE5-5D8157C7173B}" name="MES" dataDxfId="13"/>
    <tableColumn id="4" xr3:uid="{930C55AB-6A0F-4DCA-9117-07D80871CC38}" name="CATEGORIA" dataDxfId="12"/>
    <tableColumn id="5" xr3:uid="{2EE3C807-4760-4951-AF09-F45B17B31C3D}" name="CONCEPTO" dataDxfId="11"/>
    <tableColumn id="6" xr3:uid="{AC7EA1BC-AB9E-4707-BEDE-C31877F21724}" name="INGRESO" dataDxfId="10">
      <calculatedColumnFormula>5760+500+208.5</calculatedColumnFormula>
    </tableColumn>
    <tableColumn id="7" xr3:uid="{CDEA6259-90A6-42B7-A7CD-4A6B3A58C95E}" name="EGRESO" dataDxfId="9"/>
    <tableColumn id="8" xr3:uid="{76A4C6EE-3F76-44A7-8FA9-1CBFE768B4E7}" name="NOTAS" dataDxfId="8"/>
    <tableColumn id="9" xr3:uid="{0DE1F7F9-5765-4F54-BDF0-AF43B11FCFAF}" name="T" dataDxfId="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85"/>
  <sheetViews>
    <sheetView showGridLines="0" workbookViewId="0">
      <pane ySplit="6" topLeftCell="A190" activePane="bottomLeft" state="frozen"/>
      <selection pane="bottomLeft" activeCell="E192" sqref="E192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23.77734375" customWidth="1"/>
    <col min="7" max="8" width="12.77734375" customWidth="1"/>
    <col min="9" max="9" width="21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thickBot="1" x14ac:dyDescent="0.3">
      <c r="B1" s="18"/>
      <c r="C1" s="68"/>
      <c r="D1" s="17"/>
      <c r="E1" s="17"/>
      <c r="F1" s="17"/>
      <c r="G1" s="17"/>
      <c r="H1" s="17"/>
      <c r="I1" s="17"/>
      <c r="J1" s="32"/>
      <c r="K1" s="202" t="s">
        <v>0</v>
      </c>
      <c r="L1" s="202"/>
      <c r="M1" s="19"/>
      <c r="AA1" s="48" t="s">
        <v>1</v>
      </c>
    </row>
    <row r="2" spans="2:27" ht="23.25" x14ac:dyDescent="0.35">
      <c r="B2" s="62"/>
      <c r="C2" s="203" t="s">
        <v>2</v>
      </c>
      <c r="D2" s="204"/>
      <c r="E2" s="204"/>
      <c r="F2" s="204"/>
      <c r="G2" s="204"/>
      <c r="H2" s="204"/>
      <c r="I2" s="205"/>
      <c r="J2" s="17"/>
      <c r="K2" s="37" t="s">
        <v>3</v>
      </c>
      <c r="L2" s="1">
        <f>SUMIF(Flujo_SJTC[[#All],[CATEGORIA]],"1_USO_AP",Flujo_SJTC[[#All],[EGRESO]])+SUMIF(Flujo_SJTC[[#All],[CATEGORIA]],"0_APORTACION",Flujo_SJTC[[#All],[INGRESO]])</f>
        <v>766.5</v>
      </c>
      <c r="M2" s="21"/>
      <c r="AA2" s="49" t="s">
        <v>4</v>
      </c>
    </row>
    <row r="3" spans="2:27" ht="23.25" x14ac:dyDescent="0.35">
      <c r="B3" s="63"/>
      <c r="C3" s="206" t="s">
        <v>5</v>
      </c>
      <c r="D3" s="207"/>
      <c r="E3" s="207"/>
      <c r="F3" s="207"/>
      <c r="G3" s="207"/>
      <c r="H3" s="207"/>
      <c r="I3" s="208"/>
      <c r="J3" s="17"/>
      <c r="K3" s="17" t="s">
        <v>6</v>
      </c>
      <c r="L3" s="1">
        <f>SUMIF(Flujo_SJTC[[#All],[CATEGORIA]],"4_VENTA",Flujo_SJTC[[#All],[INGRESO]])+SUMIF(Flujo_SJTC[[#All],[CATEGORIA]],"5_COMPRA",Flujo_SJTC[[#All],[EGRESO]])</f>
        <v>1643</v>
      </c>
      <c r="M3" s="21"/>
      <c r="AA3" s="49" t="s">
        <v>7</v>
      </c>
    </row>
    <row r="4" spans="2:27" ht="18.75" thickBot="1" x14ac:dyDescent="0.3">
      <c r="B4" s="64"/>
      <c r="C4" s="209" t="s">
        <v>8</v>
      </c>
      <c r="D4" s="210"/>
      <c r="E4" s="210"/>
      <c r="F4" s="210"/>
      <c r="G4" s="210"/>
      <c r="H4" s="210"/>
      <c r="I4" s="211"/>
      <c r="J4" s="17"/>
      <c r="K4" s="17" t="s">
        <v>9</v>
      </c>
      <c r="L4" s="1">
        <f>SUMIF(Flujo_SJTC[[#All],[CATEGORIA]],"2_INGRESO",Flujo_SJTC[[#All],[INGRESO]])+SUMIF(Flujo_SJTC[[#All],[CATEGORIA]],"3_EGRESO",Flujo_SJTC[[#All],[EGRESO]])</f>
        <v>1779</v>
      </c>
      <c r="M4" s="21"/>
      <c r="N4" s="85" t="s">
        <v>10</v>
      </c>
      <c r="O4" s="84">
        <v>45162</v>
      </c>
      <c r="P4" s="1">
        <v>6441.5</v>
      </c>
      <c r="AA4" s="49" t="s">
        <v>11</v>
      </c>
    </row>
    <row r="5" spans="2:27" ht="16.5" thickBot="1" x14ac:dyDescent="0.3">
      <c r="B5" s="199">
        <f>MAX(DIARIO_2023!$C$7:$C$340)</f>
        <v>45291</v>
      </c>
      <c r="C5" s="200"/>
      <c r="D5" s="200"/>
      <c r="E5" s="201"/>
      <c r="F5" s="65" t="s">
        <v>12</v>
      </c>
      <c r="G5" s="66">
        <f>SUBTOTAL(9,$G$7:$G$3443)</f>
        <v>29170</v>
      </c>
      <c r="H5" s="66">
        <f>SUBTOTAL(9,$H$7:$H$3443)</f>
        <v>-24981.5</v>
      </c>
      <c r="I5" s="67">
        <f>G5+H5</f>
        <v>4188.5</v>
      </c>
      <c r="J5" s="20"/>
      <c r="K5" s="15" t="s">
        <v>13</v>
      </c>
      <c r="L5" s="16">
        <f>SUM(L2:L4)</f>
        <v>4188.5</v>
      </c>
      <c r="M5" s="22"/>
      <c r="AA5" s="49" t="s">
        <v>14</v>
      </c>
    </row>
    <row r="6" spans="2:27" ht="15.75" thickBot="1" x14ac:dyDescent="0.25">
      <c r="B6" s="2" t="s">
        <v>15</v>
      </c>
      <c r="C6" s="3" t="s">
        <v>16</v>
      </c>
      <c r="D6" s="4" t="s">
        <v>17</v>
      </c>
      <c r="E6" s="4" t="s">
        <v>1</v>
      </c>
      <c r="F6" s="5" t="s">
        <v>18</v>
      </c>
      <c r="G6" s="6" t="s">
        <v>19</v>
      </c>
      <c r="H6" s="6" t="s">
        <v>20</v>
      </c>
      <c r="I6" s="5" t="s">
        <v>21</v>
      </c>
      <c r="J6" s="23"/>
      <c r="K6" s="44"/>
      <c r="L6" s="44"/>
      <c r="M6" s="25"/>
      <c r="AA6" s="49" t="s">
        <v>22</v>
      </c>
    </row>
    <row r="7" spans="2:27" x14ac:dyDescent="0.2">
      <c r="B7" s="50">
        <f t="shared" ref="B7:B38" si="0">B6+1</f>
        <v>1</v>
      </c>
      <c r="C7" s="51">
        <v>44959</v>
      </c>
      <c r="D7" s="52" t="s">
        <v>23</v>
      </c>
      <c r="E7" s="57" t="s">
        <v>11</v>
      </c>
      <c r="F7" s="53" t="s">
        <v>24</v>
      </c>
      <c r="G7" s="54">
        <v>500</v>
      </c>
      <c r="H7" s="54"/>
      <c r="I7" s="54"/>
      <c r="AA7" s="49" t="s">
        <v>25</v>
      </c>
    </row>
    <row r="8" spans="2:27" x14ac:dyDescent="0.2">
      <c r="B8" s="50">
        <f t="shared" si="0"/>
        <v>2</v>
      </c>
      <c r="C8" s="51">
        <v>44966</v>
      </c>
      <c r="D8" s="52" t="s">
        <v>23</v>
      </c>
      <c r="E8" s="57" t="s">
        <v>11</v>
      </c>
      <c r="F8" s="53" t="s">
        <v>24</v>
      </c>
      <c r="G8" s="54">
        <v>309.5</v>
      </c>
      <c r="H8" s="54"/>
      <c r="I8" s="54"/>
    </row>
    <row r="9" spans="2:27" x14ac:dyDescent="0.2">
      <c r="B9" s="50">
        <f t="shared" si="0"/>
        <v>3</v>
      </c>
      <c r="C9" s="51">
        <v>44967</v>
      </c>
      <c r="D9" s="52" t="s">
        <v>23</v>
      </c>
      <c r="E9" s="57" t="s">
        <v>14</v>
      </c>
      <c r="F9" s="53" t="s">
        <v>26</v>
      </c>
      <c r="G9" s="54"/>
      <c r="H9" s="54">
        <v>-75.5</v>
      </c>
      <c r="I9" s="54" t="s">
        <v>27</v>
      </c>
    </row>
    <row r="10" spans="2:27" x14ac:dyDescent="0.2">
      <c r="B10" s="50">
        <f t="shared" si="0"/>
        <v>4</v>
      </c>
      <c r="C10" s="51">
        <v>44973</v>
      </c>
      <c r="D10" s="52" t="s">
        <v>23</v>
      </c>
      <c r="E10" s="57" t="s">
        <v>11</v>
      </c>
      <c r="F10" s="53" t="s">
        <v>24</v>
      </c>
      <c r="G10" s="54">
        <v>411.5</v>
      </c>
      <c r="H10" s="54"/>
      <c r="I10" s="54"/>
    </row>
    <row r="11" spans="2:27" x14ac:dyDescent="0.2">
      <c r="B11" s="50">
        <f t="shared" si="0"/>
        <v>5</v>
      </c>
      <c r="C11" s="51">
        <v>44976</v>
      </c>
      <c r="D11" s="52" t="s">
        <v>23</v>
      </c>
      <c r="E11" s="57" t="s">
        <v>14</v>
      </c>
      <c r="F11" s="53" t="s">
        <v>28</v>
      </c>
      <c r="G11" s="54"/>
      <c r="H11" s="54">
        <v>-88</v>
      </c>
      <c r="I11" s="54" t="s">
        <v>29</v>
      </c>
    </row>
    <row r="12" spans="2:27" x14ac:dyDescent="0.2">
      <c r="B12" s="50">
        <f t="shared" si="0"/>
        <v>6</v>
      </c>
      <c r="C12" s="51">
        <v>44976</v>
      </c>
      <c r="D12" s="52" t="s">
        <v>23</v>
      </c>
      <c r="E12" s="57" t="s">
        <v>14</v>
      </c>
      <c r="F12" s="53" t="s">
        <v>30</v>
      </c>
      <c r="G12" s="55"/>
      <c r="H12" s="54">
        <v>-23</v>
      </c>
      <c r="I12" s="54" t="s">
        <v>31</v>
      </c>
    </row>
    <row r="13" spans="2:27" x14ac:dyDescent="0.2">
      <c r="B13" s="50">
        <f t="shared" si="0"/>
        <v>7</v>
      </c>
      <c r="C13" s="51">
        <v>44976</v>
      </c>
      <c r="D13" s="52" t="s">
        <v>23</v>
      </c>
      <c r="E13" s="57" t="s">
        <v>14</v>
      </c>
      <c r="F13" s="53" t="s">
        <v>32</v>
      </c>
      <c r="G13" s="56"/>
      <c r="H13" s="54">
        <v>-20</v>
      </c>
      <c r="I13" s="54"/>
    </row>
    <row r="14" spans="2:27" x14ac:dyDescent="0.2">
      <c r="B14" s="50">
        <f t="shared" si="0"/>
        <v>8</v>
      </c>
      <c r="C14" s="51">
        <v>44980</v>
      </c>
      <c r="D14" s="52" t="s">
        <v>23</v>
      </c>
      <c r="E14" s="57" t="s">
        <v>11</v>
      </c>
      <c r="F14" s="53" t="s">
        <v>24</v>
      </c>
      <c r="G14" s="54">
        <v>110</v>
      </c>
      <c r="H14" s="54"/>
      <c r="I14" s="54"/>
    </row>
    <row r="15" spans="2:27" ht="15" customHeight="1" x14ac:dyDescent="0.2">
      <c r="B15" s="50">
        <f t="shared" si="0"/>
        <v>9</v>
      </c>
      <c r="C15" s="51">
        <v>44981</v>
      </c>
      <c r="D15" s="52" t="s">
        <v>23</v>
      </c>
      <c r="E15" s="57" t="s">
        <v>14</v>
      </c>
      <c r="F15" s="53" t="s">
        <v>28</v>
      </c>
      <c r="G15" s="54"/>
      <c r="H15" s="54">
        <v>-100</v>
      </c>
      <c r="I15" s="54" t="s">
        <v>29</v>
      </c>
    </row>
    <row r="16" spans="2:27" ht="15" customHeight="1" x14ac:dyDescent="0.2">
      <c r="B16" s="50">
        <f t="shared" si="0"/>
        <v>10</v>
      </c>
      <c r="C16" s="51">
        <v>44987</v>
      </c>
      <c r="D16" s="57" t="s">
        <v>33</v>
      </c>
      <c r="E16" s="57" t="s">
        <v>11</v>
      </c>
      <c r="F16" s="53" t="s">
        <v>24</v>
      </c>
      <c r="G16" s="54">
        <v>157.5</v>
      </c>
      <c r="H16" s="54"/>
      <c r="I16" s="54"/>
    </row>
    <row r="17" spans="2:9" ht="15" customHeight="1" x14ac:dyDescent="0.2">
      <c r="B17" s="50">
        <f t="shared" si="0"/>
        <v>11</v>
      </c>
      <c r="C17" s="51">
        <v>44992</v>
      </c>
      <c r="D17" s="57" t="s">
        <v>33</v>
      </c>
      <c r="E17" s="57" t="s">
        <v>14</v>
      </c>
      <c r="F17" s="53" t="s">
        <v>28</v>
      </c>
      <c r="G17" s="54"/>
      <c r="H17" s="54">
        <v>-70</v>
      </c>
      <c r="I17" s="54" t="s">
        <v>29</v>
      </c>
    </row>
    <row r="18" spans="2:9" ht="15.75" customHeight="1" x14ac:dyDescent="0.2">
      <c r="B18" s="50">
        <f t="shared" si="0"/>
        <v>12</v>
      </c>
      <c r="C18" s="51">
        <v>44994</v>
      </c>
      <c r="D18" s="57" t="s">
        <v>33</v>
      </c>
      <c r="E18" s="57" t="s">
        <v>11</v>
      </c>
      <c r="F18" s="53" t="s">
        <v>24</v>
      </c>
      <c r="G18" s="54">
        <v>180</v>
      </c>
      <c r="H18" s="54"/>
      <c r="I18" s="54"/>
    </row>
    <row r="19" spans="2:9" ht="15.75" customHeight="1" x14ac:dyDescent="0.2">
      <c r="B19" s="50">
        <f t="shared" si="0"/>
        <v>13</v>
      </c>
      <c r="C19" s="51">
        <v>45001</v>
      </c>
      <c r="D19" s="57" t="s">
        <v>33</v>
      </c>
      <c r="E19" s="57" t="s">
        <v>11</v>
      </c>
      <c r="F19" s="53" t="s">
        <v>24</v>
      </c>
      <c r="G19" s="54">
        <v>275</v>
      </c>
      <c r="H19" s="54"/>
      <c r="I19" s="54"/>
    </row>
    <row r="20" spans="2:9" ht="15.75" customHeight="1" x14ac:dyDescent="0.2">
      <c r="B20" s="50">
        <f t="shared" si="0"/>
        <v>14</v>
      </c>
      <c r="C20" s="51">
        <v>45008</v>
      </c>
      <c r="D20" s="57" t="s">
        <v>33</v>
      </c>
      <c r="E20" s="57" t="s">
        <v>11</v>
      </c>
      <c r="F20" s="53" t="s">
        <v>24</v>
      </c>
      <c r="G20" s="54">
        <v>146</v>
      </c>
      <c r="H20" s="54"/>
      <c r="I20" s="54"/>
    </row>
    <row r="21" spans="2:9" ht="15.75" customHeight="1" x14ac:dyDescent="0.2">
      <c r="B21" s="50">
        <f t="shared" si="0"/>
        <v>15</v>
      </c>
      <c r="C21" s="51">
        <v>45015</v>
      </c>
      <c r="D21" s="57" t="s">
        <v>33</v>
      </c>
      <c r="E21" s="57" t="s">
        <v>4</v>
      </c>
      <c r="F21" s="53" t="s">
        <v>34</v>
      </c>
      <c r="G21" s="54">
        <v>660</v>
      </c>
      <c r="H21" s="54"/>
      <c r="I21" s="54" t="s">
        <v>35</v>
      </c>
    </row>
    <row r="22" spans="2:9" ht="15.75" customHeight="1" x14ac:dyDescent="0.2">
      <c r="B22" s="50">
        <f t="shared" si="0"/>
        <v>16</v>
      </c>
      <c r="C22" s="51">
        <v>45015</v>
      </c>
      <c r="D22" s="57" t="s">
        <v>33</v>
      </c>
      <c r="E22" s="57" t="s">
        <v>11</v>
      </c>
      <c r="F22" s="53" t="s">
        <v>24</v>
      </c>
      <c r="G22" s="54">
        <v>153.5</v>
      </c>
      <c r="H22" s="54"/>
      <c r="I22" s="54"/>
    </row>
    <row r="23" spans="2:9" ht="15.75" customHeight="1" x14ac:dyDescent="0.2">
      <c r="B23" s="50">
        <f t="shared" si="0"/>
        <v>17</v>
      </c>
      <c r="C23" s="51">
        <v>45017</v>
      </c>
      <c r="D23" s="57" t="s">
        <v>36</v>
      </c>
      <c r="E23" s="57" t="s">
        <v>14</v>
      </c>
      <c r="F23" s="53" t="s">
        <v>37</v>
      </c>
      <c r="G23" s="54"/>
      <c r="H23" s="54">
        <v>-600</v>
      </c>
      <c r="I23" s="54" t="s">
        <v>38</v>
      </c>
    </row>
    <row r="24" spans="2:9" ht="15.75" customHeight="1" x14ac:dyDescent="0.2">
      <c r="B24" s="50">
        <f t="shared" si="0"/>
        <v>18</v>
      </c>
      <c r="C24" s="51">
        <v>45018</v>
      </c>
      <c r="D24" s="57" t="s">
        <v>36</v>
      </c>
      <c r="E24" s="57" t="s">
        <v>4</v>
      </c>
      <c r="F24" s="53" t="s">
        <v>39</v>
      </c>
      <c r="G24" s="54">
        <v>850</v>
      </c>
      <c r="H24" s="54"/>
      <c r="I24" s="54" t="s">
        <v>40</v>
      </c>
    </row>
    <row r="25" spans="2:9" ht="15.75" customHeight="1" x14ac:dyDescent="0.2">
      <c r="B25" s="50">
        <f t="shared" si="0"/>
        <v>19</v>
      </c>
      <c r="C25" s="51">
        <v>45018</v>
      </c>
      <c r="D25" s="57" t="s">
        <v>36</v>
      </c>
      <c r="E25" s="57" t="s">
        <v>14</v>
      </c>
      <c r="F25" s="53" t="s">
        <v>41</v>
      </c>
      <c r="G25" s="54"/>
      <c r="H25" s="54">
        <v>-90</v>
      </c>
      <c r="I25" s="54" t="s">
        <v>42</v>
      </c>
    </row>
    <row r="26" spans="2:9" ht="15.75" customHeight="1" x14ac:dyDescent="0.2">
      <c r="B26" s="50">
        <f t="shared" si="0"/>
        <v>20</v>
      </c>
      <c r="C26" s="51">
        <v>45020</v>
      </c>
      <c r="D26" s="57" t="s">
        <v>36</v>
      </c>
      <c r="E26" s="57" t="s">
        <v>4</v>
      </c>
      <c r="F26" s="53" t="s">
        <v>43</v>
      </c>
      <c r="G26" s="54">
        <v>100</v>
      </c>
      <c r="H26" s="54"/>
      <c r="I26" s="54" t="s">
        <v>40</v>
      </c>
    </row>
    <row r="27" spans="2:9" ht="15.75" customHeight="1" x14ac:dyDescent="0.2">
      <c r="B27" s="50">
        <f t="shared" si="0"/>
        <v>21</v>
      </c>
      <c r="C27" s="51">
        <v>45022</v>
      </c>
      <c r="D27" s="57" t="s">
        <v>36</v>
      </c>
      <c r="E27" s="57" t="s">
        <v>11</v>
      </c>
      <c r="F27" s="53" t="s">
        <v>24</v>
      </c>
      <c r="G27" s="54">
        <v>0</v>
      </c>
      <c r="H27" s="54"/>
      <c r="I27" s="54" t="s">
        <v>44</v>
      </c>
    </row>
    <row r="28" spans="2:9" ht="15.75" customHeight="1" x14ac:dyDescent="0.2">
      <c r="B28" s="50">
        <f t="shared" si="0"/>
        <v>22</v>
      </c>
      <c r="C28" s="51">
        <v>45025</v>
      </c>
      <c r="D28" s="57" t="s">
        <v>36</v>
      </c>
      <c r="E28" s="57" t="s">
        <v>4</v>
      </c>
      <c r="F28" s="53" t="s">
        <v>45</v>
      </c>
      <c r="G28" s="54">
        <v>170</v>
      </c>
      <c r="H28" s="54"/>
      <c r="I28" s="54" t="s">
        <v>46</v>
      </c>
    </row>
    <row r="29" spans="2:9" ht="15.75" customHeight="1" x14ac:dyDescent="0.2">
      <c r="B29" s="50">
        <f t="shared" si="0"/>
        <v>23</v>
      </c>
      <c r="C29" s="51">
        <v>45025</v>
      </c>
      <c r="D29" s="57" t="s">
        <v>36</v>
      </c>
      <c r="E29" s="57" t="s">
        <v>7</v>
      </c>
      <c r="F29" s="53" t="s">
        <v>47</v>
      </c>
      <c r="G29" s="54"/>
      <c r="H29" s="54">
        <v>-700</v>
      </c>
      <c r="I29" s="54" t="s">
        <v>48</v>
      </c>
    </row>
    <row r="30" spans="2:9" ht="15.75" customHeight="1" x14ac:dyDescent="0.2">
      <c r="B30" s="50">
        <f t="shared" si="0"/>
        <v>24</v>
      </c>
      <c r="C30" s="51">
        <v>45029</v>
      </c>
      <c r="D30" s="57" t="s">
        <v>36</v>
      </c>
      <c r="E30" s="57" t="s">
        <v>11</v>
      </c>
      <c r="F30" s="53" t="s">
        <v>24</v>
      </c>
      <c r="G30" s="54">
        <v>350</v>
      </c>
      <c r="H30" s="54"/>
      <c r="I30" s="54"/>
    </row>
    <row r="31" spans="2:9" ht="15.75" customHeight="1" x14ac:dyDescent="0.2">
      <c r="B31" s="50">
        <f t="shared" si="0"/>
        <v>25</v>
      </c>
      <c r="C31" s="51">
        <v>45036</v>
      </c>
      <c r="D31" s="57" t="s">
        <v>36</v>
      </c>
      <c r="E31" s="57" t="s">
        <v>11</v>
      </c>
      <c r="F31" s="53" t="s">
        <v>24</v>
      </c>
      <c r="G31" s="54">
        <v>320</v>
      </c>
      <c r="H31" s="54"/>
      <c r="I31" s="54"/>
    </row>
    <row r="32" spans="2:9" ht="15.75" customHeight="1" x14ac:dyDescent="0.2">
      <c r="B32" s="50">
        <f t="shared" si="0"/>
        <v>26</v>
      </c>
      <c r="C32" s="51">
        <v>45043</v>
      </c>
      <c r="D32" s="57" t="s">
        <v>36</v>
      </c>
      <c r="E32" s="57" t="s">
        <v>11</v>
      </c>
      <c r="F32" s="53" t="s">
        <v>24</v>
      </c>
      <c r="G32" s="54">
        <v>330</v>
      </c>
      <c r="H32" s="54"/>
      <c r="I32" s="54"/>
    </row>
    <row r="33" spans="2:9" ht="15.75" customHeight="1" x14ac:dyDescent="0.2">
      <c r="B33" s="50">
        <f t="shared" si="0"/>
        <v>27</v>
      </c>
      <c r="C33" s="51">
        <v>45044</v>
      </c>
      <c r="D33" s="57" t="s">
        <v>36</v>
      </c>
      <c r="E33" s="57" t="s">
        <v>22</v>
      </c>
      <c r="F33" s="53" t="s">
        <v>49</v>
      </c>
      <c r="G33" s="54">
        <v>180</v>
      </c>
      <c r="H33" s="54"/>
      <c r="I33" s="54" t="s">
        <v>50</v>
      </c>
    </row>
    <row r="34" spans="2:9" ht="15.75" customHeight="1" x14ac:dyDescent="0.2">
      <c r="B34" s="50">
        <f t="shared" si="0"/>
        <v>28</v>
      </c>
      <c r="C34" s="51">
        <v>45044</v>
      </c>
      <c r="D34" s="57" t="s">
        <v>36</v>
      </c>
      <c r="E34" s="57" t="s">
        <v>22</v>
      </c>
      <c r="F34" s="53" t="s">
        <v>51</v>
      </c>
      <c r="G34" s="54">
        <v>100</v>
      </c>
      <c r="H34" s="54"/>
      <c r="I34" s="54" t="s">
        <v>50</v>
      </c>
    </row>
    <row r="35" spans="2:9" ht="15.75" customHeight="1" x14ac:dyDescent="0.2">
      <c r="B35" s="50">
        <f t="shared" si="0"/>
        <v>29</v>
      </c>
      <c r="C35" s="51">
        <v>45044</v>
      </c>
      <c r="D35" s="57" t="s">
        <v>36</v>
      </c>
      <c r="E35" s="57" t="s">
        <v>25</v>
      </c>
      <c r="F35" s="53" t="s">
        <v>51</v>
      </c>
      <c r="G35" s="54"/>
      <c r="H35" s="54">
        <v>-70</v>
      </c>
      <c r="I35" s="54" t="s">
        <v>52</v>
      </c>
    </row>
    <row r="36" spans="2:9" ht="15.75" customHeight="1" x14ac:dyDescent="0.2">
      <c r="B36" s="50">
        <f t="shared" si="0"/>
        <v>30</v>
      </c>
      <c r="C36" s="51">
        <v>45048</v>
      </c>
      <c r="D36" s="57" t="s">
        <v>53</v>
      </c>
      <c r="E36" s="57" t="s">
        <v>14</v>
      </c>
      <c r="F36" s="53" t="s">
        <v>28</v>
      </c>
      <c r="G36" s="54"/>
      <c r="H36" s="54">
        <v>-52.5</v>
      </c>
      <c r="I36" s="54" t="s">
        <v>29</v>
      </c>
    </row>
    <row r="37" spans="2:9" ht="15.75" customHeight="1" x14ac:dyDescent="0.2">
      <c r="B37" s="50">
        <f t="shared" si="0"/>
        <v>31</v>
      </c>
      <c r="C37" s="51">
        <v>45050</v>
      </c>
      <c r="D37" s="57" t="s">
        <v>53</v>
      </c>
      <c r="E37" s="57" t="s">
        <v>11</v>
      </c>
      <c r="F37" s="53" t="s">
        <v>24</v>
      </c>
      <c r="G37" s="54">
        <f>110+95</f>
        <v>205</v>
      </c>
      <c r="H37" s="54"/>
      <c r="I37" s="54"/>
    </row>
    <row r="38" spans="2:9" ht="15.75" customHeight="1" x14ac:dyDescent="0.2">
      <c r="B38" s="50">
        <f t="shared" si="0"/>
        <v>32</v>
      </c>
      <c r="C38" s="51">
        <v>45051</v>
      </c>
      <c r="D38" s="57" t="s">
        <v>53</v>
      </c>
      <c r="E38" s="57" t="s">
        <v>25</v>
      </c>
      <c r="F38" s="53" t="s">
        <v>54</v>
      </c>
      <c r="G38" s="54"/>
      <c r="H38" s="54">
        <v>-120</v>
      </c>
      <c r="I38" s="54" t="s">
        <v>55</v>
      </c>
    </row>
    <row r="39" spans="2:9" ht="15.75" customHeight="1" x14ac:dyDescent="0.2">
      <c r="B39" s="50">
        <f t="shared" ref="B39:B70" si="1">B38+1</f>
        <v>33</v>
      </c>
      <c r="C39" s="51">
        <v>45053</v>
      </c>
      <c r="D39" s="57" t="s">
        <v>53</v>
      </c>
      <c r="E39" s="57" t="s">
        <v>14</v>
      </c>
      <c r="F39" s="53" t="s">
        <v>56</v>
      </c>
      <c r="G39" s="54"/>
      <c r="H39" s="54">
        <v>-86</v>
      </c>
      <c r="I39" s="54" t="s">
        <v>57</v>
      </c>
    </row>
    <row r="40" spans="2:9" ht="15.75" customHeight="1" x14ac:dyDescent="0.2">
      <c r="B40" s="50">
        <f t="shared" si="1"/>
        <v>34</v>
      </c>
      <c r="C40" s="51">
        <v>45056</v>
      </c>
      <c r="D40" s="57" t="s">
        <v>53</v>
      </c>
      <c r="E40" s="57" t="s">
        <v>14</v>
      </c>
      <c r="F40" s="53" t="s">
        <v>58</v>
      </c>
      <c r="G40" s="54"/>
      <c r="H40" s="54">
        <v>-16</v>
      </c>
      <c r="I40" s="54"/>
    </row>
    <row r="41" spans="2:9" ht="15.75" customHeight="1" x14ac:dyDescent="0.2">
      <c r="B41" s="50">
        <f t="shared" si="1"/>
        <v>35</v>
      </c>
      <c r="C41" s="51">
        <v>45057</v>
      </c>
      <c r="D41" s="57" t="s">
        <v>53</v>
      </c>
      <c r="E41" s="57" t="s">
        <v>11</v>
      </c>
      <c r="F41" s="53" t="s">
        <v>24</v>
      </c>
      <c r="G41" s="54">
        <v>426</v>
      </c>
      <c r="H41" s="54"/>
      <c r="I41" s="54"/>
    </row>
    <row r="42" spans="2:9" ht="15.75" customHeight="1" x14ac:dyDescent="0.2">
      <c r="B42" s="50">
        <f t="shared" si="1"/>
        <v>36</v>
      </c>
      <c r="C42" s="51">
        <v>45063</v>
      </c>
      <c r="D42" s="57" t="s">
        <v>53</v>
      </c>
      <c r="E42" s="57" t="s">
        <v>14</v>
      </c>
      <c r="F42" s="53" t="s">
        <v>59</v>
      </c>
      <c r="G42" s="54"/>
      <c r="H42" s="54">
        <v>-147.5</v>
      </c>
      <c r="I42" s="54"/>
    </row>
    <row r="43" spans="2:9" ht="15.75" customHeight="1" x14ac:dyDescent="0.2">
      <c r="B43" s="50">
        <f t="shared" si="1"/>
        <v>37</v>
      </c>
      <c r="C43" s="51">
        <v>45064</v>
      </c>
      <c r="D43" s="57" t="s">
        <v>53</v>
      </c>
      <c r="E43" s="57" t="s">
        <v>4</v>
      </c>
      <c r="F43" s="53" t="s">
        <v>43</v>
      </c>
      <c r="G43" s="54">
        <v>500</v>
      </c>
      <c r="H43" s="54"/>
      <c r="I43" s="54" t="s">
        <v>60</v>
      </c>
    </row>
    <row r="44" spans="2:9" ht="15.75" customHeight="1" x14ac:dyDescent="0.2">
      <c r="B44" s="50">
        <f t="shared" si="1"/>
        <v>38</v>
      </c>
      <c r="C44" s="51">
        <v>45064</v>
      </c>
      <c r="D44" s="57" t="s">
        <v>53</v>
      </c>
      <c r="E44" s="57" t="s">
        <v>11</v>
      </c>
      <c r="F44" s="53" t="s">
        <v>24</v>
      </c>
      <c r="G44" s="54">
        <f>824.5-500</f>
        <v>324.5</v>
      </c>
      <c r="H44" s="54"/>
      <c r="I44" s="54"/>
    </row>
    <row r="45" spans="2:9" ht="15.75" customHeight="1" x14ac:dyDescent="0.2">
      <c r="B45" s="50">
        <f t="shared" si="1"/>
        <v>39</v>
      </c>
      <c r="C45" s="51">
        <v>45068</v>
      </c>
      <c r="D45" s="57" t="s">
        <v>53</v>
      </c>
      <c r="E45" s="57" t="s">
        <v>14</v>
      </c>
      <c r="F45" s="53" t="s">
        <v>61</v>
      </c>
      <c r="G45" s="54"/>
      <c r="H45" s="54">
        <v>-44.5</v>
      </c>
      <c r="I45" s="54"/>
    </row>
    <row r="46" spans="2:9" ht="15.75" customHeight="1" x14ac:dyDescent="0.2">
      <c r="B46" s="50">
        <f t="shared" si="1"/>
        <v>40</v>
      </c>
      <c r="C46" s="51">
        <v>45068</v>
      </c>
      <c r="D46" s="57" t="s">
        <v>53</v>
      </c>
      <c r="E46" s="57" t="s">
        <v>25</v>
      </c>
      <c r="F46" s="53" t="s">
        <v>62</v>
      </c>
      <c r="G46" s="54"/>
      <c r="H46" s="54">
        <v>-60</v>
      </c>
      <c r="I46" s="54"/>
    </row>
    <row r="47" spans="2:9" ht="15.75" customHeight="1" x14ac:dyDescent="0.2">
      <c r="B47" s="50">
        <f t="shared" si="1"/>
        <v>41</v>
      </c>
      <c r="C47" s="51">
        <v>45068</v>
      </c>
      <c r="D47" s="57" t="s">
        <v>53</v>
      </c>
      <c r="E47" s="57" t="s">
        <v>25</v>
      </c>
      <c r="F47" s="53" t="s">
        <v>63</v>
      </c>
      <c r="G47" s="54"/>
      <c r="H47" s="54">
        <v>-1320</v>
      </c>
      <c r="I47" s="54" t="s">
        <v>64</v>
      </c>
    </row>
    <row r="48" spans="2:9" ht="15.75" customHeight="1" x14ac:dyDescent="0.2">
      <c r="B48" s="50">
        <f t="shared" si="1"/>
        <v>42</v>
      </c>
      <c r="C48" s="51">
        <v>45069</v>
      </c>
      <c r="D48" s="57" t="s">
        <v>53</v>
      </c>
      <c r="E48" s="57" t="s">
        <v>25</v>
      </c>
      <c r="F48" s="53" t="s">
        <v>65</v>
      </c>
      <c r="G48" s="54"/>
      <c r="H48" s="54">
        <v>-120</v>
      </c>
      <c r="I48" s="54"/>
    </row>
    <row r="49" spans="2:9" ht="15.75" customHeight="1" x14ac:dyDescent="0.2">
      <c r="B49" s="50">
        <f t="shared" si="1"/>
        <v>43</v>
      </c>
      <c r="C49" s="51">
        <v>45071</v>
      </c>
      <c r="D49" s="57" t="s">
        <v>53</v>
      </c>
      <c r="E49" s="57" t="s">
        <v>11</v>
      </c>
      <c r="F49" s="53" t="s">
        <v>24</v>
      </c>
      <c r="G49" s="54">
        <f>98.5+150+80</f>
        <v>328.5</v>
      </c>
      <c r="H49" s="54"/>
      <c r="I49" s="54" t="s">
        <v>66</v>
      </c>
    </row>
    <row r="50" spans="2:9" ht="15.75" customHeight="1" x14ac:dyDescent="0.2">
      <c r="B50" s="50">
        <f t="shared" si="1"/>
        <v>44</v>
      </c>
      <c r="C50" s="51">
        <v>45072</v>
      </c>
      <c r="D50" s="57" t="s">
        <v>53</v>
      </c>
      <c r="E50" s="57" t="s">
        <v>14</v>
      </c>
      <c r="F50" s="53" t="s">
        <v>67</v>
      </c>
      <c r="G50" s="54"/>
      <c r="H50" s="54">
        <v>-45</v>
      </c>
      <c r="I50" s="54" t="s">
        <v>68</v>
      </c>
    </row>
    <row r="51" spans="2:9" ht="15.75" customHeight="1" x14ac:dyDescent="0.2">
      <c r="B51" s="50">
        <f t="shared" si="1"/>
        <v>45</v>
      </c>
      <c r="C51" s="51">
        <v>45072</v>
      </c>
      <c r="D51" s="57" t="s">
        <v>53</v>
      </c>
      <c r="E51" s="57" t="s">
        <v>22</v>
      </c>
      <c r="F51" s="53" t="s">
        <v>67</v>
      </c>
      <c r="G51" s="54">
        <v>45</v>
      </c>
      <c r="H51" s="54"/>
      <c r="I51" s="54" t="s">
        <v>68</v>
      </c>
    </row>
    <row r="52" spans="2:9" ht="15.75" customHeight="1" x14ac:dyDescent="0.2">
      <c r="B52" s="50">
        <f t="shared" si="1"/>
        <v>46</v>
      </c>
      <c r="C52" s="51">
        <v>45072</v>
      </c>
      <c r="D52" s="57" t="s">
        <v>53</v>
      </c>
      <c r="E52" s="57" t="s">
        <v>22</v>
      </c>
      <c r="F52" s="53" t="s">
        <v>69</v>
      </c>
      <c r="G52" s="54">
        <v>300</v>
      </c>
      <c r="H52" s="54"/>
      <c r="I52" s="54" t="s">
        <v>70</v>
      </c>
    </row>
    <row r="53" spans="2:9" ht="15.75" customHeight="1" x14ac:dyDescent="0.2">
      <c r="B53" s="50">
        <f t="shared" si="1"/>
        <v>47</v>
      </c>
      <c r="C53" s="51">
        <v>45072</v>
      </c>
      <c r="D53" s="57" t="s">
        <v>53</v>
      </c>
      <c r="E53" s="57" t="s">
        <v>22</v>
      </c>
      <c r="F53" s="53" t="s">
        <v>71</v>
      </c>
      <c r="G53" s="54">
        <f>52*15</f>
        <v>780</v>
      </c>
      <c r="H53" s="54"/>
      <c r="I53" s="54" t="s">
        <v>72</v>
      </c>
    </row>
    <row r="54" spans="2:9" ht="15.75" customHeight="1" x14ac:dyDescent="0.2">
      <c r="B54" s="50">
        <f t="shared" si="1"/>
        <v>48</v>
      </c>
      <c r="C54" s="51">
        <v>45072</v>
      </c>
      <c r="D54" s="57" t="s">
        <v>53</v>
      </c>
      <c r="E54" s="57" t="s">
        <v>25</v>
      </c>
      <c r="F54" s="53" t="s">
        <v>73</v>
      </c>
      <c r="G54" s="54"/>
      <c r="H54" s="54">
        <v>-25</v>
      </c>
      <c r="I54" s="54"/>
    </row>
    <row r="55" spans="2:9" ht="15.75" customHeight="1" x14ac:dyDescent="0.2">
      <c r="B55" s="50">
        <f t="shared" si="1"/>
        <v>49</v>
      </c>
      <c r="C55" s="51">
        <v>45074</v>
      </c>
      <c r="D55" s="57" t="s">
        <v>53</v>
      </c>
      <c r="E55" s="57" t="s">
        <v>14</v>
      </c>
      <c r="F55" s="53" t="s">
        <v>74</v>
      </c>
      <c r="G55" s="54"/>
      <c r="H55" s="54">
        <v>-28</v>
      </c>
      <c r="I55" s="54"/>
    </row>
    <row r="56" spans="2:9" ht="15.75" customHeight="1" x14ac:dyDescent="0.2">
      <c r="B56" s="50">
        <f t="shared" si="1"/>
        <v>50</v>
      </c>
      <c r="C56" s="51">
        <v>45076</v>
      </c>
      <c r="D56" s="57" t="s">
        <v>53</v>
      </c>
      <c r="E56" s="57" t="s">
        <v>4</v>
      </c>
      <c r="F56" s="53" t="s">
        <v>75</v>
      </c>
      <c r="G56" s="54">
        <v>100</v>
      </c>
      <c r="H56" s="54"/>
      <c r="I56" s="54"/>
    </row>
    <row r="57" spans="2:9" ht="15.75" customHeight="1" x14ac:dyDescent="0.2">
      <c r="B57" s="50">
        <f t="shared" si="1"/>
        <v>51</v>
      </c>
      <c r="C57" s="51">
        <v>45078</v>
      </c>
      <c r="D57" s="57" t="s">
        <v>76</v>
      </c>
      <c r="E57" s="57" t="s">
        <v>11</v>
      </c>
      <c r="F57" s="53" t="s">
        <v>24</v>
      </c>
      <c r="G57" s="54">
        <v>686</v>
      </c>
      <c r="H57" s="54"/>
      <c r="I57" s="54" t="s">
        <v>66</v>
      </c>
    </row>
    <row r="58" spans="2:9" ht="15.75" customHeight="1" x14ac:dyDescent="0.2">
      <c r="B58" s="50">
        <f t="shared" si="1"/>
        <v>52</v>
      </c>
      <c r="C58" s="51">
        <v>45080</v>
      </c>
      <c r="D58" s="57" t="s">
        <v>76</v>
      </c>
      <c r="E58" s="57" t="s">
        <v>4</v>
      </c>
      <c r="F58" s="53" t="s">
        <v>77</v>
      </c>
      <c r="G58" s="54">
        <v>500</v>
      </c>
      <c r="H58" s="54"/>
      <c r="I58" s="54" t="s">
        <v>78</v>
      </c>
    </row>
    <row r="59" spans="2:9" ht="15.75" customHeight="1" x14ac:dyDescent="0.2">
      <c r="B59" s="50">
        <f t="shared" si="1"/>
        <v>53</v>
      </c>
      <c r="C59" s="51">
        <v>45081</v>
      </c>
      <c r="D59" s="57" t="s">
        <v>76</v>
      </c>
      <c r="E59" s="57" t="s">
        <v>7</v>
      </c>
      <c r="F59" s="53" t="s">
        <v>79</v>
      </c>
      <c r="G59" s="54"/>
      <c r="H59" s="54">
        <v>-500</v>
      </c>
      <c r="I59" s="54" t="s">
        <v>80</v>
      </c>
    </row>
    <row r="60" spans="2:9" ht="15.75" customHeight="1" x14ac:dyDescent="0.2">
      <c r="B60" s="50">
        <f t="shared" si="1"/>
        <v>54</v>
      </c>
      <c r="C60" s="51">
        <v>45081</v>
      </c>
      <c r="D60" s="57" t="s">
        <v>76</v>
      </c>
      <c r="E60" s="57" t="s">
        <v>22</v>
      </c>
      <c r="F60" s="53" t="s">
        <v>81</v>
      </c>
      <c r="G60" s="54">
        <v>15</v>
      </c>
      <c r="H60" s="54"/>
      <c r="I60" s="54" t="s">
        <v>82</v>
      </c>
    </row>
    <row r="61" spans="2:9" ht="15.75" customHeight="1" x14ac:dyDescent="0.2">
      <c r="B61" s="50">
        <f t="shared" si="1"/>
        <v>55</v>
      </c>
      <c r="C61" s="51">
        <v>45082</v>
      </c>
      <c r="D61" s="57" t="s">
        <v>76</v>
      </c>
      <c r="E61" s="57" t="s">
        <v>14</v>
      </c>
      <c r="F61" s="53" t="s">
        <v>83</v>
      </c>
      <c r="G61" s="54"/>
      <c r="H61" s="54">
        <v>-110</v>
      </c>
      <c r="I61" s="54"/>
    </row>
    <row r="62" spans="2:9" ht="15.75" customHeight="1" x14ac:dyDescent="0.2">
      <c r="B62" s="50">
        <f t="shared" si="1"/>
        <v>56</v>
      </c>
      <c r="C62" s="51">
        <v>45082</v>
      </c>
      <c r="D62" s="57" t="s">
        <v>76</v>
      </c>
      <c r="E62" s="57" t="s">
        <v>14</v>
      </c>
      <c r="F62" s="53" t="s">
        <v>84</v>
      </c>
      <c r="G62" s="54"/>
      <c r="H62" s="54">
        <v>-111</v>
      </c>
      <c r="I62" s="54"/>
    </row>
    <row r="63" spans="2:9" ht="15.75" customHeight="1" x14ac:dyDescent="0.2">
      <c r="B63" s="50">
        <f t="shared" si="1"/>
        <v>57</v>
      </c>
      <c r="C63" s="51">
        <v>45082</v>
      </c>
      <c r="D63" s="57" t="s">
        <v>76</v>
      </c>
      <c r="E63" s="57" t="s">
        <v>14</v>
      </c>
      <c r="F63" s="53" t="s">
        <v>85</v>
      </c>
      <c r="G63" s="54"/>
      <c r="H63" s="54">
        <v>-20</v>
      </c>
      <c r="I63" s="54" t="s">
        <v>86</v>
      </c>
    </row>
    <row r="64" spans="2:9" ht="15.75" customHeight="1" x14ac:dyDescent="0.2">
      <c r="B64" s="50">
        <f t="shared" si="1"/>
        <v>58</v>
      </c>
      <c r="C64" s="51">
        <v>45084</v>
      </c>
      <c r="D64" s="57" t="s">
        <v>76</v>
      </c>
      <c r="E64" s="57" t="s">
        <v>4</v>
      </c>
      <c r="F64" s="53" t="s">
        <v>77</v>
      </c>
      <c r="G64" s="54">
        <v>500</v>
      </c>
      <c r="H64" s="54"/>
      <c r="I64" s="54" t="s">
        <v>78</v>
      </c>
    </row>
    <row r="65" spans="1:9" ht="15.75" customHeight="1" x14ac:dyDescent="0.2">
      <c r="B65" s="50">
        <f t="shared" si="1"/>
        <v>59</v>
      </c>
      <c r="C65" s="51">
        <v>45085</v>
      </c>
      <c r="D65" s="57" t="s">
        <v>76</v>
      </c>
      <c r="E65" s="57" t="s">
        <v>7</v>
      </c>
      <c r="F65" s="53" t="s">
        <v>79</v>
      </c>
      <c r="G65" s="54"/>
      <c r="H65" s="54">
        <v>-500</v>
      </c>
      <c r="I65" s="54" t="s">
        <v>87</v>
      </c>
    </row>
    <row r="66" spans="1:9" ht="15.75" customHeight="1" x14ac:dyDescent="0.2">
      <c r="B66" s="50">
        <f t="shared" si="1"/>
        <v>60</v>
      </c>
      <c r="C66" s="51">
        <v>45085</v>
      </c>
      <c r="D66" s="57" t="s">
        <v>76</v>
      </c>
      <c r="E66" s="57" t="s">
        <v>11</v>
      </c>
      <c r="F66" s="53" t="s">
        <v>88</v>
      </c>
      <c r="G66" s="54">
        <v>374</v>
      </c>
      <c r="H66" s="54"/>
      <c r="I66" s="54" t="s">
        <v>89</v>
      </c>
    </row>
    <row r="67" spans="1:9" ht="15.75" customHeight="1" x14ac:dyDescent="0.2">
      <c r="A67" s="26" t="s">
        <v>90</v>
      </c>
      <c r="B67" s="50">
        <f t="shared" si="1"/>
        <v>61</v>
      </c>
      <c r="C67" s="51">
        <v>45085</v>
      </c>
      <c r="D67" s="57" t="s">
        <v>76</v>
      </c>
      <c r="E67" s="57" t="s">
        <v>14</v>
      </c>
      <c r="F67" s="53" t="s">
        <v>91</v>
      </c>
      <c r="G67" s="54"/>
      <c r="H67" s="54">
        <v>-45</v>
      </c>
      <c r="I67" s="54" t="s">
        <v>92</v>
      </c>
    </row>
    <row r="68" spans="1:9" ht="15.75" customHeight="1" x14ac:dyDescent="0.2">
      <c r="B68" s="58">
        <f t="shared" si="1"/>
        <v>62</v>
      </c>
      <c r="C68" s="59">
        <v>45085</v>
      </c>
      <c r="D68" s="57" t="s">
        <v>76</v>
      </c>
      <c r="E68" s="57" t="s">
        <v>14</v>
      </c>
      <c r="F68" s="60" t="s">
        <v>93</v>
      </c>
      <c r="G68" s="61"/>
      <c r="H68" s="61">
        <v>-300</v>
      </c>
      <c r="I68" s="61"/>
    </row>
    <row r="69" spans="1:9" ht="15.75" customHeight="1" x14ac:dyDescent="0.2">
      <c r="B69" s="50">
        <f t="shared" si="1"/>
        <v>63</v>
      </c>
      <c r="C69" s="51">
        <v>45085</v>
      </c>
      <c r="D69" s="57" t="s">
        <v>76</v>
      </c>
      <c r="E69" s="57" t="s">
        <v>22</v>
      </c>
      <c r="F69" s="53" t="s">
        <v>91</v>
      </c>
      <c r="G69" s="54">
        <v>45</v>
      </c>
      <c r="H69" s="54"/>
      <c r="I69" s="54" t="s">
        <v>92</v>
      </c>
    </row>
    <row r="70" spans="1:9" ht="15.75" customHeight="1" x14ac:dyDescent="0.2">
      <c r="B70" s="50">
        <f t="shared" si="1"/>
        <v>64</v>
      </c>
      <c r="C70" s="51">
        <v>45092</v>
      </c>
      <c r="D70" s="57" t="s">
        <v>76</v>
      </c>
      <c r="E70" s="57" t="s">
        <v>11</v>
      </c>
      <c r="F70" s="53" t="s">
        <v>24</v>
      </c>
      <c r="G70" s="54">
        <v>258</v>
      </c>
      <c r="H70" s="54"/>
      <c r="I70" s="54" t="s">
        <v>94</v>
      </c>
    </row>
    <row r="71" spans="1:9" ht="15.75" customHeight="1" x14ac:dyDescent="0.2">
      <c r="B71" s="50">
        <f t="shared" ref="B71:B102" si="2">B70+1</f>
        <v>65</v>
      </c>
      <c r="C71" s="51">
        <v>45092</v>
      </c>
      <c r="D71" s="57" t="s">
        <v>76</v>
      </c>
      <c r="E71" s="57" t="s">
        <v>22</v>
      </c>
      <c r="F71" s="53" t="s">
        <v>81</v>
      </c>
      <c r="G71" s="54">
        <v>15</v>
      </c>
      <c r="H71" s="54"/>
      <c r="I71" s="54"/>
    </row>
    <row r="72" spans="1:9" ht="15.75" customHeight="1" x14ac:dyDescent="0.2">
      <c r="B72" s="50">
        <f t="shared" si="2"/>
        <v>66</v>
      </c>
      <c r="C72" s="51">
        <v>45098</v>
      </c>
      <c r="D72" s="57" t="s">
        <v>76</v>
      </c>
      <c r="E72" s="57" t="s">
        <v>14</v>
      </c>
      <c r="F72" s="53" t="s">
        <v>28</v>
      </c>
      <c r="G72" s="54"/>
      <c r="H72" s="54">
        <v>-48.5</v>
      </c>
      <c r="I72" s="54"/>
    </row>
    <row r="73" spans="1:9" ht="15.75" customHeight="1" x14ac:dyDescent="0.2">
      <c r="B73" s="50">
        <f t="shared" si="2"/>
        <v>67</v>
      </c>
      <c r="C73" s="51">
        <v>45099</v>
      </c>
      <c r="D73" s="57" t="s">
        <v>76</v>
      </c>
      <c r="E73" s="57" t="s">
        <v>11</v>
      </c>
      <c r="F73" s="53" t="s">
        <v>24</v>
      </c>
      <c r="G73" s="54">
        <v>220.5</v>
      </c>
      <c r="H73" s="54"/>
      <c r="I73" s="54" t="s">
        <v>95</v>
      </c>
    </row>
    <row r="74" spans="1:9" ht="15.75" customHeight="1" x14ac:dyDescent="0.2">
      <c r="B74" s="50">
        <f t="shared" si="2"/>
        <v>68</v>
      </c>
      <c r="C74" s="51">
        <v>45101</v>
      </c>
      <c r="D74" s="57" t="s">
        <v>76</v>
      </c>
      <c r="E74" s="57" t="s">
        <v>25</v>
      </c>
      <c r="F74" s="53" t="s">
        <v>69</v>
      </c>
      <c r="G74" s="54"/>
      <c r="H74" s="54">
        <v>-180</v>
      </c>
      <c r="I74" s="54"/>
    </row>
    <row r="75" spans="1:9" ht="15.75" customHeight="1" x14ac:dyDescent="0.2">
      <c r="B75" s="50">
        <f t="shared" si="2"/>
        <v>69</v>
      </c>
      <c r="C75" s="51">
        <v>45101</v>
      </c>
      <c r="D75" s="57" t="s">
        <v>76</v>
      </c>
      <c r="E75" s="57" t="s">
        <v>25</v>
      </c>
      <c r="F75" s="53" t="s">
        <v>96</v>
      </c>
      <c r="G75" s="54"/>
      <c r="H75" s="54">
        <v>-225</v>
      </c>
      <c r="I75" s="54"/>
    </row>
    <row r="76" spans="1:9" ht="15.75" customHeight="1" x14ac:dyDescent="0.2">
      <c r="B76" s="50">
        <f t="shared" si="2"/>
        <v>70</v>
      </c>
      <c r="C76" s="51">
        <v>45105</v>
      </c>
      <c r="D76" s="57" t="s">
        <v>76</v>
      </c>
      <c r="E76" s="57" t="s">
        <v>22</v>
      </c>
      <c r="F76" s="53" t="s">
        <v>97</v>
      </c>
      <c r="G76" s="54">
        <f>15*17</f>
        <v>255</v>
      </c>
      <c r="H76" s="54"/>
      <c r="I76" s="54" t="s">
        <v>72</v>
      </c>
    </row>
    <row r="77" spans="1:9" ht="15.75" customHeight="1" x14ac:dyDescent="0.2">
      <c r="B77" s="50">
        <f t="shared" si="2"/>
        <v>71</v>
      </c>
      <c r="C77" s="51">
        <v>45105</v>
      </c>
      <c r="D77" s="57" t="s">
        <v>76</v>
      </c>
      <c r="E77" s="57" t="s">
        <v>22</v>
      </c>
      <c r="F77" s="53" t="s">
        <v>98</v>
      </c>
      <c r="G77" s="54">
        <v>300</v>
      </c>
      <c r="H77" s="54"/>
      <c r="I77" s="54" t="s">
        <v>70</v>
      </c>
    </row>
    <row r="78" spans="1:9" ht="15.75" customHeight="1" x14ac:dyDescent="0.2">
      <c r="B78" s="50">
        <f t="shared" si="2"/>
        <v>72</v>
      </c>
      <c r="C78" s="51">
        <v>45105</v>
      </c>
      <c r="D78" s="57" t="s">
        <v>76</v>
      </c>
      <c r="E78" s="57" t="s">
        <v>22</v>
      </c>
      <c r="F78" s="53" t="s">
        <v>99</v>
      </c>
      <c r="G78" s="54">
        <f>5*56</f>
        <v>280</v>
      </c>
      <c r="H78" s="54"/>
      <c r="I78" s="54" t="s">
        <v>100</v>
      </c>
    </row>
    <row r="79" spans="1:9" ht="15.75" customHeight="1" x14ac:dyDescent="0.2">
      <c r="B79" s="50">
        <f t="shared" si="2"/>
        <v>73</v>
      </c>
      <c r="C79" s="51">
        <v>45106</v>
      </c>
      <c r="D79" s="57" t="s">
        <v>76</v>
      </c>
      <c r="E79" s="57" t="s">
        <v>11</v>
      </c>
      <c r="F79" s="53" t="s">
        <v>24</v>
      </c>
      <c r="G79" s="54">
        <f>224</f>
        <v>224</v>
      </c>
      <c r="H79" s="54"/>
      <c r="I79" s="54" t="s">
        <v>101</v>
      </c>
    </row>
    <row r="80" spans="1:9" ht="15.75" customHeight="1" x14ac:dyDescent="0.2">
      <c r="B80" s="50">
        <f t="shared" si="2"/>
        <v>74</v>
      </c>
      <c r="C80" s="51">
        <v>45106</v>
      </c>
      <c r="D80" s="57" t="s">
        <v>76</v>
      </c>
      <c r="E80" s="57" t="s">
        <v>14</v>
      </c>
      <c r="F80" s="53" t="s">
        <v>102</v>
      </c>
      <c r="G80" s="54"/>
      <c r="H80" s="54">
        <v>-30</v>
      </c>
      <c r="I80" s="54" t="s">
        <v>103</v>
      </c>
    </row>
    <row r="81" spans="2:9" ht="15.75" customHeight="1" x14ac:dyDescent="0.2">
      <c r="B81" s="50">
        <f t="shared" si="2"/>
        <v>75</v>
      </c>
      <c r="C81" s="51">
        <v>45106</v>
      </c>
      <c r="D81" s="57" t="s">
        <v>76</v>
      </c>
      <c r="E81" s="57" t="s">
        <v>22</v>
      </c>
      <c r="F81" s="53" t="s">
        <v>102</v>
      </c>
      <c r="G81" s="54">
        <v>30</v>
      </c>
      <c r="H81" s="54"/>
      <c r="I81" s="54" t="s">
        <v>103</v>
      </c>
    </row>
    <row r="82" spans="2:9" ht="15.75" customHeight="1" x14ac:dyDescent="0.2">
      <c r="B82" s="50">
        <f t="shared" si="2"/>
        <v>76</v>
      </c>
      <c r="C82" s="51">
        <v>45109</v>
      </c>
      <c r="D82" s="57" t="s">
        <v>76</v>
      </c>
      <c r="E82" s="57" t="s">
        <v>25</v>
      </c>
      <c r="F82" s="53" t="s">
        <v>104</v>
      </c>
      <c r="G82" s="54"/>
      <c r="H82" s="54">
        <v>-15</v>
      </c>
      <c r="I82" s="54"/>
    </row>
    <row r="83" spans="2:9" ht="15.75" customHeight="1" x14ac:dyDescent="0.2">
      <c r="B83" s="50">
        <f t="shared" si="2"/>
        <v>77</v>
      </c>
      <c r="C83" s="51">
        <v>45113</v>
      </c>
      <c r="D83" s="57" t="s">
        <v>105</v>
      </c>
      <c r="E83" s="57" t="s">
        <v>11</v>
      </c>
      <c r="F83" s="53" t="s">
        <v>24</v>
      </c>
      <c r="G83" s="54">
        <f>202+200</f>
        <v>402</v>
      </c>
      <c r="H83" s="54"/>
      <c r="I83" s="54" t="s">
        <v>106</v>
      </c>
    </row>
    <row r="84" spans="2:9" ht="15.75" customHeight="1" x14ac:dyDescent="0.2">
      <c r="B84" s="50">
        <f t="shared" si="2"/>
        <v>78</v>
      </c>
      <c r="C84" s="51">
        <v>45113</v>
      </c>
      <c r="D84" s="57" t="s">
        <v>105</v>
      </c>
      <c r="E84" s="57" t="s">
        <v>22</v>
      </c>
      <c r="F84" s="53" t="s">
        <v>107</v>
      </c>
      <c r="G84" s="54">
        <v>20</v>
      </c>
      <c r="H84" s="54"/>
      <c r="I84" s="54" t="s">
        <v>70</v>
      </c>
    </row>
    <row r="85" spans="2:9" ht="15.75" customHeight="1" x14ac:dyDescent="0.2">
      <c r="B85" s="50">
        <f t="shared" si="2"/>
        <v>79</v>
      </c>
      <c r="C85" s="51">
        <v>45120</v>
      </c>
      <c r="D85" s="57" t="s">
        <v>105</v>
      </c>
      <c r="E85" s="57" t="s">
        <v>11</v>
      </c>
      <c r="F85" s="53" t="s">
        <v>24</v>
      </c>
      <c r="G85" s="54">
        <v>346.5</v>
      </c>
      <c r="H85" s="54"/>
      <c r="I85" s="54" t="s">
        <v>108</v>
      </c>
    </row>
    <row r="86" spans="2:9" ht="15.75" customHeight="1" x14ac:dyDescent="0.2">
      <c r="B86" s="50">
        <f t="shared" si="2"/>
        <v>80</v>
      </c>
      <c r="C86" s="51">
        <v>45120</v>
      </c>
      <c r="D86" s="57" t="s">
        <v>105</v>
      </c>
      <c r="E86" s="57" t="s">
        <v>25</v>
      </c>
      <c r="F86" s="53" t="s">
        <v>109</v>
      </c>
      <c r="G86" s="54"/>
      <c r="H86" s="54">
        <v>-190</v>
      </c>
      <c r="I86" s="54"/>
    </row>
    <row r="87" spans="2:9" ht="15.75" customHeight="1" x14ac:dyDescent="0.2">
      <c r="B87" s="50">
        <f t="shared" si="2"/>
        <v>81</v>
      </c>
      <c r="C87" s="51">
        <v>45120</v>
      </c>
      <c r="D87" s="57" t="s">
        <v>105</v>
      </c>
      <c r="E87" s="57" t="s">
        <v>25</v>
      </c>
      <c r="F87" s="53" t="s">
        <v>110</v>
      </c>
      <c r="G87" s="54"/>
      <c r="H87" s="54">
        <v>-130</v>
      </c>
      <c r="I87" s="54"/>
    </row>
    <row r="88" spans="2:9" ht="15.75" customHeight="1" x14ac:dyDescent="0.2">
      <c r="B88" s="50">
        <f t="shared" si="2"/>
        <v>82</v>
      </c>
      <c r="C88" s="51">
        <v>45121</v>
      </c>
      <c r="D88" s="57" t="s">
        <v>105</v>
      </c>
      <c r="E88" s="57" t="s">
        <v>25</v>
      </c>
      <c r="F88" s="53" t="s">
        <v>111</v>
      </c>
      <c r="G88" s="54"/>
      <c r="H88" s="54">
        <v>-483.6</v>
      </c>
      <c r="I88" s="54"/>
    </row>
    <row r="89" spans="2:9" ht="15.75" customHeight="1" x14ac:dyDescent="0.2">
      <c r="B89" s="50">
        <f t="shared" si="2"/>
        <v>83</v>
      </c>
      <c r="C89" s="51">
        <v>45121</v>
      </c>
      <c r="D89" s="57" t="s">
        <v>105</v>
      </c>
      <c r="E89" s="57" t="s">
        <v>25</v>
      </c>
      <c r="F89" s="53" t="s">
        <v>112</v>
      </c>
      <c r="G89" s="54"/>
      <c r="H89" s="54">
        <v>-13.4</v>
      </c>
      <c r="I89" s="54"/>
    </row>
    <row r="90" spans="2:9" ht="15.75" customHeight="1" x14ac:dyDescent="0.2">
      <c r="B90" s="50">
        <f t="shared" si="2"/>
        <v>84</v>
      </c>
      <c r="C90" s="51">
        <v>45122</v>
      </c>
      <c r="D90" s="57" t="s">
        <v>105</v>
      </c>
      <c r="E90" s="57" t="s">
        <v>25</v>
      </c>
      <c r="F90" s="53" t="s">
        <v>113</v>
      </c>
      <c r="G90" s="54"/>
      <c r="H90" s="54">
        <v>-20</v>
      </c>
      <c r="I90" s="54"/>
    </row>
    <row r="91" spans="2:9" ht="15.75" customHeight="1" x14ac:dyDescent="0.2">
      <c r="B91" s="50">
        <f t="shared" si="2"/>
        <v>85</v>
      </c>
      <c r="C91" s="51">
        <v>45127</v>
      </c>
      <c r="D91" s="57" t="s">
        <v>105</v>
      </c>
      <c r="E91" s="57" t="s">
        <v>11</v>
      </c>
      <c r="F91" s="53" t="s">
        <v>24</v>
      </c>
      <c r="G91" s="54">
        <v>352.5</v>
      </c>
      <c r="H91" s="54"/>
      <c r="I91" s="54" t="s">
        <v>114</v>
      </c>
    </row>
    <row r="92" spans="2:9" ht="15.75" customHeight="1" x14ac:dyDescent="0.2">
      <c r="B92" s="50">
        <f t="shared" si="2"/>
        <v>86</v>
      </c>
      <c r="C92" s="51">
        <v>45131</v>
      </c>
      <c r="D92" s="57" t="s">
        <v>105</v>
      </c>
      <c r="E92" s="57" t="s">
        <v>14</v>
      </c>
      <c r="F92" s="53" t="s">
        <v>115</v>
      </c>
      <c r="G92" s="54"/>
      <c r="H92" s="54">
        <v>-67</v>
      </c>
      <c r="I92" s="54"/>
    </row>
    <row r="93" spans="2:9" ht="15.75" customHeight="1" x14ac:dyDescent="0.2">
      <c r="B93" s="50">
        <f t="shared" si="2"/>
        <v>87</v>
      </c>
      <c r="C93" s="51">
        <v>45131</v>
      </c>
      <c r="D93" s="57" t="s">
        <v>105</v>
      </c>
      <c r="E93" s="57" t="s">
        <v>14</v>
      </c>
      <c r="F93" s="53" t="s">
        <v>116</v>
      </c>
      <c r="G93" s="54"/>
      <c r="H93" s="54">
        <v>-49</v>
      </c>
      <c r="I93" s="54"/>
    </row>
    <row r="94" spans="2:9" ht="15.75" customHeight="1" x14ac:dyDescent="0.2">
      <c r="B94" s="50">
        <f t="shared" si="2"/>
        <v>88</v>
      </c>
      <c r="C94" s="51">
        <v>45131</v>
      </c>
      <c r="D94" s="57" t="s">
        <v>105</v>
      </c>
      <c r="E94" s="57" t="s">
        <v>25</v>
      </c>
      <c r="F94" s="53" t="s">
        <v>117</v>
      </c>
      <c r="G94" s="54"/>
      <c r="H94" s="54">
        <v>-225</v>
      </c>
      <c r="I94" s="54"/>
    </row>
    <row r="95" spans="2:9" ht="15.75" customHeight="1" x14ac:dyDescent="0.2">
      <c r="B95" s="50">
        <f t="shared" si="2"/>
        <v>89</v>
      </c>
      <c r="C95" s="51">
        <v>45134</v>
      </c>
      <c r="D95" s="57" t="s">
        <v>105</v>
      </c>
      <c r="E95" s="57" t="s">
        <v>11</v>
      </c>
      <c r="F95" s="53" t="s">
        <v>24</v>
      </c>
      <c r="G95" s="54">
        <v>230</v>
      </c>
      <c r="H95" s="54"/>
      <c r="I95" s="54" t="s">
        <v>118</v>
      </c>
    </row>
    <row r="96" spans="2:9" ht="15.75" customHeight="1" x14ac:dyDescent="0.2">
      <c r="B96" s="50">
        <f t="shared" si="2"/>
        <v>90</v>
      </c>
      <c r="C96" s="51">
        <v>45134</v>
      </c>
      <c r="D96" s="57" t="s">
        <v>105</v>
      </c>
      <c r="E96" s="57" t="s">
        <v>22</v>
      </c>
      <c r="F96" s="53" t="s">
        <v>119</v>
      </c>
      <c r="G96" s="54">
        <v>10</v>
      </c>
      <c r="H96" s="54"/>
      <c r="I96" s="54" t="s">
        <v>100</v>
      </c>
    </row>
    <row r="97" spans="2:9" ht="15.75" customHeight="1" x14ac:dyDescent="0.2">
      <c r="B97" s="50">
        <f t="shared" si="2"/>
        <v>91</v>
      </c>
      <c r="C97" s="51">
        <v>45135</v>
      </c>
      <c r="D97" s="57" t="s">
        <v>105</v>
      </c>
      <c r="E97" s="57" t="s">
        <v>22</v>
      </c>
      <c r="F97" s="53" t="s">
        <v>120</v>
      </c>
      <c r="G97" s="54">
        <f>64*5</f>
        <v>320</v>
      </c>
      <c r="H97" s="54"/>
      <c r="I97" s="54" t="s">
        <v>100</v>
      </c>
    </row>
    <row r="98" spans="2:9" ht="15.75" customHeight="1" x14ac:dyDescent="0.2">
      <c r="B98" s="50">
        <f t="shared" si="2"/>
        <v>92</v>
      </c>
      <c r="C98" s="51">
        <v>45135</v>
      </c>
      <c r="D98" s="57" t="s">
        <v>105</v>
      </c>
      <c r="E98" s="57" t="s">
        <v>22</v>
      </c>
      <c r="F98" s="53" t="s">
        <v>121</v>
      </c>
      <c r="G98" s="54">
        <f>80*5</f>
        <v>400</v>
      </c>
      <c r="H98" s="54"/>
      <c r="I98" s="54" t="s">
        <v>100</v>
      </c>
    </row>
    <row r="99" spans="2:9" ht="15.75" customHeight="1" x14ac:dyDescent="0.2">
      <c r="B99" s="50">
        <f t="shared" si="2"/>
        <v>93</v>
      </c>
      <c r="C99" s="51">
        <v>45135</v>
      </c>
      <c r="D99" s="57" t="s">
        <v>105</v>
      </c>
      <c r="E99" s="57" t="s">
        <v>25</v>
      </c>
      <c r="F99" s="53" t="s">
        <v>104</v>
      </c>
      <c r="G99" s="54"/>
      <c r="H99" s="54">
        <v>-10</v>
      </c>
      <c r="I99" s="54"/>
    </row>
    <row r="100" spans="2:9" ht="15.75" customHeight="1" x14ac:dyDescent="0.2">
      <c r="B100" s="50">
        <f t="shared" si="2"/>
        <v>94</v>
      </c>
      <c r="C100" s="51">
        <v>45141</v>
      </c>
      <c r="D100" s="57" t="s">
        <v>122</v>
      </c>
      <c r="E100" s="57" t="s">
        <v>11</v>
      </c>
      <c r="F100" s="53" t="s">
        <v>24</v>
      </c>
      <c r="G100" s="54">
        <v>182</v>
      </c>
      <c r="H100" s="54"/>
      <c r="I100" s="54" t="s">
        <v>123</v>
      </c>
    </row>
    <row r="101" spans="2:9" ht="15.75" customHeight="1" x14ac:dyDescent="0.2">
      <c r="B101" s="50">
        <f t="shared" si="2"/>
        <v>95</v>
      </c>
      <c r="C101" s="51">
        <v>45141</v>
      </c>
      <c r="D101" s="57" t="s">
        <v>122</v>
      </c>
      <c r="E101" s="57" t="s">
        <v>22</v>
      </c>
      <c r="F101" s="53" t="s">
        <v>124</v>
      </c>
      <c r="G101" s="54">
        <v>10</v>
      </c>
      <c r="H101" s="54"/>
      <c r="I101" s="54" t="s">
        <v>100</v>
      </c>
    </row>
    <row r="102" spans="2:9" ht="15.75" customHeight="1" x14ac:dyDescent="0.2">
      <c r="B102" s="50">
        <f t="shared" si="2"/>
        <v>96</v>
      </c>
      <c r="C102" s="51">
        <v>45144</v>
      </c>
      <c r="D102" s="57" t="s">
        <v>122</v>
      </c>
      <c r="E102" s="57" t="s">
        <v>14</v>
      </c>
      <c r="F102" s="53" t="s">
        <v>81</v>
      </c>
      <c r="G102" s="54"/>
      <c r="H102" s="54">
        <v>-15</v>
      </c>
      <c r="I102" s="54" t="s">
        <v>125</v>
      </c>
    </row>
    <row r="103" spans="2:9" ht="15.75" customHeight="1" x14ac:dyDescent="0.2">
      <c r="B103" s="50">
        <f t="shared" ref="B103:B134" si="3">B102+1</f>
        <v>97</v>
      </c>
      <c r="C103" s="51">
        <v>45144</v>
      </c>
      <c r="D103" s="57" t="s">
        <v>122</v>
      </c>
      <c r="E103" s="57" t="s">
        <v>22</v>
      </c>
      <c r="F103" s="53" t="s">
        <v>81</v>
      </c>
      <c r="G103" s="54">
        <v>15</v>
      </c>
      <c r="H103" s="54"/>
      <c r="I103" s="54" t="s">
        <v>125</v>
      </c>
    </row>
    <row r="104" spans="2:9" ht="15.75" customHeight="1" x14ac:dyDescent="0.2">
      <c r="B104" s="50">
        <f t="shared" si="3"/>
        <v>98</v>
      </c>
      <c r="C104" s="51">
        <v>45146</v>
      </c>
      <c r="D104" s="57" t="s">
        <v>122</v>
      </c>
      <c r="E104" s="57" t="s">
        <v>25</v>
      </c>
      <c r="F104" s="53" t="s">
        <v>126</v>
      </c>
      <c r="G104" s="54"/>
      <c r="H104" s="54">
        <v>-190</v>
      </c>
      <c r="I104" s="54"/>
    </row>
    <row r="105" spans="2:9" ht="15.75" customHeight="1" x14ac:dyDescent="0.2">
      <c r="B105" s="50">
        <f t="shared" si="3"/>
        <v>99</v>
      </c>
      <c r="C105" s="51">
        <v>45148</v>
      </c>
      <c r="D105" s="57" t="s">
        <v>122</v>
      </c>
      <c r="E105" s="57" t="s">
        <v>11</v>
      </c>
      <c r="F105" s="53" t="s">
        <v>24</v>
      </c>
      <c r="G105" s="54">
        <v>433.5</v>
      </c>
      <c r="H105" s="54"/>
      <c r="I105" s="54" t="s">
        <v>127</v>
      </c>
    </row>
    <row r="106" spans="2:9" ht="15.75" customHeight="1" x14ac:dyDescent="0.2">
      <c r="B106" s="50">
        <f t="shared" si="3"/>
        <v>100</v>
      </c>
      <c r="C106" s="51">
        <v>45155</v>
      </c>
      <c r="D106" s="57" t="s">
        <v>122</v>
      </c>
      <c r="E106" s="57" t="s">
        <v>11</v>
      </c>
      <c r="F106" s="53" t="s">
        <v>24</v>
      </c>
      <c r="G106" s="54">
        <f>120+65</f>
        <v>185</v>
      </c>
      <c r="H106" s="54"/>
      <c r="I106" s="54" t="s">
        <v>128</v>
      </c>
    </row>
    <row r="107" spans="2:9" ht="15.75" customHeight="1" x14ac:dyDescent="0.2">
      <c r="B107" s="50">
        <f t="shared" si="3"/>
        <v>101</v>
      </c>
      <c r="C107" s="51">
        <v>45155</v>
      </c>
      <c r="D107" s="57" t="s">
        <v>122</v>
      </c>
      <c r="E107" s="57" t="s">
        <v>14</v>
      </c>
      <c r="F107" s="53" t="s">
        <v>129</v>
      </c>
      <c r="G107" s="54"/>
      <c r="H107" s="54">
        <v>-60</v>
      </c>
      <c r="I107" s="54" t="s">
        <v>130</v>
      </c>
    </row>
    <row r="108" spans="2:9" ht="15.75" customHeight="1" x14ac:dyDescent="0.2">
      <c r="B108" s="50">
        <f t="shared" si="3"/>
        <v>102</v>
      </c>
      <c r="C108" s="51">
        <v>45155</v>
      </c>
      <c r="D108" s="57" t="s">
        <v>122</v>
      </c>
      <c r="E108" s="57" t="s">
        <v>22</v>
      </c>
      <c r="F108" s="53" t="s">
        <v>129</v>
      </c>
      <c r="G108" s="54">
        <v>60</v>
      </c>
      <c r="H108" s="54"/>
      <c r="I108" s="54" t="s">
        <v>130</v>
      </c>
    </row>
    <row r="109" spans="2:9" ht="15.75" customHeight="1" x14ac:dyDescent="0.2">
      <c r="B109" s="50">
        <f t="shared" si="3"/>
        <v>103</v>
      </c>
      <c r="C109" s="51">
        <v>45156</v>
      </c>
      <c r="D109" s="57" t="s">
        <v>122</v>
      </c>
      <c r="E109" s="57" t="s">
        <v>14</v>
      </c>
      <c r="F109" s="53" t="s">
        <v>131</v>
      </c>
      <c r="G109" s="54"/>
      <c r="H109" s="54">
        <v>-94</v>
      </c>
      <c r="I109" s="54"/>
    </row>
    <row r="110" spans="2:9" ht="15.75" customHeight="1" x14ac:dyDescent="0.2">
      <c r="B110" s="50">
        <f t="shared" si="3"/>
        <v>104</v>
      </c>
      <c r="C110" s="51">
        <v>45157</v>
      </c>
      <c r="D110" s="57" t="s">
        <v>122</v>
      </c>
      <c r="E110" s="57" t="s">
        <v>14</v>
      </c>
      <c r="F110" s="53" t="s">
        <v>132</v>
      </c>
      <c r="G110" s="54"/>
      <c r="H110" s="54">
        <v>-120</v>
      </c>
      <c r="I110" s="54" t="s">
        <v>133</v>
      </c>
    </row>
    <row r="111" spans="2:9" ht="15.75" customHeight="1" x14ac:dyDescent="0.2">
      <c r="B111" s="50">
        <f t="shared" si="3"/>
        <v>105</v>
      </c>
      <c r="C111" s="51">
        <v>45160</v>
      </c>
      <c r="D111" s="57" t="s">
        <v>122</v>
      </c>
      <c r="E111" s="57" t="s">
        <v>25</v>
      </c>
      <c r="F111" s="53" t="s">
        <v>99</v>
      </c>
      <c r="G111" s="54"/>
      <c r="H111" s="54">
        <v>-150</v>
      </c>
      <c r="I111" s="54"/>
    </row>
    <row r="112" spans="2:9" ht="15.75" customHeight="1" x14ac:dyDescent="0.2">
      <c r="B112" s="50">
        <f t="shared" si="3"/>
        <v>106</v>
      </c>
      <c r="C112" s="51">
        <v>45162</v>
      </c>
      <c r="D112" s="57" t="s">
        <v>122</v>
      </c>
      <c r="E112" s="57" t="s">
        <v>11</v>
      </c>
      <c r="F112" s="53" t="s">
        <v>24</v>
      </c>
      <c r="G112" s="54">
        <v>231</v>
      </c>
      <c r="H112" s="54"/>
      <c r="I112" s="54" t="s">
        <v>134</v>
      </c>
    </row>
    <row r="113" spans="2:9" ht="15.75" customHeight="1" x14ac:dyDescent="0.2">
      <c r="B113" s="50">
        <f t="shared" si="3"/>
        <v>107</v>
      </c>
      <c r="C113" s="51">
        <v>45166</v>
      </c>
      <c r="D113" s="57" t="s">
        <v>122</v>
      </c>
      <c r="E113" s="57" t="s">
        <v>14</v>
      </c>
      <c r="F113" s="53" t="s">
        <v>135</v>
      </c>
      <c r="G113" s="54"/>
      <c r="H113" s="54">
        <v>-5</v>
      </c>
      <c r="I113" s="54" t="s">
        <v>136</v>
      </c>
    </row>
    <row r="114" spans="2:9" ht="15.75" customHeight="1" x14ac:dyDescent="0.2">
      <c r="B114" s="50">
        <f t="shared" si="3"/>
        <v>108</v>
      </c>
      <c r="C114" s="51">
        <v>45166</v>
      </c>
      <c r="D114" s="57" t="s">
        <v>122</v>
      </c>
      <c r="E114" s="57" t="s">
        <v>14</v>
      </c>
      <c r="F114" s="53" t="s">
        <v>137</v>
      </c>
      <c r="G114" s="54"/>
      <c r="H114" s="54">
        <v>-15</v>
      </c>
      <c r="I114" s="54" t="s">
        <v>136</v>
      </c>
    </row>
    <row r="115" spans="2:9" ht="15.75" customHeight="1" x14ac:dyDescent="0.2">
      <c r="B115" s="50">
        <f t="shared" si="3"/>
        <v>109</v>
      </c>
      <c r="C115" s="51">
        <v>45166</v>
      </c>
      <c r="D115" s="57" t="s">
        <v>122</v>
      </c>
      <c r="E115" s="57" t="s">
        <v>14</v>
      </c>
      <c r="F115" s="53" t="s">
        <v>138</v>
      </c>
      <c r="G115" s="54"/>
      <c r="H115" s="54">
        <v>-90</v>
      </c>
      <c r="I115" s="54" t="s">
        <v>136</v>
      </c>
    </row>
    <row r="116" spans="2:9" ht="15.75" customHeight="1" x14ac:dyDescent="0.2">
      <c r="B116" s="50">
        <f t="shared" si="3"/>
        <v>110</v>
      </c>
      <c r="C116" s="51">
        <v>45166</v>
      </c>
      <c r="D116" s="57" t="s">
        <v>122</v>
      </c>
      <c r="E116" s="57" t="s">
        <v>22</v>
      </c>
      <c r="F116" s="53" t="s">
        <v>135</v>
      </c>
      <c r="G116" s="54">
        <v>5</v>
      </c>
      <c r="H116" s="54"/>
      <c r="I116" s="54" t="s">
        <v>136</v>
      </c>
    </row>
    <row r="117" spans="2:9" ht="15.75" customHeight="1" x14ac:dyDescent="0.2">
      <c r="B117" s="50">
        <f t="shared" si="3"/>
        <v>111</v>
      </c>
      <c r="C117" s="51">
        <v>45166</v>
      </c>
      <c r="D117" s="57" t="s">
        <v>122</v>
      </c>
      <c r="E117" s="57" t="s">
        <v>22</v>
      </c>
      <c r="F117" s="53" t="s">
        <v>137</v>
      </c>
      <c r="G117" s="54">
        <v>15</v>
      </c>
      <c r="H117" s="54"/>
      <c r="I117" s="54" t="s">
        <v>136</v>
      </c>
    </row>
    <row r="118" spans="2:9" ht="15.75" customHeight="1" x14ac:dyDescent="0.2">
      <c r="B118" s="50">
        <f t="shared" si="3"/>
        <v>112</v>
      </c>
      <c r="C118" s="51">
        <v>45166</v>
      </c>
      <c r="D118" s="57" t="s">
        <v>122</v>
      </c>
      <c r="E118" s="57" t="s">
        <v>22</v>
      </c>
      <c r="F118" s="53" t="s">
        <v>138</v>
      </c>
      <c r="G118" s="54">
        <v>90</v>
      </c>
      <c r="H118" s="54"/>
      <c r="I118" s="54" t="s">
        <v>136</v>
      </c>
    </row>
    <row r="119" spans="2:9" ht="15.75" customHeight="1" x14ac:dyDescent="0.2">
      <c r="B119" s="50">
        <f t="shared" si="3"/>
        <v>113</v>
      </c>
      <c r="C119" s="51">
        <v>45166</v>
      </c>
      <c r="D119" s="57" t="s">
        <v>122</v>
      </c>
      <c r="E119" s="57" t="s">
        <v>22</v>
      </c>
      <c r="F119" s="53" t="s">
        <v>139</v>
      </c>
      <c r="G119" s="54">
        <f>63*5</f>
        <v>315</v>
      </c>
      <c r="H119" s="54"/>
      <c r="I119" s="54"/>
    </row>
    <row r="120" spans="2:9" ht="15.75" customHeight="1" x14ac:dyDescent="0.2">
      <c r="B120" s="50">
        <f t="shared" si="3"/>
        <v>114</v>
      </c>
      <c r="C120" s="51">
        <v>45166</v>
      </c>
      <c r="D120" s="57" t="s">
        <v>122</v>
      </c>
      <c r="E120" s="57" t="s">
        <v>22</v>
      </c>
      <c r="F120" s="53" t="s">
        <v>140</v>
      </c>
      <c r="G120" s="54">
        <f>65*5</f>
        <v>325</v>
      </c>
      <c r="H120" s="54"/>
      <c r="I120" s="54"/>
    </row>
    <row r="121" spans="2:9" ht="15.75" customHeight="1" x14ac:dyDescent="0.2">
      <c r="B121" s="50">
        <f t="shared" si="3"/>
        <v>115</v>
      </c>
      <c r="C121" s="51">
        <v>45169</v>
      </c>
      <c r="D121" s="57" t="s">
        <v>122</v>
      </c>
      <c r="E121" s="57" t="s">
        <v>11</v>
      </c>
      <c r="F121" s="53" t="s">
        <v>24</v>
      </c>
      <c r="G121" s="54">
        <v>165</v>
      </c>
      <c r="H121" s="54"/>
      <c r="I121" s="54" t="s">
        <v>141</v>
      </c>
    </row>
    <row r="122" spans="2:9" ht="15.75" customHeight="1" x14ac:dyDescent="0.2">
      <c r="B122" s="50">
        <f t="shared" si="3"/>
        <v>116</v>
      </c>
      <c r="C122" s="51">
        <v>45176</v>
      </c>
      <c r="D122" s="57" t="s">
        <v>142</v>
      </c>
      <c r="E122" s="57" t="s">
        <v>11</v>
      </c>
      <c r="F122" s="53" t="s">
        <v>24</v>
      </c>
      <c r="G122" s="54">
        <v>235</v>
      </c>
      <c r="H122" s="54"/>
      <c r="I122" s="54" t="s">
        <v>143</v>
      </c>
    </row>
    <row r="123" spans="2:9" ht="15.75" customHeight="1" x14ac:dyDescent="0.2">
      <c r="B123" s="50">
        <f t="shared" si="3"/>
        <v>117</v>
      </c>
      <c r="C123" s="51">
        <v>45176</v>
      </c>
      <c r="D123" s="57" t="s">
        <v>142</v>
      </c>
      <c r="E123" s="57" t="s">
        <v>14</v>
      </c>
      <c r="F123" s="53" t="s">
        <v>81</v>
      </c>
      <c r="G123" s="54"/>
      <c r="H123" s="54">
        <v>-15</v>
      </c>
      <c r="I123" s="54" t="s">
        <v>144</v>
      </c>
    </row>
    <row r="124" spans="2:9" ht="15.75" customHeight="1" x14ac:dyDescent="0.2">
      <c r="B124" s="50">
        <f t="shared" si="3"/>
        <v>118</v>
      </c>
      <c r="C124" s="51">
        <v>45176</v>
      </c>
      <c r="D124" s="57" t="s">
        <v>142</v>
      </c>
      <c r="E124" s="57" t="s">
        <v>22</v>
      </c>
      <c r="F124" s="53" t="s">
        <v>81</v>
      </c>
      <c r="G124" s="54">
        <v>15</v>
      </c>
      <c r="H124" s="54"/>
      <c r="I124" s="54" t="s">
        <v>144</v>
      </c>
    </row>
    <row r="125" spans="2:9" ht="15.75" customHeight="1" x14ac:dyDescent="0.2">
      <c r="B125" s="50">
        <f t="shared" si="3"/>
        <v>119</v>
      </c>
      <c r="C125" s="51">
        <v>45177</v>
      </c>
      <c r="D125" s="57" t="s">
        <v>142</v>
      </c>
      <c r="E125" s="57" t="s">
        <v>14</v>
      </c>
      <c r="F125" s="53" t="s">
        <v>145</v>
      </c>
      <c r="G125" s="54"/>
      <c r="H125" s="54">
        <v>-45</v>
      </c>
      <c r="I125" s="54"/>
    </row>
    <row r="126" spans="2:9" ht="15.75" customHeight="1" x14ac:dyDescent="0.2">
      <c r="B126" s="50">
        <f t="shared" si="3"/>
        <v>120</v>
      </c>
      <c r="C126" s="51">
        <v>45183</v>
      </c>
      <c r="D126" s="57" t="s">
        <v>142</v>
      </c>
      <c r="E126" s="57" t="s">
        <v>11</v>
      </c>
      <c r="F126" s="53" t="s">
        <v>24</v>
      </c>
      <c r="G126" s="54">
        <v>420.5</v>
      </c>
      <c r="H126" s="54"/>
      <c r="I126" s="54" t="s">
        <v>146</v>
      </c>
    </row>
    <row r="127" spans="2:9" ht="15.75" customHeight="1" x14ac:dyDescent="0.2">
      <c r="B127" s="50">
        <f t="shared" si="3"/>
        <v>121</v>
      </c>
      <c r="C127" s="51">
        <v>45189</v>
      </c>
      <c r="D127" s="57" t="s">
        <v>142</v>
      </c>
      <c r="E127" s="57" t="s">
        <v>14</v>
      </c>
      <c r="F127" s="53" t="s">
        <v>147</v>
      </c>
      <c r="G127" s="54"/>
      <c r="H127" s="54">
        <v>-185.5</v>
      </c>
      <c r="I127" s="54"/>
    </row>
    <row r="128" spans="2:9" ht="15.75" customHeight="1" x14ac:dyDescent="0.2">
      <c r="B128" s="50">
        <f t="shared" si="3"/>
        <v>122</v>
      </c>
      <c r="C128" s="51">
        <v>45189</v>
      </c>
      <c r="D128" s="57" t="s">
        <v>142</v>
      </c>
      <c r="E128" s="57" t="s">
        <v>14</v>
      </c>
      <c r="F128" s="53" t="s">
        <v>148</v>
      </c>
      <c r="G128" s="54"/>
      <c r="H128" s="54">
        <v>-160</v>
      </c>
      <c r="I128" s="54"/>
    </row>
    <row r="129" spans="2:12" ht="15.75" customHeight="1" x14ac:dyDescent="0.2">
      <c r="B129" s="50">
        <f t="shared" si="3"/>
        <v>123</v>
      </c>
      <c r="C129" s="51">
        <v>45189</v>
      </c>
      <c r="D129" s="57" t="s">
        <v>142</v>
      </c>
      <c r="E129" s="57" t="s">
        <v>14</v>
      </c>
      <c r="F129" s="53" t="s">
        <v>149</v>
      </c>
      <c r="G129" s="54"/>
      <c r="H129" s="54">
        <v>-191</v>
      </c>
      <c r="I129" s="54"/>
    </row>
    <row r="130" spans="2:12" ht="15.75" customHeight="1" x14ac:dyDescent="0.2">
      <c r="B130" s="50">
        <f t="shared" si="3"/>
        <v>124</v>
      </c>
      <c r="C130" s="51">
        <v>45189</v>
      </c>
      <c r="D130" s="57" t="s">
        <v>142</v>
      </c>
      <c r="E130" s="57" t="s">
        <v>14</v>
      </c>
      <c r="F130" s="53" t="s">
        <v>32</v>
      </c>
      <c r="G130" s="54"/>
      <c r="H130" s="54">
        <v>-10</v>
      </c>
      <c r="I130" s="54"/>
    </row>
    <row r="131" spans="2:12" ht="15.75" customHeight="1" x14ac:dyDescent="0.2">
      <c r="B131" s="50">
        <f t="shared" si="3"/>
        <v>125</v>
      </c>
      <c r="C131" s="51">
        <v>45190</v>
      </c>
      <c r="D131" s="57" t="s">
        <v>142</v>
      </c>
      <c r="E131" s="57" t="s">
        <v>11</v>
      </c>
      <c r="F131" s="53" t="s">
        <v>24</v>
      </c>
      <c r="G131" s="54">
        <v>290.5</v>
      </c>
      <c r="H131" s="54"/>
      <c r="I131" s="54" t="s">
        <v>150</v>
      </c>
    </row>
    <row r="132" spans="2:12" ht="15.75" customHeight="1" x14ac:dyDescent="0.2">
      <c r="B132" s="50">
        <f t="shared" si="3"/>
        <v>126</v>
      </c>
      <c r="C132" s="51">
        <v>45193</v>
      </c>
      <c r="D132" s="57" t="s">
        <v>142</v>
      </c>
      <c r="E132" s="57" t="s">
        <v>4</v>
      </c>
      <c r="F132" s="53" t="s">
        <v>151</v>
      </c>
      <c r="G132" s="54">
        <v>10</v>
      </c>
      <c r="H132" s="54"/>
      <c r="I132" s="54"/>
    </row>
    <row r="133" spans="2:12" ht="15.75" customHeight="1" x14ac:dyDescent="0.2">
      <c r="B133" s="50">
        <f t="shared" si="3"/>
        <v>127</v>
      </c>
      <c r="C133" s="51">
        <v>45197</v>
      </c>
      <c r="D133" s="57" t="s">
        <v>142</v>
      </c>
      <c r="E133" s="57" t="s">
        <v>14</v>
      </c>
      <c r="F133" s="53" t="s">
        <v>152</v>
      </c>
      <c r="G133" s="54"/>
      <c r="H133" s="54">
        <v>-15</v>
      </c>
      <c r="I133" s="54" t="s">
        <v>153</v>
      </c>
    </row>
    <row r="134" spans="2:12" ht="15.75" customHeight="1" x14ac:dyDescent="0.2">
      <c r="B134" s="50">
        <f t="shared" si="3"/>
        <v>128</v>
      </c>
      <c r="C134" s="51">
        <v>45197</v>
      </c>
      <c r="D134" s="57" t="s">
        <v>142</v>
      </c>
      <c r="E134" s="57" t="s">
        <v>14</v>
      </c>
      <c r="F134" s="53" t="s">
        <v>91</v>
      </c>
      <c r="G134" s="54"/>
      <c r="H134" s="54">
        <v>-15</v>
      </c>
      <c r="I134" s="54" t="s">
        <v>154</v>
      </c>
    </row>
    <row r="135" spans="2:12" ht="15.75" customHeight="1" x14ac:dyDescent="0.2">
      <c r="B135" s="50">
        <f t="shared" ref="B135:B166" si="4">B134+1</f>
        <v>129</v>
      </c>
      <c r="C135" s="51">
        <v>45197</v>
      </c>
      <c r="D135" s="57" t="s">
        <v>142</v>
      </c>
      <c r="E135" s="57" t="s">
        <v>22</v>
      </c>
      <c r="F135" s="53" t="s">
        <v>91</v>
      </c>
      <c r="G135" s="54">
        <v>15</v>
      </c>
      <c r="H135" s="54"/>
      <c r="I135" s="54" t="s">
        <v>154</v>
      </c>
    </row>
    <row r="136" spans="2:12" ht="15.75" customHeight="1" x14ac:dyDescent="0.2">
      <c r="B136" s="50">
        <f t="shared" si="4"/>
        <v>130</v>
      </c>
      <c r="C136" s="51">
        <v>45197</v>
      </c>
      <c r="D136" s="57" t="s">
        <v>142</v>
      </c>
      <c r="E136" s="57" t="s">
        <v>22</v>
      </c>
      <c r="F136" s="53" t="s">
        <v>155</v>
      </c>
      <c r="G136" s="54">
        <f>340-10</f>
        <v>330</v>
      </c>
      <c r="H136" s="54"/>
      <c r="I136" s="54"/>
    </row>
    <row r="137" spans="2:12" ht="15.75" customHeight="1" x14ac:dyDescent="0.2">
      <c r="B137" s="50">
        <f t="shared" si="4"/>
        <v>131</v>
      </c>
      <c r="C137" s="51">
        <v>45197</v>
      </c>
      <c r="D137" s="57" t="s">
        <v>142</v>
      </c>
      <c r="E137" s="57" t="s">
        <v>22</v>
      </c>
      <c r="F137" s="53" t="s">
        <v>156</v>
      </c>
      <c r="G137" s="54">
        <f>360</f>
        <v>360</v>
      </c>
      <c r="H137" s="54"/>
      <c r="I137" s="54"/>
    </row>
    <row r="138" spans="2:12" ht="15.75" customHeight="1" x14ac:dyDescent="0.2">
      <c r="B138" s="50">
        <f t="shared" si="4"/>
        <v>132</v>
      </c>
      <c r="C138" s="51">
        <v>45197</v>
      </c>
      <c r="D138" s="57" t="s">
        <v>142</v>
      </c>
      <c r="E138" s="57" t="s">
        <v>25</v>
      </c>
      <c r="F138" s="53" t="s">
        <v>157</v>
      </c>
      <c r="G138" s="54"/>
      <c r="H138" s="54">
        <v>-300</v>
      </c>
      <c r="I138" s="54"/>
    </row>
    <row r="139" spans="2:12" ht="15.75" customHeight="1" x14ac:dyDescent="0.2">
      <c r="B139" s="50">
        <f t="shared" si="4"/>
        <v>133</v>
      </c>
      <c r="C139" s="51">
        <v>45197</v>
      </c>
      <c r="D139" s="57" t="s">
        <v>142</v>
      </c>
      <c r="E139" s="57" t="s">
        <v>25</v>
      </c>
      <c r="F139" s="53" t="s">
        <v>104</v>
      </c>
      <c r="G139" s="54"/>
      <c r="H139" s="54">
        <v>-15</v>
      </c>
      <c r="I139" s="54"/>
      <c r="K139" s="84">
        <v>45209</v>
      </c>
      <c r="L139" t="s">
        <v>158</v>
      </c>
    </row>
    <row r="140" spans="2:12" ht="15.75" customHeight="1" x14ac:dyDescent="0.2">
      <c r="B140" s="50">
        <f t="shared" si="4"/>
        <v>134</v>
      </c>
      <c r="C140" s="51">
        <v>45200</v>
      </c>
      <c r="D140" s="57" t="s">
        <v>159</v>
      </c>
      <c r="E140" s="57" t="s">
        <v>14</v>
      </c>
      <c r="F140" s="53" t="s">
        <v>160</v>
      </c>
      <c r="G140" s="54"/>
      <c r="H140" s="54">
        <v>-27</v>
      </c>
      <c r="I140" s="54"/>
      <c r="K140" t="s">
        <v>161</v>
      </c>
    </row>
    <row r="141" spans="2:12" ht="15.75" customHeight="1" x14ac:dyDescent="0.2">
      <c r="B141" s="50">
        <f t="shared" si="4"/>
        <v>135</v>
      </c>
      <c r="C141" s="51">
        <v>45205</v>
      </c>
      <c r="D141" s="57" t="s">
        <v>159</v>
      </c>
      <c r="E141" s="57" t="s">
        <v>11</v>
      </c>
      <c r="F141" s="53" t="s">
        <v>24</v>
      </c>
      <c r="G141" s="54">
        <v>136</v>
      </c>
      <c r="H141" s="54"/>
      <c r="I141" s="54" t="s">
        <v>162</v>
      </c>
      <c r="K141" t="s">
        <v>163</v>
      </c>
    </row>
    <row r="142" spans="2:12" ht="15.75" customHeight="1" x14ac:dyDescent="0.2">
      <c r="B142" s="50">
        <f t="shared" si="4"/>
        <v>136</v>
      </c>
      <c r="C142" s="51">
        <v>45206</v>
      </c>
      <c r="D142" s="57" t="s">
        <v>159</v>
      </c>
      <c r="E142" s="57" t="s">
        <v>14</v>
      </c>
      <c r="F142" s="53" t="s">
        <v>164</v>
      </c>
      <c r="G142" s="54"/>
      <c r="H142" s="54">
        <v>-50</v>
      </c>
      <c r="I142" s="54"/>
      <c r="K142" t="s">
        <v>165</v>
      </c>
    </row>
    <row r="143" spans="2:12" ht="15.75" customHeight="1" x14ac:dyDescent="0.2">
      <c r="B143" s="50">
        <f t="shared" si="4"/>
        <v>137</v>
      </c>
      <c r="C143" s="51">
        <v>45207</v>
      </c>
      <c r="D143" s="57" t="s">
        <v>159</v>
      </c>
      <c r="E143" s="57" t="s">
        <v>4</v>
      </c>
      <c r="F143" s="53" t="s">
        <v>166</v>
      </c>
      <c r="G143" s="54">
        <v>450</v>
      </c>
      <c r="H143" s="54"/>
      <c r="I143" s="54" t="s">
        <v>167</v>
      </c>
      <c r="K143" t="s">
        <v>168</v>
      </c>
    </row>
    <row r="144" spans="2:12" ht="15.75" customHeight="1" x14ac:dyDescent="0.2">
      <c r="B144" s="50">
        <f t="shared" si="4"/>
        <v>138</v>
      </c>
      <c r="C144" s="51">
        <v>45207</v>
      </c>
      <c r="D144" s="57" t="s">
        <v>159</v>
      </c>
      <c r="E144" s="57" t="s">
        <v>4</v>
      </c>
      <c r="F144" s="53" t="s">
        <v>169</v>
      </c>
      <c r="G144" s="54">
        <v>1000</v>
      </c>
      <c r="H144" s="54"/>
      <c r="I144" s="54" t="s">
        <v>170</v>
      </c>
      <c r="K144" t="s">
        <v>171</v>
      </c>
    </row>
    <row r="145" spans="2:12" ht="15.75" customHeight="1" x14ac:dyDescent="0.2">
      <c r="B145" s="50">
        <f t="shared" si="4"/>
        <v>139</v>
      </c>
      <c r="C145" s="51">
        <v>45210</v>
      </c>
      <c r="D145" s="57" t="s">
        <v>159</v>
      </c>
      <c r="E145" s="57" t="s">
        <v>7</v>
      </c>
      <c r="F145" s="53" t="s">
        <v>166</v>
      </c>
      <c r="G145" s="54"/>
      <c r="H145" s="54">
        <v>-450</v>
      </c>
      <c r="I145" s="54" t="s">
        <v>172</v>
      </c>
      <c r="K145">
        <f>2150+450+1000+1400</f>
        <v>5000</v>
      </c>
      <c r="L145" t="s">
        <v>173</v>
      </c>
    </row>
    <row r="146" spans="2:12" ht="15.75" customHeight="1" x14ac:dyDescent="0.2">
      <c r="B146" s="50">
        <f t="shared" si="4"/>
        <v>140</v>
      </c>
      <c r="C146" s="51">
        <v>45210</v>
      </c>
      <c r="D146" s="57" t="s">
        <v>159</v>
      </c>
      <c r="E146" s="57" t="s">
        <v>7</v>
      </c>
      <c r="F146" s="53" t="s">
        <v>169</v>
      </c>
      <c r="G146" s="54"/>
      <c r="H146" s="54">
        <v>-1000</v>
      </c>
      <c r="I146" s="54" t="s">
        <v>172</v>
      </c>
    </row>
    <row r="147" spans="2:12" ht="15.75" customHeight="1" x14ac:dyDescent="0.2">
      <c r="B147" s="50">
        <f t="shared" si="4"/>
        <v>141</v>
      </c>
      <c r="C147" s="51">
        <v>45210</v>
      </c>
      <c r="D147" s="57" t="s">
        <v>159</v>
      </c>
      <c r="E147" s="57" t="s">
        <v>7</v>
      </c>
      <c r="F147" s="53" t="s">
        <v>174</v>
      </c>
      <c r="G147" s="54"/>
      <c r="H147" s="54">
        <v>-1400</v>
      </c>
      <c r="I147" s="54" t="s">
        <v>172</v>
      </c>
    </row>
    <row r="148" spans="2:12" ht="15.75" customHeight="1" x14ac:dyDescent="0.2">
      <c r="B148" s="50">
        <f t="shared" si="4"/>
        <v>142</v>
      </c>
      <c r="C148" s="51">
        <v>45210</v>
      </c>
      <c r="D148" s="57" t="s">
        <v>159</v>
      </c>
      <c r="E148" s="57" t="s">
        <v>14</v>
      </c>
      <c r="F148" s="53" t="s">
        <v>175</v>
      </c>
      <c r="G148" s="54"/>
      <c r="H148" s="54">
        <v>-7</v>
      </c>
      <c r="I148" s="54"/>
    </row>
    <row r="149" spans="2:12" ht="15.75" customHeight="1" x14ac:dyDescent="0.2">
      <c r="B149" s="50">
        <f t="shared" si="4"/>
        <v>143</v>
      </c>
      <c r="C149" s="51">
        <v>45211</v>
      </c>
      <c r="D149" s="57" t="s">
        <v>159</v>
      </c>
      <c r="E149" s="57" t="s">
        <v>11</v>
      </c>
      <c r="F149" s="53" t="s">
        <v>24</v>
      </c>
      <c r="G149" s="54">
        <v>130.5</v>
      </c>
      <c r="H149" s="54"/>
      <c r="I149" s="54" t="s">
        <v>176</v>
      </c>
    </row>
    <row r="150" spans="2:12" ht="15.75" customHeight="1" x14ac:dyDescent="0.2">
      <c r="B150" s="50">
        <f t="shared" si="4"/>
        <v>144</v>
      </c>
      <c r="C150" s="51">
        <v>45217</v>
      </c>
      <c r="D150" s="57" t="s">
        <v>159</v>
      </c>
      <c r="E150" s="57" t="s">
        <v>14</v>
      </c>
      <c r="F150" s="53" t="s">
        <v>177</v>
      </c>
      <c r="G150" s="54"/>
      <c r="H150" s="54">
        <v>-2500</v>
      </c>
      <c r="I150" s="54" t="s">
        <v>178</v>
      </c>
    </row>
    <row r="151" spans="2:12" ht="15.75" customHeight="1" x14ac:dyDescent="0.2">
      <c r="B151" s="50">
        <f t="shared" si="4"/>
        <v>145</v>
      </c>
      <c r="C151" s="51">
        <v>45218</v>
      </c>
      <c r="D151" s="57" t="s">
        <v>159</v>
      </c>
      <c r="E151" s="57" t="s">
        <v>11</v>
      </c>
      <c r="F151" s="53" t="s">
        <v>24</v>
      </c>
      <c r="G151" s="54">
        <v>217</v>
      </c>
      <c r="H151" s="54"/>
      <c r="I151" s="54" t="s">
        <v>179</v>
      </c>
    </row>
    <row r="152" spans="2:12" ht="15.75" customHeight="1" x14ac:dyDescent="0.2">
      <c r="B152" s="50">
        <f t="shared" si="4"/>
        <v>146</v>
      </c>
      <c r="C152" s="51">
        <v>45219</v>
      </c>
      <c r="D152" s="57" t="s">
        <v>159</v>
      </c>
      <c r="E152" s="57" t="s">
        <v>14</v>
      </c>
      <c r="F152" s="53" t="s">
        <v>180</v>
      </c>
      <c r="G152" s="54"/>
      <c r="H152" s="54">
        <v>-480</v>
      </c>
      <c r="I152" s="54" t="s">
        <v>181</v>
      </c>
    </row>
    <row r="153" spans="2:12" ht="15.75" customHeight="1" x14ac:dyDescent="0.2">
      <c r="B153" s="50">
        <f t="shared" si="4"/>
        <v>147</v>
      </c>
      <c r="C153" s="51">
        <v>45220</v>
      </c>
      <c r="D153" s="57" t="s">
        <v>159</v>
      </c>
      <c r="E153" s="57" t="s">
        <v>14</v>
      </c>
      <c r="F153" s="53" t="s">
        <v>182</v>
      </c>
      <c r="G153" s="54"/>
      <c r="H153" s="54">
        <v>-240</v>
      </c>
      <c r="I153" s="54" t="s">
        <v>181</v>
      </c>
    </row>
    <row r="154" spans="2:12" ht="15.75" customHeight="1" x14ac:dyDescent="0.2">
      <c r="B154" s="50">
        <f t="shared" si="4"/>
        <v>148</v>
      </c>
      <c r="C154" s="51">
        <v>45221</v>
      </c>
      <c r="D154" s="57" t="s">
        <v>159</v>
      </c>
      <c r="E154" s="57" t="s">
        <v>7</v>
      </c>
      <c r="F154" s="53" t="s">
        <v>183</v>
      </c>
      <c r="G154" s="54"/>
      <c r="H154" s="54">
        <v>-290</v>
      </c>
      <c r="I154" s="54"/>
    </row>
    <row r="155" spans="2:12" ht="15.75" customHeight="1" x14ac:dyDescent="0.2">
      <c r="B155" s="50">
        <f t="shared" si="4"/>
        <v>149</v>
      </c>
      <c r="C155" s="51">
        <v>45221</v>
      </c>
      <c r="D155" s="57" t="s">
        <v>159</v>
      </c>
      <c r="E155" s="57" t="s">
        <v>14</v>
      </c>
      <c r="F155" s="53" t="s">
        <v>184</v>
      </c>
      <c r="G155" s="54"/>
      <c r="H155" s="54">
        <v>-3640.5</v>
      </c>
      <c r="I155" s="54"/>
    </row>
    <row r="156" spans="2:12" ht="15.75" customHeight="1" x14ac:dyDescent="0.2">
      <c r="B156" s="50">
        <f t="shared" si="4"/>
        <v>150</v>
      </c>
      <c r="C156" s="101">
        <v>45221</v>
      </c>
      <c r="D156" s="102" t="s">
        <v>159</v>
      </c>
      <c r="E156" s="57" t="s">
        <v>22</v>
      </c>
      <c r="F156" s="53" t="s">
        <v>185</v>
      </c>
      <c r="G156" s="54">
        <v>290</v>
      </c>
      <c r="H156" s="54"/>
      <c r="I156" s="54"/>
    </row>
    <row r="157" spans="2:12" ht="15.75" customHeight="1" x14ac:dyDescent="0.2">
      <c r="B157" s="50">
        <f t="shared" si="4"/>
        <v>151</v>
      </c>
      <c r="C157" s="51">
        <v>45225</v>
      </c>
      <c r="D157" s="57" t="s">
        <v>159</v>
      </c>
      <c r="E157" s="57" t="s">
        <v>11</v>
      </c>
      <c r="F157" s="53" t="s">
        <v>24</v>
      </c>
      <c r="G157" s="54">
        <v>275.5</v>
      </c>
      <c r="H157" s="54"/>
      <c r="I157" s="54" t="s">
        <v>186</v>
      </c>
    </row>
    <row r="158" spans="2:12" ht="15.75" customHeight="1" x14ac:dyDescent="0.2">
      <c r="B158" s="50">
        <f t="shared" si="4"/>
        <v>152</v>
      </c>
      <c r="C158" s="51">
        <v>45227</v>
      </c>
      <c r="D158" s="57" t="s">
        <v>159</v>
      </c>
      <c r="E158" s="57" t="s">
        <v>4</v>
      </c>
      <c r="F158" s="53" t="s">
        <v>187</v>
      </c>
      <c r="G158" s="54">
        <v>322.5</v>
      </c>
      <c r="H158" s="54"/>
      <c r="I158" s="54"/>
    </row>
    <row r="159" spans="2:12" ht="15.75" customHeight="1" x14ac:dyDescent="0.2">
      <c r="B159" s="50">
        <f t="shared" si="4"/>
        <v>153</v>
      </c>
      <c r="C159" s="51">
        <v>45230</v>
      </c>
      <c r="D159" s="57" t="s">
        <v>159</v>
      </c>
      <c r="E159" s="57" t="s">
        <v>4</v>
      </c>
      <c r="F159" s="53" t="s">
        <v>188</v>
      </c>
      <c r="G159" s="54">
        <v>3614</v>
      </c>
      <c r="H159" s="54"/>
      <c r="I159" s="54" t="s">
        <v>189</v>
      </c>
    </row>
    <row r="160" spans="2:12" ht="15.75" customHeight="1" x14ac:dyDescent="0.2">
      <c r="B160" s="50">
        <f t="shared" si="4"/>
        <v>154</v>
      </c>
      <c r="C160" s="51">
        <v>45231</v>
      </c>
      <c r="D160" s="57" t="s">
        <v>190</v>
      </c>
      <c r="E160" s="57" t="s">
        <v>7</v>
      </c>
      <c r="F160" s="53" t="s">
        <v>191</v>
      </c>
      <c r="G160" s="54"/>
      <c r="H160" s="54">
        <v>-2410</v>
      </c>
      <c r="I160" s="54" t="s">
        <v>192</v>
      </c>
    </row>
    <row r="161" spans="2:9" ht="15.75" customHeight="1" x14ac:dyDescent="0.2">
      <c r="B161" s="50">
        <f t="shared" si="4"/>
        <v>155</v>
      </c>
      <c r="C161" s="51">
        <v>45232</v>
      </c>
      <c r="D161" s="57" t="s">
        <v>190</v>
      </c>
      <c r="E161" s="57" t="s">
        <v>11</v>
      </c>
      <c r="F161" s="53" t="s">
        <v>24</v>
      </c>
      <c r="G161" s="54">
        <f>615+329</f>
        <v>944</v>
      </c>
      <c r="H161" s="54"/>
      <c r="I161" s="54" t="s">
        <v>193</v>
      </c>
    </row>
    <row r="162" spans="2:9" ht="15.75" customHeight="1" x14ac:dyDescent="0.2">
      <c r="B162" s="50">
        <f t="shared" si="4"/>
        <v>156</v>
      </c>
      <c r="C162" s="51">
        <v>45233</v>
      </c>
      <c r="D162" s="57" t="s">
        <v>190</v>
      </c>
      <c r="E162" s="57" t="s">
        <v>7</v>
      </c>
      <c r="F162" s="53" t="s">
        <v>194</v>
      </c>
      <c r="G162" s="54"/>
      <c r="H162" s="54">
        <v>-280</v>
      </c>
      <c r="I162" s="54"/>
    </row>
    <row r="163" spans="2:9" ht="15.75" customHeight="1" x14ac:dyDescent="0.2">
      <c r="B163" s="50">
        <f t="shared" si="4"/>
        <v>157</v>
      </c>
      <c r="C163" s="51">
        <v>45233</v>
      </c>
      <c r="D163" s="57" t="s">
        <v>190</v>
      </c>
      <c r="E163" s="57" t="s">
        <v>7</v>
      </c>
      <c r="F163" s="53" t="s">
        <v>195</v>
      </c>
      <c r="G163" s="54"/>
      <c r="H163" s="54">
        <v>-385</v>
      </c>
      <c r="I163" s="54"/>
    </row>
    <row r="164" spans="2:9" ht="15.75" customHeight="1" x14ac:dyDescent="0.2">
      <c r="B164" s="50">
        <f t="shared" si="4"/>
        <v>158</v>
      </c>
      <c r="C164" s="51">
        <v>45238</v>
      </c>
      <c r="D164" s="57" t="s">
        <v>190</v>
      </c>
      <c r="E164" s="57" t="s">
        <v>7</v>
      </c>
      <c r="F164" s="53" t="s">
        <v>196</v>
      </c>
      <c r="G164" s="54"/>
      <c r="H164" s="54">
        <v>-258.5</v>
      </c>
      <c r="I164" s="54" t="s">
        <v>197</v>
      </c>
    </row>
    <row r="165" spans="2:9" ht="15.75" customHeight="1" x14ac:dyDescent="0.2">
      <c r="B165" s="50">
        <f t="shared" si="4"/>
        <v>159</v>
      </c>
      <c r="C165" s="51">
        <v>45239</v>
      </c>
      <c r="D165" s="57" t="s">
        <v>190</v>
      </c>
      <c r="E165" s="57" t="s">
        <v>4</v>
      </c>
      <c r="F165" s="53" t="s">
        <v>198</v>
      </c>
      <c r="G165" s="54">
        <v>150</v>
      </c>
      <c r="H165" s="54"/>
      <c r="I165" s="54"/>
    </row>
    <row r="166" spans="2:9" ht="15.75" customHeight="1" x14ac:dyDescent="0.2">
      <c r="B166" s="50">
        <f t="shared" si="4"/>
        <v>160</v>
      </c>
      <c r="C166" s="51">
        <v>45239</v>
      </c>
      <c r="D166" s="57" t="s">
        <v>190</v>
      </c>
      <c r="E166" s="57" t="s">
        <v>11</v>
      </c>
      <c r="F166" s="53" t="s">
        <v>24</v>
      </c>
      <c r="G166" s="54">
        <v>436.5</v>
      </c>
      <c r="H166" s="54"/>
      <c r="I166" s="54" t="s">
        <v>199</v>
      </c>
    </row>
    <row r="167" spans="2:9" ht="15.75" customHeight="1" x14ac:dyDescent="0.2">
      <c r="B167" s="50">
        <f t="shared" ref="B167:B176" si="5">B166+1</f>
        <v>161</v>
      </c>
      <c r="C167" s="51">
        <v>45243</v>
      </c>
      <c r="D167" s="57" t="s">
        <v>190</v>
      </c>
      <c r="E167" s="57" t="s">
        <v>7</v>
      </c>
      <c r="F167" s="53" t="s">
        <v>200</v>
      </c>
      <c r="G167" s="54"/>
      <c r="H167" s="54">
        <v>-142.5</v>
      </c>
      <c r="I167" s="54" t="s">
        <v>197</v>
      </c>
    </row>
    <row r="168" spans="2:9" ht="15.75" customHeight="1" x14ac:dyDescent="0.2">
      <c r="B168" s="50">
        <f t="shared" si="5"/>
        <v>162</v>
      </c>
      <c r="C168" s="51">
        <v>45244</v>
      </c>
      <c r="D168" s="57" t="s">
        <v>190</v>
      </c>
      <c r="E168" s="57" t="s">
        <v>4</v>
      </c>
      <c r="F168" s="53" t="s">
        <v>201</v>
      </c>
      <c r="G168" s="54">
        <v>100</v>
      </c>
      <c r="H168" s="54"/>
      <c r="I168" s="54"/>
    </row>
    <row r="169" spans="2:9" ht="15.75" customHeight="1" x14ac:dyDescent="0.2">
      <c r="B169" s="50">
        <f t="shared" si="5"/>
        <v>163</v>
      </c>
      <c r="C169" s="51">
        <v>45246</v>
      </c>
      <c r="D169" s="57" t="s">
        <v>190</v>
      </c>
      <c r="E169" s="57" t="s">
        <v>25</v>
      </c>
      <c r="F169" s="53" t="s">
        <v>202</v>
      </c>
      <c r="G169" s="54"/>
      <c r="H169" s="54">
        <v>-185</v>
      </c>
      <c r="I169" s="54"/>
    </row>
    <row r="170" spans="2:9" ht="15.75" customHeight="1" x14ac:dyDescent="0.2">
      <c r="B170" s="50">
        <f t="shared" si="5"/>
        <v>164</v>
      </c>
      <c r="C170" s="51">
        <v>45246</v>
      </c>
      <c r="D170" s="57" t="s">
        <v>190</v>
      </c>
      <c r="E170" s="57" t="s">
        <v>11</v>
      </c>
      <c r="F170" s="53" t="s">
        <v>24</v>
      </c>
      <c r="G170" s="54">
        <f>190+235</f>
        <v>425</v>
      </c>
      <c r="H170" s="54"/>
      <c r="I170" s="54"/>
    </row>
    <row r="171" spans="2:9" ht="15.75" customHeight="1" x14ac:dyDescent="0.2">
      <c r="B171" s="50">
        <f t="shared" si="5"/>
        <v>165</v>
      </c>
      <c r="C171" s="51">
        <v>45247</v>
      </c>
      <c r="D171" s="57" t="s">
        <v>190</v>
      </c>
      <c r="E171" s="57" t="s">
        <v>7</v>
      </c>
      <c r="F171" s="53" t="s">
        <v>203</v>
      </c>
      <c r="G171" s="54"/>
      <c r="H171" s="54">
        <v>-100</v>
      </c>
      <c r="I171" s="54" t="s">
        <v>204</v>
      </c>
    </row>
    <row r="172" spans="2:9" ht="15.75" customHeight="1" x14ac:dyDescent="0.2">
      <c r="B172" s="50">
        <f t="shared" si="5"/>
        <v>166</v>
      </c>
      <c r="C172" s="51">
        <v>45247</v>
      </c>
      <c r="D172" s="57" t="s">
        <v>190</v>
      </c>
      <c r="E172" s="57" t="s">
        <v>7</v>
      </c>
      <c r="F172" s="53" t="s">
        <v>205</v>
      </c>
      <c r="G172" s="54"/>
      <c r="H172" s="54">
        <f>-180-30</f>
        <v>-210</v>
      </c>
      <c r="I172" s="54" t="s">
        <v>206</v>
      </c>
    </row>
    <row r="173" spans="2:9" ht="15.75" customHeight="1" x14ac:dyDescent="0.2">
      <c r="B173" s="50">
        <f t="shared" si="5"/>
        <v>167</v>
      </c>
      <c r="C173" s="51">
        <v>45247</v>
      </c>
      <c r="D173" s="57" t="s">
        <v>190</v>
      </c>
      <c r="E173" s="57" t="s">
        <v>7</v>
      </c>
      <c r="F173" s="53" t="s">
        <v>207</v>
      </c>
      <c r="G173" s="54"/>
      <c r="H173" s="54">
        <v>-92</v>
      </c>
      <c r="I173" s="54" t="s">
        <v>208</v>
      </c>
    </row>
    <row r="174" spans="2:9" ht="15.75" customHeight="1" x14ac:dyDescent="0.2">
      <c r="B174" s="50">
        <f t="shared" si="5"/>
        <v>168</v>
      </c>
      <c r="C174" s="51">
        <v>45248</v>
      </c>
      <c r="D174" s="57" t="s">
        <v>190</v>
      </c>
      <c r="E174" s="57" t="s">
        <v>7</v>
      </c>
      <c r="F174" s="53" t="s">
        <v>209</v>
      </c>
      <c r="G174" s="54"/>
      <c r="H174" s="54">
        <v>-132</v>
      </c>
      <c r="I174" s="54" t="s">
        <v>197</v>
      </c>
    </row>
    <row r="175" spans="2:9" ht="15.75" customHeight="1" x14ac:dyDescent="0.2">
      <c r="B175" s="50">
        <f t="shared" si="5"/>
        <v>169</v>
      </c>
      <c r="C175" s="51">
        <v>45253</v>
      </c>
      <c r="D175" s="57" t="s">
        <v>190</v>
      </c>
      <c r="E175" s="57" t="s">
        <v>11</v>
      </c>
      <c r="F175" s="53" t="s">
        <v>24</v>
      </c>
      <c r="G175" s="54">
        <v>301</v>
      </c>
      <c r="H175" s="54"/>
      <c r="I175" s="54" t="s">
        <v>210</v>
      </c>
    </row>
    <row r="176" spans="2:9" ht="15.75" customHeight="1" x14ac:dyDescent="0.2">
      <c r="B176" s="50">
        <f t="shared" si="5"/>
        <v>170</v>
      </c>
      <c r="C176" s="51">
        <v>45254</v>
      </c>
      <c r="D176" s="57" t="s">
        <v>190</v>
      </c>
      <c r="E176" s="57" t="s">
        <v>25</v>
      </c>
      <c r="F176" s="53" t="s">
        <v>211</v>
      </c>
      <c r="G176" s="54"/>
      <c r="H176" s="54">
        <v>-176</v>
      </c>
      <c r="I176" s="54" t="s">
        <v>212</v>
      </c>
    </row>
    <row r="177" spans="2:9" ht="15.75" customHeight="1" x14ac:dyDescent="0.2">
      <c r="B177" s="50">
        <f t="shared" ref="B177:B182" si="6">B176+1</f>
        <v>171</v>
      </c>
      <c r="C177" s="51">
        <v>45258</v>
      </c>
      <c r="D177" s="57" t="s">
        <v>190</v>
      </c>
      <c r="E177" s="57" t="s">
        <v>22</v>
      </c>
      <c r="F177" s="53" t="s">
        <v>213</v>
      </c>
      <c r="G177" s="54">
        <v>345</v>
      </c>
      <c r="H177" s="54"/>
      <c r="I177" s="54"/>
    </row>
    <row r="178" spans="2:9" ht="15.75" customHeight="1" x14ac:dyDescent="0.2">
      <c r="B178" s="50">
        <f t="shared" si="6"/>
        <v>172</v>
      </c>
      <c r="C178" s="51">
        <v>45258</v>
      </c>
      <c r="D178" s="57" t="s">
        <v>190</v>
      </c>
      <c r="E178" s="57" t="s">
        <v>22</v>
      </c>
      <c r="F178" s="53" t="s">
        <v>214</v>
      </c>
      <c r="G178" s="54">
        <v>340</v>
      </c>
      <c r="H178" s="54"/>
      <c r="I178" s="54"/>
    </row>
    <row r="179" spans="2:9" ht="15.75" customHeight="1" x14ac:dyDescent="0.2">
      <c r="B179" s="50">
        <f t="shared" si="6"/>
        <v>173</v>
      </c>
      <c r="C179" s="51">
        <v>45258</v>
      </c>
      <c r="D179" s="57" t="s">
        <v>190</v>
      </c>
      <c r="E179" s="57" t="s">
        <v>25</v>
      </c>
      <c r="F179" s="53" t="s">
        <v>104</v>
      </c>
      <c r="G179" s="54"/>
      <c r="H179" s="54">
        <v>-14</v>
      </c>
      <c r="I179" s="54"/>
    </row>
    <row r="180" spans="2:9" ht="15.75" customHeight="1" x14ac:dyDescent="0.2">
      <c r="B180" s="50">
        <f t="shared" si="6"/>
        <v>174</v>
      </c>
      <c r="C180" s="51">
        <v>45258</v>
      </c>
      <c r="D180" s="57" t="s">
        <v>190</v>
      </c>
      <c r="E180" s="57" t="s">
        <v>4</v>
      </c>
      <c r="F180" s="53" t="s">
        <v>215</v>
      </c>
      <c r="G180" s="54">
        <v>370</v>
      </c>
      <c r="H180" s="54"/>
      <c r="I180" s="54" t="s">
        <v>216</v>
      </c>
    </row>
    <row r="181" spans="2:9" ht="15.75" customHeight="1" x14ac:dyDescent="0.2">
      <c r="B181" s="50">
        <f t="shared" si="6"/>
        <v>175</v>
      </c>
      <c r="C181" s="51">
        <v>45260</v>
      </c>
      <c r="D181" s="57" t="s">
        <v>190</v>
      </c>
      <c r="E181" s="57" t="s">
        <v>11</v>
      </c>
      <c r="F181" s="53" t="s">
        <v>24</v>
      </c>
      <c r="G181" s="54">
        <v>282</v>
      </c>
      <c r="H181" s="54"/>
      <c r="I181" s="54" t="s">
        <v>217</v>
      </c>
    </row>
    <row r="182" spans="2:9" ht="15.75" customHeight="1" x14ac:dyDescent="0.2">
      <c r="B182" s="50">
        <f t="shared" si="6"/>
        <v>176</v>
      </c>
      <c r="C182" s="51">
        <v>45263</v>
      </c>
      <c r="D182" s="57" t="s">
        <v>218</v>
      </c>
      <c r="E182" s="57" t="s">
        <v>22</v>
      </c>
      <c r="F182" s="53" t="s">
        <v>219</v>
      </c>
      <c r="G182" s="54">
        <v>5</v>
      </c>
      <c r="H182" s="54"/>
      <c r="I182" s="54" t="s">
        <v>220</v>
      </c>
    </row>
    <row r="183" spans="2:9" ht="15.75" customHeight="1" x14ac:dyDescent="0.2">
      <c r="B183" s="50">
        <f t="shared" ref="B183:B189" si="7">B182+1</f>
        <v>177</v>
      </c>
      <c r="C183" s="51">
        <v>45267</v>
      </c>
      <c r="D183" s="57" t="s">
        <v>218</v>
      </c>
      <c r="E183" s="57" t="s">
        <v>11</v>
      </c>
      <c r="F183" s="53" t="s">
        <v>24</v>
      </c>
      <c r="G183" s="54">
        <v>308</v>
      </c>
      <c r="H183" s="54"/>
      <c r="I183" s="54" t="s">
        <v>221</v>
      </c>
    </row>
    <row r="184" spans="2:9" ht="15.75" customHeight="1" x14ac:dyDescent="0.2">
      <c r="B184" s="50">
        <f t="shared" si="7"/>
        <v>178</v>
      </c>
      <c r="C184" s="51">
        <v>45272</v>
      </c>
      <c r="D184" s="57" t="s">
        <v>218</v>
      </c>
      <c r="E184" s="57" t="s">
        <v>4</v>
      </c>
      <c r="F184" s="53" t="s">
        <v>222</v>
      </c>
      <c r="G184" s="54">
        <v>200</v>
      </c>
      <c r="H184" s="54"/>
      <c r="I184" s="54"/>
    </row>
    <row r="185" spans="2:9" ht="15.75" customHeight="1" x14ac:dyDescent="0.2">
      <c r="B185" s="50">
        <f t="shared" si="7"/>
        <v>179</v>
      </c>
      <c r="C185" s="51">
        <v>45272</v>
      </c>
      <c r="D185" s="57" t="s">
        <v>218</v>
      </c>
      <c r="E185" s="57" t="s">
        <v>4</v>
      </c>
      <c r="F185" s="53" t="s">
        <v>223</v>
      </c>
      <c r="G185" s="54">
        <v>10</v>
      </c>
      <c r="H185" s="54"/>
      <c r="I185" s="54"/>
    </row>
    <row r="186" spans="2:9" ht="15.75" customHeight="1" x14ac:dyDescent="0.2">
      <c r="B186" s="50">
        <f t="shared" si="7"/>
        <v>180</v>
      </c>
      <c r="C186" s="51">
        <v>45274</v>
      </c>
      <c r="D186" s="57" t="s">
        <v>218</v>
      </c>
      <c r="E186" s="57" t="s">
        <v>11</v>
      </c>
      <c r="F186" s="53" t="s">
        <v>24</v>
      </c>
      <c r="G186" s="54">
        <v>192</v>
      </c>
      <c r="H186" s="54"/>
      <c r="I186" s="54" t="s">
        <v>224</v>
      </c>
    </row>
    <row r="187" spans="2:9" ht="15.75" customHeight="1" x14ac:dyDescent="0.2">
      <c r="B187" s="50">
        <f t="shared" si="7"/>
        <v>181</v>
      </c>
      <c r="C187" s="51">
        <v>45275</v>
      </c>
      <c r="D187" s="57" t="s">
        <v>218</v>
      </c>
      <c r="E187" s="57" t="s">
        <v>14</v>
      </c>
      <c r="F187" s="53" t="s">
        <v>225</v>
      </c>
      <c r="G187" s="54"/>
      <c r="H187" s="54">
        <v>-55</v>
      </c>
      <c r="I187" s="54" t="s">
        <v>226</v>
      </c>
    </row>
    <row r="188" spans="2:9" ht="15.75" customHeight="1" x14ac:dyDescent="0.2">
      <c r="B188" s="50">
        <f t="shared" si="7"/>
        <v>182</v>
      </c>
      <c r="C188" s="51">
        <v>45275</v>
      </c>
      <c r="D188" s="57" t="s">
        <v>218</v>
      </c>
      <c r="E188" s="57" t="s">
        <v>14</v>
      </c>
      <c r="F188" s="53" t="s">
        <v>227</v>
      </c>
      <c r="G188" s="54"/>
      <c r="H188" s="54">
        <v>-30</v>
      </c>
      <c r="I188" s="54" t="s">
        <v>226</v>
      </c>
    </row>
    <row r="189" spans="2:9" ht="15.75" customHeight="1" x14ac:dyDescent="0.2">
      <c r="B189" s="50">
        <f t="shared" si="7"/>
        <v>183</v>
      </c>
      <c r="C189" s="51">
        <v>45281</v>
      </c>
      <c r="D189" s="57" t="s">
        <v>218</v>
      </c>
      <c r="E189" s="57" t="s">
        <v>11</v>
      </c>
      <c r="F189" s="53" t="s">
        <v>24</v>
      </c>
      <c r="G189" s="54">
        <v>263</v>
      </c>
      <c r="H189" s="54"/>
      <c r="I189" s="54" t="s">
        <v>228</v>
      </c>
    </row>
    <row r="190" spans="2:9" ht="15.75" customHeight="1" x14ac:dyDescent="0.2">
      <c r="B190" s="50">
        <f t="shared" ref="B190:B196" si="8">B189+1</f>
        <v>184</v>
      </c>
      <c r="C190" s="51">
        <v>45285</v>
      </c>
      <c r="D190" s="57" t="s">
        <v>218</v>
      </c>
      <c r="E190" s="57" t="s">
        <v>4</v>
      </c>
      <c r="F190" s="53" t="s">
        <v>223</v>
      </c>
      <c r="G190" s="54">
        <v>10</v>
      </c>
      <c r="H190" s="54"/>
      <c r="I190" s="54"/>
    </row>
    <row r="191" spans="2:9" ht="15.75" customHeight="1" x14ac:dyDescent="0.2">
      <c r="B191" s="50">
        <f t="shared" si="8"/>
        <v>185</v>
      </c>
      <c r="C191" s="51">
        <v>45286</v>
      </c>
      <c r="D191" s="57" t="s">
        <v>218</v>
      </c>
      <c r="E191" s="57" t="s">
        <v>14</v>
      </c>
      <c r="F191" s="53" t="s">
        <v>229</v>
      </c>
      <c r="G191" s="54"/>
      <c r="H191" s="54">
        <v>-1063</v>
      </c>
      <c r="I191" s="54"/>
    </row>
    <row r="192" spans="2:9" ht="15.75" customHeight="1" x14ac:dyDescent="0.2">
      <c r="B192" s="50">
        <f t="shared" si="8"/>
        <v>186</v>
      </c>
      <c r="C192" s="51">
        <v>45288</v>
      </c>
      <c r="D192" s="57" t="s">
        <v>218</v>
      </c>
      <c r="E192" s="57" t="s">
        <v>22</v>
      </c>
      <c r="F192" s="53" t="s">
        <v>230</v>
      </c>
      <c r="G192" s="54">
        <f>32*5</f>
        <v>160</v>
      </c>
      <c r="H192" s="54"/>
      <c r="I192" s="54"/>
    </row>
    <row r="193" spans="2:9" ht="15.75" customHeight="1" x14ac:dyDescent="0.2">
      <c r="B193" s="50">
        <f t="shared" si="8"/>
        <v>187</v>
      </c>
      <c r="C193" s="51">
        <v>45288</v>
      </c>
      <c r="D193" s="57" t="s">
        <v>218</v>
      </c>
      <c r="E193" s="57" t="s">
        <v>22</v>
      </c>
      <c r="F193" s="53" t="s">
        <v>231</v>
      </c>
      <c r="G193" s="54">
        <f>15*5</f>
        <v>75</v>
      </c>
      <c r="H193" s="54"/>
      <c r="I193" s="54"/>
    </row>
    <row r="194" spans="2:9" ht="15.75" customHeight="1" x14ac:dyDescent="0.2">
      <c r="B194" s="50">
        <f t="shared" si="8"/>
        <v>188</v>
      </c>
      <c r="C194" s="51">
        <v>45288</v>
      </c>
      <c r="D194" s="57" t="s">
        <v>218</v>
      </c>
      <c r="E194" s="57" t="s">
        <v>22</v>
      </c>
      <c r="F194" s="53" t="s">
        <v>3</v>
      </c>
      <c r="G194" s="54">
        <v>15</v>
      </c>
      <c r="H194" s="54"/>
      <c r="I194" s="54"/>
    </row>
    <row r="195" spans="2:9" ht="15.75" customHeight="1" x14ac:dyDescent="0.2">
      <c r="B195" s="50">
        <f t="shared" si="8"/>
        <v>189</v>
      </c>
      <c r="C195" s="51">
        <v>45291</v>
      </c>
      <c r="D195" s="57" t="s">
        <v>218</v>
      </c>
      <c r="E195" s="57" t="s">
        <v>14</v>
      </c>
      <c r="F195" s="53" t="s">
        <v>232</v>
      </c>
      <c r="G195" s="54"/>
      <c r="H195" s="54">
        <v>-500</v>
      </c>
      <c r="I195" s="54" t="s">
        <v>233</v>
      </c>
    </row>
    <row r="196" spans="2:9" ht="15.75" customHeight="1" x14ac:dyDescent="0.2">
      <c r="B196" s="50">
        <f t="shared" si="8"/>
        <v>190</v>
      </c>
      <c r="C196" s="51"/>
      <c r="D196" s="57"/>
      <c r="E196" s="57"/>
      <c r="F196" s="53"/>
      <c r="G196" s="54"/>
      <c r="H196" s="54"/>
      <c r="I196" s="54"/>
    </row>
    <row r="197" spans="2:9" ht="15.75" customHeight="1" x14ac:dyDescent="0.2">
      <c r="E197" s="86"/>
    </row>
    <row r="198" spans="2:9" ht="15.75" customHeight="1" x14ac:dyDescent="0.2">
      <c r="E198" s="86"/>
    </row>
    <row r="199" spans="2:9" ht="15.75" customHeight="1" x14ac:dyDescent="0.2">
      <c r="E199" s="86"/>
    </row>
    <row r="200" spans="2:9" ht="15.75" customHeight="1" x14ac:dyDescent="0.2">
      <c r="E200" s="86"/>
    </row>
    <row r="201" spans="2:9" ht="15.75" customHeight="1" x14ac:dyDescent="0.2">
      <c r="E201" s="86"/>
    </row>
    <row r="202" spans="2:9" ht="15.75" customHeight="1" x14ac:dyDescent="0.2">
      <c r="E202" s="86"/>
    </row>
    <row r="203" spans="2:9" ht="15.75" customHeight="1" x14ac:dyDescent="0.2">
      <c r="E203" s="86"/>
    </row>
    <row r="204" spans="2:9" ht="15.75" customHeight="1" x14ac:dyDescent="0.2">
      <c r="E204" s="86"/>
    </row>
    <row r="205" spans="2:9" ht="15.75" customHeight="1" x14ac:dyDescent="0.2">
      <c r="E205" s="86"/>
    </row>
    <row r="206" spans="2:9" ht="15.75" customHeight="1" x14ac:dyDescent="0.2">
      <c r="E206" s="86"/>
    </row>
    <row r="207" spans="2:9" ht="15.75" customHeight="1" x14ac:dyDescent="0.2">
      <c r="E207" s="86"/>
    </row>
    <row r="208" spans="2:9" ht="15.75" customHeight="1" x14ac:dyDescent="0.2">
      <c r="E208" s="86"/>
    </row>
    <row r="209" spans="5:5" ht="15.75" customHeight="1" x14ac:dyDescent="0.2">
      <c r="E209" s="86"/>
    </row>
    <row r="210" spans="5:5" ht="15.75" customHeight="1" x14ac:dyDescent="0.2">
      <c r="E210" s="86"/>
    </row>
    <row r="211" spans="5:5" ht="15.75" customHeight="1" x14ac:dyDescent="0.2">
      <c r="E211" s="86"/>
    </row>
    <row r="212" spans="5:5" ht="15.75" customHeight="1" x14ac:dyDescent="0.2">
      <c r="E212" s="86"/>
    </row>
    <row r="213" spans="5:5" ht="15.75" customHeight="1" x14ac:dyDescent="0.2">
      <c r="E213" s="86"/>
    </row>
    <row r="214" spans="5:5" ht="15.75" customHeight="1" x14ac:dyDescent="0.2">
      <c r="E214" s="86"/>
    </row>
    <row r="215" spans="5:5" ht="15.75" customHeight="1" x14ac:dyDescent="0.2"/>
    <row r="216" spans="5:5" ht="15.75" customHeight="1" x14ac:dyDescent="0.2"/>
    <row r="217" spans="5:5" ht="15.75" customHeight="1" x14ac:dyDescent="0.2"/>
    <row r="218" spans="5:5" ht="15.75" customHeight="1" x14ac:dyDescent="0.2"/>
    <row r="219" spans="5:5" ht="15.75" customHeight="1" x14ac:dyDescent="0.2"/>
    <row r="220" spans="5:5" ht="15.75" customHeight="1" x14ac:dyDescent="0.2"/>
    <row r="221" spans="5:5" ht="15.75" customHeight="1" x14ac:dyDescent="0.2"/>
    <row r="222" spans="5:5" ht="15.75" customHeight="1" x14ac:dyDescent="0.2"/>
    <row r="223" spans="5:5" ht="15.75" customHeight="1" x14ac:dyDescent="0.2"/>
    <row r="224" spans="5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sortState xmlns:xlrd2="http://schemas.microsoft.com/office/spreadsheetml/2017/richdata2" ref="AA2:AA7">
    <sortCondition ref="AA1:AA7"/>
  </sortState>
  <mergeCells count="5">
    <mergeCell ref="B5:E5"/>
    <mergeCell ref="K1:L1"/>
    <mergeCell ref="C2:I2"/>
    <mergeCell ref="C3:I3"/>
    <mergeCell ref="C4:I4"/>
  </mergeCells>
  <dataValidations count="3">
    <dataValidation type="decimal" operator="greaterThanOrEqual" allowBlank="1" showErrorMessage="1" sqref="G7:G10" xr:uid="{00000000-0002-0000-0000-000000000000}">
      <formula1>0</formula1>
    </dataValidation>
    <dataValidation type="decimal" operator="lessThanOrEqual" allowBlank="1" showErrorMessage="1" sqref="H7:H10" xr:uid="{00000000-0002-0000-0000-000001000000}">
      <formula1>0</formula1>
    </dataValidation>
    <dataValidation type="list" allowBlank="1" showInputMessage="1" showErrorMessage="1" sqref="E7:E197" xr:uid="{2FBB4FAC-E15D-4DFB-936D-4A2DBA6DED36}">
      <formula1>$AA$2:$AA$7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7BF5-B1BE-436E-92A9-ACCFB465E614}">
  <dimension ref="A1:C48"/>
  <sheetViews>
    <sheetView workbookViewId="0">
      <selection activeCell="H11" sqref="H11"/>
    </sheetView>
  </sheetViews>
  <sheetFormatPr baseColWidth="10" defaultColWidth="11.5546875" defaultRowHeight="15" x14ac:dyDescent="0.2"/>
  <cols>
    <col min="1" max="1" width="12" bestFit="1" customWidth="1"/>
    <col min="2" max="3" width="10.77734375" customWidth="1"/>
    <col min="4" max="5" width="4" bestFit="1" customWidth="1"/>
    <col min="6" max="12" width="5" bestFit="1" customWidth="1"/>
    <col min="13" max="13" width="6" bestFit="1" customWidth="1"/>
    <col min="14" max="14" width="9.5546875" bestFit="1" customWidth="1"/>
    <col min="15" max="15" width="11" bestFit="1" customWidth="1"/>
  </cols>
  <sheetData>
    <row r="1" spans="1:3" x14ac:dyDescent="0.2">
      <c r="A1" t="s">
        <v>5</v>
      </c>
    </row>
    <row r="2" spans="1:3" ht="15.75" x14ac:dyDescent="0.25">
      <c r="A2" s="90" t="s">
        <v>455</v>
      </c>
    </row>
    <row r="3" spans="1:3" ht="15.75" x14ac:dyDescent="0.25">
      <c r="A3" s="212">
        <f>MAX(CONTRUCCION_2024!C6:C197)</f>
        <v>45418</v>
      </c>
      <c r="B3" s="212"/>
      <c r="C3" s="212"/>
    </row>
    <row r="4" spans="1:3" x14ac:dyDescent="0.2">
      <c r="A4" s="98" t="s">
        <v>1</v>
      </c>
      <c r="B4" t="s">
        <v>235</v>
      </c>
    </row>
    <row r="5" spans="1:3" x14ac:dyDescent="0.2">
      <c r="B5" s="146" t="s">
        <v>538</v>
      </c>
      <c r="C5" s="145">
        <f>GETPIVOTDATA("INGRESOS",$A$6)+GETPIVOTDATA("EGRESOS",$A$6)</f>
        <v>1737</v>
      </c>
    </row>
    <row r="6" spans="1:3" x14ac:dyDescent="0.2">
      <c r="A6" s="98" t="s">
        <v>17</v>
      </c>
      <c r="B6" t="s">
        <v>238</v>
      </c>
      <c r="C6" t="s">
        <v>239</v>
      </c>
    </row>
    <row r="7" spans="1:3" x14ac:dyDescent="0.2">
      <c r="A7" s="12" t="s">
        <v>479</v>
      </c>
      <c r="B7" s="178">
        <v>16029</v>
      </c>
      <c r="C7" s="178"/>
    </row>
    <row r="8" spans="1:3" x14ac:dyDescent="0.2">
      <c r="A8" s="12" t="s">
        <v>481</v>
      </c>
      <c r="B8" s="178">
        <v>8782</v>
      </c>
      <c r="C8" s="178">
        <v>-12435</v>
      </c>
    </row>
    <row r="9" spans="1:3" x14ac:dyDescent="0.2">
      <c r="A9" s="12" t="s">
        <v>507</v>
      </c>
      <c r="B9" s="178">
        <v>6768</v>
      </c>
      <c r="C9" s="178">
        <v>-16894</v>
      </c>
    </row>
    <row r="10" spans="1:3" x14ac:dyDescent="0.2">
      <c r="A10" s="12" t="s">
        <v>524</v>
      </c>
      <c r="B10" s="178">
        <v>3607</v>
      </c>
      <c r="C10" s="178">
        <v>-2860</v>
      </c>
    </row>
    <row r="11" spans="1:3" x14ac:dyDescent="0.2">
      <c r="A11" s="12" t="s">
        <v>534</v>
      </c>
      <c r="B11" s="178">
        <v>460</v>
      </c>
      <c r="C11" s="178">
        <v>-1720</v>
      </c>
    </row>
    <row r="12" spans="1:3" x14ac:dyDescent="0.2">
      <c r="A12" s="12" t="s">
        <v>240</v>
      </c>
      <c r="B12" s="178">
        <v>35646</v>
      </c>
      <c r="C12" s="178">
        <v>-33909</v>
      </c>
    </row>
    <row r="23" spans="1:3" ht="15.75" x14ac:dyDescent="0.25">
      <c r="A23" s="229" t="s">
        <v>21</v>
      </c>
      <c r="B23" s="229"/>
      <c r="C23" s="229"/>
    </row>
    <row r="25" spans="1:3" x14ac:dyDescent="0.2">
      <c r="A25" s="126" t="s">
        <v>539</v>
      </c>
      <c r="B25" s="141"/>
      <c r="C25" s="131"/>
    </row>
    <row r="26" spans="1:3" x14ac:dyDescent="0.2">
      <c r="A26" s="126" t="s">
        <v>540</v>
      </c>
      <c r="B26" s="141"/>
      <c r="C26" s="131"/>
    </row>
    <row r="27" spans="1:3" x14ac:dyDescent="0.2">
      <c r="A27" s="126" t="s">
        <v>541</v>
      </c>
      <c r="B27" s="145"/>
      <c r="C27" s="131"/>
    </row>
    <row r="28" spans="1:3" x14ac:dyDescent="0.2">
      <c r="A28" s="126" t="s">
        <v>542</v>
      </c>
      <c r="B28" s="13"/>
      <c r="C28" s="134"/>
    </row>
    <row r="29" spans="1:3" x14ac:dyDescent="0.2">
      <c r="A29" s="126" t="s">
        <v>543</v>
      </c>
      <c r="B29" s="13"/>
      <c r="C29" s="13"/>
    </row>
    <row r="30" spans="1:3" x14ac:dyDescent="0.2">
      <c r="A30" s="126" t="s">
        <v>544</v>
      </c>
      <c r="B30" s="81"/>
      <c r="C30" s="13"/>
    </row>
    <row r="31" spans="1:3" ht="15.75" thickBot="1" x14ac:dyDescent="0.25">
      <c r="A31" s="136" t="s">
        <v>545</v>
      </c>
      <c r="B31" s="137"/>
      <c r="C31" s="138"/>
    </row>
    <row r="32" spans="1:3" ht="15.75" thickTop="1" x14ac:dyDescent="0.2">
      <c r="A32" s="126" t="s">
        <v>546</v>
      </c>
      <c r="B32" s="141">
        <v>58700</v>
      </c>
      <c r="C32" s="141"/>
    </row>
    <row r="33" spans="1:3" x14ac:dyDescent="0.2">
      <c r="A33" s="126" t="s">
        <v>547</v>
      </c>
      <c r="B33" s="141"/>
      <c r="C33" s="141">
        <f>-45287*2</f>
        <v>-90574</v>
      </c>
    </row>
    <row r="34" spans="1:3" x14ac:dyDescent="0.2">
      <c r="A34" s="126" t="s">
        <v>548</v>
      </c>
      <c r="B34" s="141"/>
      <c r="C34" s="141">
        <v>-52363</v>
      </c>
    </row>
    <row r="35" spans="1:3" x14ac:dyDescent="0.2">
      <c r="A35" s="126"/>
      <c r="B35" s="141"/>
      <c r="C35" s="141"/>
    </row>
    <row r="36" spans="1:3" x14ac:dyDescent="0.2">
      <c r="A36" s="126" t="s">
        <v>549</v>
      </c>
      <c r="B36" s="141">
        <f>8*3900</f>
        <v>31200</v>
      </c>
      <c r="C36" s="141"/>
    </row>
    <row r="37" spans="1:3" x14ac:dyDescent="0.2">
      <c r="A37" s="126" t="s">
        <v>550</v>
      </c>
      <c r="B37" s="141">
        <f>12*3900</f>
        <v>46800</v>
      </c>
      <c r="C37" s="141"/>
    </row>
    <row r="38" spans="1:3" x14ac:dyDescent="0.2">
      <c r="A38" s="126" t="s">
        <v>551</v>
      </c>
      <c r="B38" s="141">
        <f>2*3900</f>
        <v>7800</v>
      </c>
      <c r="C38" s="141"/>
    </row>
    <row r="39" spans="1:3" ht="15.75" thickBot="1" x14ac:dyDescent="0.25">
      <c r="B39" s="142">
        <f>SUM(B32:B38)</f>
        <v>144500</v>
      </c>
      <c r="C39" s="142">
        <f>SUM(C25:C34)</f>
        <v>-142937</v>
      </c>
    </row>
    <row r="40" spans="1:3" ht="16.5" thickTop="1" thickBot="1" x14ac:dyDescent="0.25">
      <c r="B40" s="143"/>
      <c r="C40" s="144">
        <f>B39+C39</f>
        <v>1563</v>
      </c>
    </row>
    <row r="41" spans="1:3" ht="15.75" thickBot="1" x14ac:dyDescent="0.25">
      <c r="A41" s="139"/>
      <c r="B41" s="137"/>
      <c r="C41" s="140"/>
    </row>
    <row r="42" spans="1:3" ht="15.75" thickTop="1" x14ac:dyDescent="0.2">
      <c r="B42" s="81"/>
      <c r="C42" s="135"/>
    </row>
    <row r="43" spans="1:3" x14ac:dyDescent="0.2">
      <c r="A43" s="37" t="s">
        <v>552</v>
      </c>
      <c r="B43" s="37"/>
      <c r="C43" s="135"/>
    </row>
    <row r="44" spans="1:3" x14ac:dyDescent="0.2">
      <c r="A44" s="37" t="s">
        <v>553</v>
      </c>
      <c r="B44" s="17"/>
      <c r="C44" s="17"/>
    </row>
    <row r="45" spans="1:3" x14ac:dyDescent="0.2">
      <c r="A45" s="81" t="s">
        <v>554</v>
      </c>
    </row>
    <row r="46" spans="1:3" x14ac:dyDescent="0.2">
      <c r="A46" s="81" t="s">
        <v>555</v>
      </c>
    </row>
    <row r="47" spans="1:3" ht="15.75" thickBot="1" x14ac:dyDescent="0.25">
      <c r="A47" s="139"/>
      <c r="B47" s="139"/>
      <c r="C47" s="139"/>
    </row>
    <row r="48" spans="1:3" ht="15.75" thickTop="1" x14ac:dyDescent="0.2"/>
  </sheetData>
  <mergeCells count="2">
    <mergeCell ref="A3:C3"/>
    <mergeCell ref="A23:C23"/>
  </mergeCells>
  <pageMargins left="3.937007874015748E-2" right="3.937007874015748E-2" top="0.74803149606299213" bottom="0.74803149606299213" header="0.31496062992125984" footer="0.31496062992125984"/>
  <pageSetup paperSize="2833" scale="70" orientation="portrait" horizontalDpi="203" verticalDpi="203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BA72-32C1-4AB4-904D-4EF6FCDF8A70}">
  <sheetPr>
    <pageSetUpPr fitToPage="1"/>
  </sheetPr>
  <dimension ref="B1:AA876"/>
  <sheetViews>
    <sheetView showGridLines="0" workbookViewId="0">
      <pane ySplit="6" topLeftCell="A16" activePane="bottomLeft" state="frozen"/>
      <selection pane="bottomLeft" activeCell="K7" sqref="K7:M27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23.77734375" customWidth="1"/>
    <col min="7" max="8" width="12.77734375" customWidth="1"/>
    <col min="9" max="9" width="21" customWidth="1"/>
    <col min="10" max="10" width="1.88671875" customWidth="1"/>
    <col min="11" max="11" width="13.77734375" customWidth="1"/>
    <col min="12" max="13" width="12.77734375" customWidth="1"/>
    <col min="27" max="27" width="13.77734375" customWidth="1"/>
  </cols>
  <sheetData>
    <row r="1" spans="2:27" ht="15" customHeight="1" thickBot="1" x14ac:dyDescent="0.3">
      <c r="B1" s="18"/>
      <c r="C1" s="68"/>
      <c r="D1" s="17"/>
      <c r="E1" s="17"/>
      <c r="F1" s="17"/>
      <c r="G1" s="17"/>
      <c r="H1" s="17"/>
      <c r="I1" s="17"/>
      <c r="J1" s="32"/>
      <c r="K1" s="202" t="s">
        <v>0</v>
      </c>
      <c r="L1" s="202"/>
      <c r="M1" s="19"/>
      <c r="AA1" s="48" t="s">
        <v>1</v>
      </c>
    </row>
    <row r="2" spans="2:27" ht="23.25" x14ac:dyDescent="0.35">
      <c r="B2" s="62"/>
      <c r="C2" s="203" t="s">
        <v>2</v>
      </c>
      <c r="D2" s="204"/>
      <c r="E2" s="204"/>
      <c r="F2" s="204"/>
      <c r="G2" s="204"/>
      <c r="H2" s="204"/>
      <c r="I2" s="205"/>
      <c r="J2" s="17"/>
      <c r="K2" s="17"/>
      <c r="L2" s="1">
        <f>SUMIF(Flujo_SJTC2[[#All],[CATEGORIA]],"0_OSTIA",Flujo_SJTC2[[#All],[INGRESO]:[EGRESO]])+SUMIF(Flujo_SJTC2[[#All],[CATEGORIA]],"0_APORTACION",Flujo_SJTC2[[#All],[INGRESO]])</f>
        <v>0</v>
      </c>
      <c r="M2" s="21"/>
      <c r="AA2" s="49" t="s">
        <v>4</v>
      </c>
    </row>
    <row r="3" spans="2:27" ht="23.25" x14ac:dyDescent="0.35">
      <c r="B3" s="63"/>
      <c r="C3" s="206" t="s">
        <v>5</v>
      </c>
      <c r="D3" s="207"/>
      <c r="E3" s="207"/>
      <c r="F3" s="207"/>
      <c r="G3" s="207"/>
      <c r="H3" s="207"/>
      <c r="I3" s="208"/>
      <c r="J3" s="17"/>
      <c r="K3" s="17"/>
      <c r="L3" s="1">
        <f>SUMIF(Flujo_SJTC2[[#All],[CATEGORIA]],"4_VENTA",Flujo_SJTC2[[#All],[INGRESO]])+SUMIF(Flujo_SJTC2[[#All],[CATEGORIA]],"5_COMPRA",Flujo_SJTC2[[#All],[EGRESO]])</f>
        <v>0</v>
      </c>
      <c r="M3" s="21"/>
      <c r="AA3" s="49" t="s">
        <v>556</v>
      </c>
    </row>
    <row r="4" spans="2:27" ht="18.75" thickBot="1" x14ac:dyDescent="0.3">
      <c r="B4" s="64"/>
      <c r="C4" s="209" t="s">
        <v>557</v>
      </c>
      <c r="D4" s="210"/>
      <c r="E4" s="210"/>
      <c r="F4" s="210"/>
      <c r="G4" s="210"/>
      <c r="H4" s="210"/>
      <c r="I4" s="211"/>
      <c r="J4" s="17"/>
      <c r="K4" s="17" t="s">
        <v>558</v>
      </c>
      <c r="L4" s="1">
        <f>SUMIF(Flujo_SJTC2[[#All],[CATEGORIA]],"2_INGRESO",Flujo_SJTC2[[#All],[INGRESO]])+SUMIF(Flujo_SJTC2[[#All],[CATEGORIA]],"3_EGRESO",Flujo_SJTC2[[#All],[EGRESO]])</f>
        <v>0</v>
      </c>
      <c r="M4" s="21"/>
      <c r="O4">
        <v>3185.5</v>
      </c>
      <c r="AA4" s="49" t="s">
        <v>11</v>
      </c>
    </row>
    <row r="5" spans="2:27" ht="16.5" thickBot="1" x14ac:dyDescent="0.3">
      <c r="B5" s="107"/>
      <c r="C5" s="199">
        <f>MAX(FIESTA_2023!$C$7:$C$145)</f>
        <v>45229</v>
      </c>
      <c r="D5" s="230"/>
      <c r="E5" s="231"/>
      <c r="F5" s="65" t="s">
        <v>12</v>
      </c>
      <c r="G5" s="66">
        <f>SUBTOTAL(9,$G$7:$G$3248)</f>
        <v>14697</v>
      </c>
      <c r="H5" s="66">
        <f>SUBTOTAL(9,$H$7:$H$3248)</f>
        <v>-14697</v>
      </c>
      <c r="I5" s="67">
        <f>G5+H5</f>
        <v>0</v>
      </c>
      <c r="J5" s="20"/>
      <c r="K5" s="15" t="s">
        <v>13</v>
      </c>
      <c r="L5" s="16">
        <f>SUM(L2:L4)</f>
        <v>0</v>
      </c>
      <c r="M5" s="22"/>
      <c r="AA5" s="49" t="s">
        <v>14</v>
      </c>
    </row>
    <row r="6" spans="2:27" ht="15.75" thickBot="1" x14ac:dyDescent="0.25">
      <c r="B6" s="2" t="s">
        <v>15</v>
      </c>
      <c r="C6" s="3" t="s">
        <v>16</v>
      </c>
      <c r="D6" s="4" t="s">
        <v>17</v>
      </c>
      <c r="E6" s="4" t="s">
        <v>1</v>
      </c>
      <c r="F6" s="5" t="s">
        <v>18</v>
      </c>
      <c r="G6" s="6" t="s">
        <v>19</v>
      </c>
      <c r="H6" s="6" t="s">
        <v>20</v>
      </c>
      <c r="I6" s="5" t="s">
        <v>21</v>
      </c>
      <c r="J6" s="100" t="s">
        <v>559</v>
      </c>
      <c r="K6" s="44"/>
      <c r="L6" s="44">
        <f>L5-K6</f>
        <v>0</v>
      </c>
      <c r="M6" s="25"/>
      <c r="AA6" s="49" t="s">
        <v>22</v>
      </c>
    </row>
    <row r="7" spans="2:27" ht="15.75" x14ac:dyDescent="0.25">
      <c r="B7" s="50">
        <f t="shared" ref="B7:B39" si="0">B6+1</f>
        <v>1</v>
      </c>
      <c r="C7" s="51">
        <v>45201</v>
      </c>
      <c r="D7" s="52" t="s">
        <v>159</v>
      </c>
      <c r="E7" s="53" t="s">
        <v>11</v>
      </c>
      <c r="F7" s="53" t="s">
        <v>560</v>
      </c>
      <c r="G7" s="54">
        <v>6468.5</v>
      </c>
      <c r="H7" s="54"/>
      <c r="I7" s="54"/>
      <c r="J7" s="99">
        <v>1</v>
      </c>
      <c r="K7" s="223" t="s">
        <v>558</v>
      </c>
      <c r="L7" s="223"/>
      <c r="M7" s="223"/>
      <c r="AA7" s="49" t="s">
        <v>25</v>
      </c>
    </row>
    <row r="8" spans="2:27" x14ac:dyDescent="0.2">
      <c r="B8" s="50">
        <f t="shared" si="0"/>
        <v>2</v>
      </c>
      <c r="C8" s="51">
        <v>45204</v>
      </c>
      <c r="D8" s="52" t="s">
        <v>159</v>
      </c>
      <c r="E8" s="53" t="s">
        <v>11</v>
      </c>
      <c r="F8" s="53" t="s">
        <v>561</v>
      </c>
      <c r="G8" s="54">
        <v>50</v>
      </c>
      <c r="H8" s="54"/>
      <c r="I8" s="54" t="s">
        <v>562</v>
      </c>
      <c r="J8" s="99">
        <v>2</v>
      </c>
      <c r="K8" s="222">
        <v>45229</v>
      </c>
      <c r="L8" s="222"/>
      <c r="M8" s="222"/>
    </row>
    <row r="9" spans="2:27" x14ac:dyDescent="0.2">
      <c r="B9" s="50">
        <f t="shared" si="0"/>
        <v>3</v>
      </c>
      <c r="C9" s="51">
        <v>45204</v>
      </c>
      <c r="D9" s="52" t="s">
        <v>159</v>
      </c>
      <c r="E9" s="53" t="s">
        <v>11</v>
      </c>
      <c r="F9" s="53" t="s">
        <v>563</v>
      </c>
      <c r="G9" s="54">
        <v>100</v>
      </c>
      <c r="H9" s="54"/>
      <c r="I9" s="54" t="s">
        <v>562</v>
      </c>
      <c r="J9" s="99">
        <v>2</v>
      </c>
      <c r="K9" s="93" t="s">
        <v>18</v>
      </c>
      <c r="L9" s="94" t="s">
        <v>19</v>
      </c>
      <c r="M9" s="94" t="s">
        <v>20</v>
      </c>
    </row>
    <row r="10" spans="2:27" x14ac:dyDescent="0.2">
      <c r="B10" s="50">
        <f t="shared" si="0"/>
        <v>4</v>
      </c>
      <c r="C10" s="51">
        <v>45206</v>
      </c>
      <c r="D10" s="52" t="s">
        <v>159</v>
      </c>
      <c r="E10" s="53" t="s">
        <v>14</v>
      </c>
      <c r="F10" s="53" t="s">
        <v>564</v>
      </c>
      <c r="G10" s="54"/>
      <c r="H10" s="54">
        <v>-300</v>
      </c>
      <c r="I10" s="54"/>
      <c r="J10" s="99" t="s">
        <v>565</v>
      </c>
      <c r="K10" s="95" t="s">
        <v>566</v>
      </c>
      <c r="L10" s="96">
        <v>6468.5</v>
      </c>
      <c r="M10" s="96"/>
    </row>
    <row r="11" spans="2:27" x14ac:dyDescent="0.2">
      <c r="B11" s="50">
        <f t="shared" si="0"/>
        <v>5</v>
      </c>
      <c r="C11" s="51">
        <v>45206</v>
      </c>
      <c r="D11" s="52" t="s">
        <v>159</v>
      </c>
      <c r="E11" s="53" t="s">
        <v>14</v>
      </c>
      <c r="F11" s="53" t="s">
        <v>567</v>
      </c>
      <c r="G11" s="54"/>
      <c r="H11" s="54">
        <v>-100</v>
      </c>
      <c r="I11" s="54"/>
      <c r="J11" s="99" t="s">
        <v>565</v>
      </c>
      <c r="K11" s="95" t="s">
        <v>568</v>
      </c>
      <c r="L11" s="96">
        <v>4501.5</v>
      </c>
      <c r="M11" s="96"/>
    </row>
    <row r="12" spans="2:27" x14ac:dyDescent="0.2">
      <c r="B12" s="50">
        <f t="shared" si="0"/>
        <v>6</v>
      </c>
      <c r="C12" s="51">
        <v>45209</v>
      </c>
      <c r="D12" s="52" t="s">
        <v>159</v>
      </c>
      <c r="E12" s="53" t="s">
        <v>11</v>
      </c>
      <c r="F12" s="53" t="s">
        <v>75</v>
      </c>
      <c r="G12" s="54">
        <v>200</v>
      </c>
      <c r="H12" s="54"/>
      <c r="I12" s="54" t="s">
        <v>562</v>
      </c>
      <c r="J12" s="99">
        <v>2</v>
      </c>
      <c r="K12" s="95" t="s">
        <v>569</v>
      </c>
      <c r="L12" s="96">
        <v>1227</v>
      </c>
      <c r="M12" s="96"/>
    </row>
    <row r="13" spans="2:27" x14ac:dyDescent="0.2">
      <c r="B13" s="50">
        <f t="shared" si="0"/>
        <v>7</v>
      </c>
      <c r="C13" s="51">
        <v>45209</v>
      </c>
      <c r="D13" s="52" t="s">
        <v>159</v>
      </c>
      <c r="E13" s="53" t="s">
        <v>14</v>
      </c>
      <c r="F13" s="53" t="s">
        <v>570</v>
      </c>
      <c r="G13" s="54"/>
      <c r="H13" s="54">
        <v>-150</v>
      </c>
      <c r="I13" s="54"/>
      <c r="J13" s="99" t="s">
        <v>565</v>
      </c>
      <c r="K13" s="95" t="s">
        <v>571</v>
      </c>
      <c r="L13" s="96">
        <v>2500</v>
      </c>
      <c r="M13" s="96"/>
    </row>
    <row r="14" spans="2:27" x14ac:dyDescent="0.2">
      <c r="B14" s="50">
        <f t="shared" si="0"/>
        <v>8</v>
      </c>
      <c r="C14" s="51">
        <v>45211</v>
      </c>
      <c r="D14" s="52" t="s">
        <v>159</v>
      </c>
      <c r="E14" s="53" t="s">
        <v>11</v>
      </c>
      <c r="F14" s="53" t="s">
        <v>563</v>
      </c>
      <c r="G14" s="54">
        <v>100</v>
      </c>
      <c r="H14" s="54"/>
      <c r="I14" s="54" t="s">
        <v>562</v>
      </c>
      <c r="J14" s="99">
        <v>2</v>
      </c>
      <c r="K14" s="95"/>
      <c r="L14" s="96"/>
      <c r="M14" s="96"/>
    </row>
    <row r="15" spans="2:27" ht="15" customHeight="1" x14ac:dyDescent="0.2">
      <c r="B15" s="50">
        <f t="shared" si="0"/>
        <v>9</v>
      </c>
      <c r="C15" s="51">
        <v>45211</v>
      </c>
      <c r="D15" s="52" t="s">
        <v>159</v>
      </c>
      <c r="E15" s="53" t="s">
        <v>11</v>
      </c>
      <c r="F15" s="53" t="s">
        <v>572</v>
      </c>
      <c r="G15" s="54">
        <v>45</v>
      </c>
      <c r="H15" s="54"/>
      <c r="I15" s="54" t="s">
        <v>573</v>
      </c>
      <c r="J15" s="99">
        <v>2</v>
      </c>
      <c r="K15" s="95" t="s">
        <v>574</v>
      </c>
      <c r="L15" s="96"/>
      <c r="M15" s="96">
        <v>-5494</v>
      </c>
    </row>
    <row r="16" spans="2:27" ht="15" customHeight="1" x14ac:dyDescent="0.2">
      <c r="B16" s="50">
        <f t="shared" si="0"/>
        <v>10</v>
      </c>
      <c r="C16" s="51">
        <v>45214</v>
      </c>
      <c r="D16" s="52" t="s">
        <v>159</v>
      </c>
      <c r="E16" s="53" t="s">
        <v>11</v>
      </c>
      <c r="F16" s="53" t="s">
        <v>575</v>
      </c>
      <c r="G16" s="54">
        <v>200</v>
      </c>
      <c r="H16" s="54"/>
      <c r="I16" s="54" t="s">
        <v>576</v>
      </c>
      <c r="J16" s="99">
        <v>3</v>
      </c>
      <c r="K16" s="95" t="s">
        <v>577</v>
      </c>
      <c r="L16" s="96"/>
      <c r="M16" s="96">
        <f>-1254-35</f>
        <v>-1289</v>
      </c>
    </row>
    <row r="17" spans="2:13" ht="15" customHeight="1" x14ac:dyDescent="0.2">
      <c r="B17" s="50">
        <f t="shared" si="0"/>
        <v>11</v>
      </c>
      <c r="C17" s="51">
        <v>45216</v>
      </c>
      <c r="D17" s="52" t="s">
        <v>159</v>
      </c>
      <c r="E17" s="53" t="s">
        <v>14</v>
      </c>
      <c r="F17" s="53" t="s">
        <v>578</v>
      </c>
      <c r="G17" s="54"/>
      <c r="H17" s="54">
        <v>-70</v>
      </c>
      <c r="I17" s="54"/>
      <c r="J17" s="99" t="s">
        <v>385</v>
      </c>
      <c r="K17" s="95"/>
      <c r="L17" s="96"/>
      <c r="M17" s="96"/>
    </row>
    <row r="18" spans="2:13" ht="15.75" customHeight="1" x14ac:dyDescent="0.2">
      <c r="B18" s="50">
        <f t="shared" si="0"/>
        <v>12</v>
      </c>
      <c r="C18" s="51">
        <v>45216</v>
      </c>
      <c r="D18" s="52" t="s">
        <v>159</v>
      </c>
      <c r="E18" s="53" t="s">
        <v>14</v>
      </c>
      <c r="F18" s="53" t="s">
        <v>579</v>
      </c>
      <c r="G18" s="54"/>
      <c r="H18" s="54">
        <v>-424</v>
      </c>
      <c r="I18" s="54" t="s">
        <v>580</v>
      </c>
      <c r="J18" s="99" t="s">
        <v>385</v>
      </c>
      <c r="K18" s="95" t="s">
        <v>581</v>
      </c>
      <c r="L18" s="96"/>
      <c r="M18" s="96">
        <v>-1800</v>
      </c>
    </row>
    <row r="19" spans="2:13" ht="15.75" customHeight="1" x14ac:dyDescent="0.2">
      <c r="B19" s="50">
        <f t="shared" si="0"/>
        <v>13</v>
      </c>
      <c r="C19" s="51">
        <v>45217</v>
      </c>
      <c r="D19" s="52" t="s">
        <v>159</v>
      </c>
      <c r="E19" s="53" t="s">
        <v>11</v>
      </c>
      <c r="F19" s="53" t="s">
        <v>582</v>
      </c>
      <c r="G19" s="54">
        <v>2500</v>
      </c>
      <c r="H19" s="54"/>
      <c r="I19" s="54" t="s">
        <v>583</v>
      </c>
      <c r="J19" s="99">
        <v>4</v>
      </c>
      <c r="K19" s="95" t="s">
        <v>584</v>
      </c>
      <c r="L19" s="96"/>
      <c r="M19" s="96">
        <v>-1300</v>
      </c>
    </row>
    <row r="20" spans="2:13" ht="15.75" customHeight="1" x14ac:dyDescent="0.2">
      <c r="B20" s="50">
        <f t="shared" si="0"/>
        <v>14</v>
      </c>
      <c r="C20" s="51">
        <v>45217</v>
      </c>
      <c r="D20" s="52" t="s">
        <v>159</v>
      </c>
      <c r="E20" s="53" t="s">
        <v>14</v>
      </c>
      <c r="F20" s="53" t="s">
        <v>585</v>
      </c>
      <c r="G20" s="54"/>
      <c r="H20" s="54">
        <v>-5000</v>
      </c>
      <c r="I20" s="54" t="s">
        <v>586</v>
      </c>
      <c r="J20" s="99" t="s">
        <v>385</v>
      </c>
      <c r="K20" s="95" t="s">
        <v>587</v>
      </c>
      <c r="L20" s="96"/>
      <c r="M20" s="96">
        <v>-1200</v>
      </c>
    </row>
    <row r="21" spans="2:13" ht="15.75" customHeight="1" x14ac:dyDescent="0.2">
      <c r="B21" s="50">
        <f t="shared" si="0"/>
        <v>15</v>
      </c>
      <c r="C21" s="51">
        <v>45221</v>
      </c>
      <c r="D21" s="52" t="s">
        <v>159</v>
      </c>
      <c r="E21" s="53" t="s">
        <v>11</v>
      </c>
      <c r="F21" s="53" t="s">
        <v>588</v>
      </c>
      <c r="G21" s="54">
        <v>540.5</v>
      </c>
      <c r="H21" s="54"/>
      <c r="I21" s="54" t="s">
        <v>589</v>
      </c>
      <c r="J21" s="99">
        <v>2</v>
      </c>
      <c r="K21" s="95"/>
      <c r="L21" s="96"/>
      <c r="M21" s="96"/>
    </row>
    <row r="22" spans="2:13" ht="15.75" customHeight="1" x14ac:dyDescent="0.2">
      <c r="B22" s="50">
        <f t="shared" si="0"/>
        <v>16</v>
      </c>
      <c r="C22" s="51">
        <v>45221</v>
      </c>
      <c r="D22" s="52" t="s">
        <v>159</v>
      </c>
      <c r="E22" s="53" t="s">
        <v>11</v>
      </c>
      <c r="F22" s="53" t="s">
        <v>590</v>
      </c>
      <c r="G22" s="54">
        <v>1027</v>
      </c>
      <c r="H22" s="54"/>
      <c r="I22" s="54" t="s">
        <v>576</v>
      </c>
      <c r="J22" s="99">
        <v>3</v>
      </c>
      <c r="K22" s="95" t="s">
        <v>591</v>
      </c>
      <c r="L22" s="96"/>
      <c r="M22" s="96">
        <v>-3614</v>
      </c>
    </row>
    <row r="23" spans="2:13" ht="15.75" customHeight="1" x14ac:dyDescent="0.2">
      <c r="B23" s="50">
        <f t="shared" si="0"/>
        <v>17</v>
      </c>
      <c r="C23" s="51">
        <v>45221</v>
      </c>
      <c r="D23" s="52" t="s">
        <v>159</v>
      </c>
      <c r="E23" s="53" t="s">
        <v>11</v>
      </c>
      <c r="F23" s="53" t="s">
        <v>592</v>
      </c>
      <c r="G23" s="54">
        <v>2000</v>
      </c>
      <c r="H23" s="54"/>
      <c r="I23" s="54" t="s">
        <v>593</v>
      </c>
      <c r="J23" s="99">
        <v>2</v>
      </c>
      <c r="K23" s="95"/>
      <c r="L23" s="96"/>
      <c r="M23" s="96"/>
    </row>
    <row r="24" spans="2:13" ht="15.75" customHeight="1" x14ac:dyDescent="0.2">
      <c r="B24" s="50">
        <f t="shared" si="0"/>
        <v>18</v>
      </c>
      <c r="C24" s="51">
        <v>45222</v>
      </c>
      <c r="D24" s="52" t="s">
        <v>159</v>
      </c>
      <c r="E24" s="53" t="s">
        <v>11</v>
      </c>
      <c r="F24" s="53" t="s">
        <v>588</v>
      </c>
      <c r="G24" s="54">
        <v>506</v>
      </c>
      <c r="H24" s="54"/>
      <c r="I24" s="54" t="s">
        <v>589</v>
      </c>
      <c r="J24" s="99">
        <v>2</v>
      </c>
      <c r="K24" s="95"/>
      <c r="L24" s="96"/>
      <c r="M24" s="96"/>
    </row>
    <row r="25" spans="2:13" ht="15.75" customHeight="1" x14ac:dyDescent="0.2">
      <c r="B25" s="50">
        <f t="shared" si="0"/>
        <v>19</v>
      </c>
      <c r="C25" s="51">
        <v>45222</v>
      </c>
      <c r="D25" s="52" t="s">
        <v>159</v>
      </c>
      <c r="E25" s="53" t="s">
        <v>11</v>
      </c>
      <c r="F25" s="53" t="s">
        <v>75</v>
      </c>
      <c r="G25" s="54">
        <v>150</v>
      </c>
      <c r="H25" s="54"/>
      <c r="I25" s="54" t="s">
        <v>562</v>
      </c>
      <c r="J25" s="99">
        <v>2</v>
      </c>
      <c r="K25" s="95"/>
      <c r="L25" s="96"/>
      <c r="M25" s="96"/>
    </row>
    <row r="26" spans="2:13" ht="15.75" customHeight="1" x14ac:dyDescent="0.2">
      <c r="B26" s="50">
        <f t="shared" si="0"/>
        <v>20</v>
      </c>
      <c r="C26" s="51">
        <v>45223</v>
      </c>
      <c r="D26" s="52" t="s">
        <v>159</v>
      </c>
      <c r="E26" s="53" t="s">
        <v>11</v>
      </c>
      <c r="F26" s="53" t="s">
        <v>75</v>
      </c>
      <c r="G26" s="54">
        <v>10</v>
      </c>
      <c r="H26" s="54"/>
      <c r="I26" s="54"/>
      <c r="J26" s="99">
        <v>2</v>
      </c>
      <c r="K26" s="97" t="s">
        <v>13</v>
      </c>
      <c r="L26" s="96">
        <f>SUM(L10:L25)</f>
        <v>14697</v>
      </c>
      <c r="M26" s="96">
        <f>SUM(M11:M25)</f>
        <v>-14697</v>
      </c>
    </row>
    <row r="27" spans="2:13" ht="15.75" customHeight="1" x14ac:dyDescent="0.2">
      <c r="B27" s="50">
        <f t="shared" si="0"/>
        <v>21</v>
      </c>
      <c r="C27" s="51">
        <v>45223</v>
      </c>
      <c r="D27" s="52" t="s">
        <v>159</v>
      </c>
      <c r="E27" s="53" t="s">
        <v>14</v>
      </c>
      <c r="F27" s="53" t="s">
        <v>594</v>
      </c>
      <c r="G27" s="54"/>
      <c r="H27" s="54">
        <f>-297-11</f>
        <v>-308</v>
      </c>
      <c r="I27" s="54"/>
      <c r="J27" s="99" t="s">
        <v>565</v>
      </c>
      <c r="K27" s="97" t="s">
        <v>595</v>
      </c>
      <c r="L27" s="96"/>
      <c r="M27" s="96">
        <f>+L26+M26</f>
        <v>0</v>
      </c>
    </row>
    <row r="28" spans="2:13" ht="15.75" customHeight="1" x14ac:dyDescent="0.2">
      <c r="B28" s="50">
        <f t="shared" si="0"/>
        <v>22</v>
      </c>
      <c r="C28" s="51">
        <v>45225</v>
      </c>
      <c r="D28" s="52" t="s">
        <v>159</v>
      </c>
      <c r="E28" s="53" t="s">
        <v>11</v>
      </c>
      <c r="F28" s="53" t="s">
        <v>582</v>
      </c>
      <c r="G28" s="54">
        <v>500</v>
      </c>
      <c r="H28" s="54"/>
      <c r="I28" s="54"/>
      <c r="J28" s="99">
        <v>2</v>
      </c>
    </row>
    <row r="29" spans="2:13" ht="15.75" customHeight="1" x14ac:dyDescent="0.2">
      <c r="B29" s="50">
        <f t="shared" si="0"/>
        <v>23</v>
      </c>
      <c r="C29" s="51">
        <v>45225</v>
      </c>
      <c r="D29" s="52" t="s">
        <v>159</v>
      </c>
      <c r="E29" s="53" t="s">
        <v>11</v>
      </c>
      <c r="F29" s="53" t="s">
        <v>563</v>
      </c>
      <c r="G29" s="54">
        <v>100</v>
      </c>
      <c r="H29" s="54"/>
      <c r="I29" s="54"/>
      <c r="J29" s="99">
        <v>2</v>
      </c>
    </row>
    <row r="30" spans="2:13" ht="15.75" customHeight="1" x14ac:dyDescent="0.2">
      <c r="B30" s="50">
        <f t="shared" si="0"/>
        <v>24</v>
      </c>
      <c r="C30" s="51">
        <v>45226</v>
      </c>
      <c r="D30" s="52" t="s">
        <v>159</v>
      </c>
      <c r="E30" s="53" t="s">
        <v>14</v>
      </c>
      <c r="F30" s="53" t="s">
        <v>596</v>
      </c>
      <c r="G30" s="54"/>
      <c r="H30" s="54">
        <v>-46</v>
      </c>
      <c r="I30" s="54"/>
      <c r="J30" s="99" t="s">
        <v>565</v>
      </c>
    </row>
    <row r="31" spans="2:13" ht="15.75" customHeight="1" x14ac:dyDescent="0.2">
      <c r="B31" s="50">
        <f t="shared" si="0"/>
        <v>25</v>
      </c>
      <c r="C31" s="51">
        <v>45226</v>
      </c>
      <c r="D31" s="52" t="s">
        <v>159</v>
      </c>
      <c r="E31" s="53" t="s">
        <v>14</v>
      </c>
      <c r="F31" s="53" t="s">
        <v>47</v>
      </c>
      <c r="G31" s="54"/>
      <c r="H31" s="54">
        <v>-1800</v>
      </c>
      <c r="I31" s="54"/>
      <c r="J31" s="99" t="s">
        <v>387</v>
      </c>
    </row>
    <row r="32" spans="2:13" ht="15.75" customHeight="1" x14ac:dyDescent="0.2">
      <c r="B32" s="50">
        <f t="shared" si="0"/>
        <v>26</v>
      </c>
      <c r="C32" s="51">
        <v>45226</v>
      </c>
      <c r="D32" s="52" t="s">
        <v>159</v>
      </c>
      <c r="E32" s="53" t="s">
        <v>14</v>
      </c>
      <c r="F32" s="53" t="s">
        <v>597</v>
      </c>
      <c r="G32" s="54"/>
      <c r="H32" s="54">
        <v>-350</v>
      </c>
      <c r="I32" s="54"/>
      <c r="J32" s="99" t="s">
        <v>565</v>
      </c>
    </row>
    <row r="33" spans="2:10" ht="15.75" customHeight="1" x14ac:dyDescent="0.2">
      <c r="B33" s="50">
        <f t="shared" si="0"/>
        <v>27</v>
      </c>
      <c r="C33" s="51">
        <v>45227</v>
      </c>
      <c r="D33" s="52" t="s">
        <v>159</v>
      </c>
      <c r="E33" s="53" t="s">
        <v>11</v>
      </c>
      <c r="F33" s="53" t="s">
        <v>582</v>
      </c>
      <c r="G33" s="54">
        <v>100</v>
      </c>
      <c r="H33" s="54"/>
      <c r="I33" s="54"/>
      <c r="J33" s="99">
        <v>2</v>
      </c>
    </row>
    <row r="34" spans="2:10" ht="15.75" customHeight="1" x14ac:dyDescent="0.2">
      <c r="B34" s="50">
        <f t="shared" si="0"/>
        <v>28</v>
      </c>
      <c r="C34" s="51">
        <v>45227</v>
      </c>
      <c r="D34" s="52" t="s">
        <v>159</v>
      </c>
      <c r="E34" s="53" t="s">
        <v>14</v>
      </c>
      <c r="F34" s="53" t="s">
        <v>598</v>
      </c>
      <c r="G34" s="54"/>
      <c r="H34" s="54">
        <v>-500</v>
      </c>
      <c r="I34" s="54"/>
      <c r="J34" s="99" t="s">
        <v>599</v>
      </c>
    </row>
    <row r="35" spans="2:10" ht="15.75" customHeight="1" x14ac:dyDescent="0.2">
      <c r="B35" s="50">
        <f t="shared" si="0"/>
        <v>29</v>
      </c>
      <c r="C35" s="51">
        <v>45227</v>
      </c>
      <c r="D35" s="52" t="s">
        <v>159</v>
      </c>
      <c r="E35" s="53" t="s">
        <v>14</v>
      </c>
      <c r="F35" s="53" t="s">
        <v>600</v>
      </c>
      <c r="G35" s="54"/>
      <c r="H35" s="54">
        <v>-500</v>
      </c>
      <c r="I35" s="54"/>
      <c r="J35" s="99" t="s">
        <v>599</v>
      </c>
    </row>
    <row r="36" spans="2:10" ht="15.75" customHeight="1" x14ac:dyDescent="0.2">
      <c r="B36" s="50">
        <f t="shared" si="0"/>
        <v>30</v>
      </c>
      <c r="C36" s="51">
        <v>45227</v>
      </c>
      <c r="D36" s="52" t="s">
        <v>159</v>
      </c>
      <c r="E36" s="53" t="s">
        <v>14</v>
      </c>
      <c r="F36" s="53" t="s">
        <v>601</v>
      </c>
      <c r="G36" s="54"/>
      <c r="H36" s="54">
        <v>-1200</v>
      </c>
      <c r="I36" s="54"/>
      <c r="J36" s="99" t="s">
        <v>599</v>
      </c>
    </row>
    <row r="37" spans="2:10" ht="15.75" customHeight="1" x14ac:dyDescent="0.2">
      <c r="B37" s="50">
        <f t="shared" si="0"/>
        <v>31</v>
      </c>
      <c r="C37" s="51">
        <v>45227</v>
      </c>
      <c r="D37" s="52" t="s">
        <v>159</v>
      </c>
      <c r="E37" s="53" t="s">
        <v>14</v>
      </c>
      <c r="F37" s="53" t="s">
        <v>602</v>
      </c>
      <c r="G37" s="54"/>
      <c r="H37" s="54">
        <v>-300</v>
      </c>
      <c r="I37" s="54"/>
      <c r="J37" s="99" t="s">
        <v>599</v>
      </c>
    </row>
    <row r="38" spans="2:10" ht="15.75" customHeight="1" x14ac:dyDescent="0.2">
      <c r="B38" s="50">
        <f t="shared" si="0"/>
        <v>32</v>
      </c>
      <c r="C38" s="51">
        <v>45227</v>
      </c>
      <c r="D38" s="52" t="s">
        <v>159</v>
      </c>
      <c r="E38" s="53" t="s">
        <v>14</v>
      </c>
      <c r="F38" s="53" t="s">
        <v>603</v>
      </c>
      <c r="G38" s="54"/>
      <c r="H38" s="54">
        <v>-35</v>
      </c>
      <c r="I38" s="54"/>
      <c r="J38" s="99" t="s">
        <v>599</v>
      </c>
    </row>
    <row r="39" spans="2:10" ht="15.75" customHeight="1" x14ac:dyDescent="0.2">
      <c r="B39" s="50">
        <f t="shared" si="0"/>
        <v>33</v>
      </c>
      <c r="C39" s="51">
        <v>45229</v>
      </c>
      <c r="D39" s="52" t="s">
        <v>159</v>
      </c>
      <c r="E39" s="53" t="s">
        <v>11</v>
      </c>
      <c r="F39" s="53" t="s">
        <v>588</v>
      </c>
      <c r="G39" s="54">
        <v>100</v>
      </c>
      <c r="H39" s="54"/>
      <c r="I39" s="54" t="s">
        <v>604</v>
      </c>
      <c r="J39" s="99">
        <v>2</v>
      </c>
    </row>
    <row r="40" spans="2:10" ht="15.75" customHeight="1" x14ac:dyDescent="0.2">
      <c r="B40" s="50">
        <f>B39+1</f>
        <v>34</v>
      </c>
      <c r="C40" s="51">
        <v>45229</v>
      </c>
      <c r="D40" s="52" t="s">
        <v>159</v>
      </c>
      <c r="E40" s="53" t="s">
        <v>14</v>
      </c>
      <c r="F40" s="53" t="s">
        <v>605</v>
      </c>
      <c r="G40" s="54"/>
      <c r="H40" s="54">
        <v>-3614</v>
      </c>
      <c r="I40" s="54"/>
      <c r="J40" s="106" t="s">
        <v>599</v>
      </c>
    </row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</sheetData>
  <mergeCells count="7">
    <mergeCell ref="K8:M8"/>
    <mergeCell ref="K7:M7"/>
    <mergeCell ref="K1:L1"/>
    <mergeCell ref="C2:I2"/>
    <mergeCell ref="C3:I3"/>
    <mergeCell ref="C4:I4"/>
    <mergeCell ref="C5:E5"/>
  </mergeCells>
  <dataValidations count="3">
    <dataValidation type="list" allowBlank="1" showInputMessage="1" showErrorMessage="1" sqref="E7:E12 E17:E26 E28:E31 E35:E40" xr:uid="{0267A167-CEB0-4B4A-9A4B-343478EFEC0E}">
      <formula1>$AA$2:$AA$7</formula1>
    </dataValidation>
    <dataValidation type="decimal" operator="lessThanOrEqual" allowBlank="1" showErrorMessage="1" sqref="H7:H8 H16 H31" xr:uid="{22C33097-8144-41B6-B655-CC966752160D}">
      <formula1>0</formula1>
    </dataValidation>
    <dataValidation type="decimal" operator="greaterThanOrEqual" allowBlank="1" showErrorMessage="1" sqref="G7:G9" xr:uid="{1F0A7817-DCA1-480E-A5B4-186C64C4DBAA}">
      <formula1>0</formula1>
    </dataValidation>
  </dataValidations>
  <printOptions horizontalCentered="1"/>
  <pageMargins left="0.15748031496062992" right="0.15748031496062992" top="0.74803149606299213" bottom="0.94488188976377963" header="0.31496062992125984" footer="0.51181102362204722"/>
  <pageSetup fitToHeight="0" orientation="portrait" r:id="rId1"/>
  <headerFooter>
    <oddHeader>&amp;L&amp;D&amp;R&amp;T</oddHeader>
    <oddFooter>&amp;L&amp;A&amp;C&amp;P de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4BCE-0E2C-4B24-A811-D993927EB3F0}">
  <dimension ref="A1:D29"/>
  <sheetViews>
    <sheetView workbookViewId="0">
      <selection activeCell="A7" sqref="A7"/>
    </sheetView>
  </sheetViews>
  <sheetFormatPr baseColWidth="10" defaultColWidth="11.5546875" defaultRowHeight="15" x14ac:dyDescent="0.2"/>
  <cols>
    <col min="1" max="1" width="15.33203125" bestFit="1" customWidth="1"/>
    <col min="2" max="3" width="10.77734375" customWidth="1"/>
    <col min="4" max="4" width="16.109375" bestFit="1" customWidth="1"/>
    <col min="5" max="5" width="10.5546875" bestFit="1" customWidth="1"/>
    <col min="6" max="6" width="20.6640625" bestFit="1" customWidth="1"/>
    <col min="7" max="7" width="20.33203125" bestFit="1" customWidth="1"/>
    <col min="8" max="8" width="16.44140625" bestFit="1" customWidth="1"/>
    <col min="9" max="9" width="16.109375" bestFit="1" customWidth="1"/>
    <col min="10" max="10" width="16.44140625" bestFit="1" customWidth="1"/>
    <col min="11" max="11" width="16.109375" bestFit="1" customWidth="1"/>
    <col min="12" max="12" width="16.44140625" bestFit="1" customWidth="1"/>
    <col min="13" max="13" width="16.109375" bestFit="1" customWidth="1"/>
    <col min="14" max="14" width="20.6640625" bestFit="1" customWidth="1"/>
    <col min="15" max="15" width="20.33203125" bestFit="1" customWidth="1"/>
  </cols>
  <sheetData>
    <row r="1" spans="1:4" x14ac:dyDescent="0.2">
      <c r="A1" t="s">
        <v>5</v>
      </c>
    </row>
    <row r="2" spans="1:4" ht="15.75" x14ac:dyDescent="0.25">
      <c r="A2" s="90" t="s">
        <v>234</v>
      </c>
    </row>
    <row r="3" spans="1:4" ht="15.75" x14ac:dyDescent="0.25">
      <c r="A3" s="212">
        <f>MAX(DIARIO_2023!$C$7:$C$340)</f>
        <v>45291</v>
      </c>
      <c r="B3" s="212"/>
      <c r="C3" s="212"/>
      <c r="D3" s="89"/>
    </row>
    <row r="4" spans="1:4" x14ac:dyDescent="0.2">
      <c r="A4" s="98" t="s">
        <v>1</v>
      </c>
      <c r="B4" t="s">
        <v>235</v>
      </c>
      <c r="C4" s="17"/>
      <c r="D4" s="17"/>
    </row>
    <row r="5" spans="1:4" ht="15.75" x14ac:dyDescent="0.25">
      <c r="B5" s="14" t="s">
        <v>236</v>
      </c>
      <c r="C5" s="13">
        <f>GETPIVOTDATA("INGRESOS",$A$6)+GETPIVOTDATA("EGRESOS",$A$6)</f>
        <v>1779</v>
      </c>
    </row>
    <row r="6" spans="1:4" ht="15.75" x14ac:dyDescent="0.2">
      <c r="A6" s="88" t="s">
        <v>237</v>
      </c>
      <c r="B6" s="87" t="s">
        <v>238</v>
      </c>
      <c r="C6" s="87" t="s">
        <v>239</v>
      </c>
    </row>
    <row r="7" spans="1:4" x14ac:dyDescent="0.2">
      <c r="A7" s="12" t="s">
        <v>23</v>
      </c>
      <c r="B7" s="13">
        <v>1331</v>
      </c>
      <c r="C7" s="13">
        <v>-306.5</v>
      </c>
    </row>
    <row r="8" spans="1:4" x14ac:dyDescent="0.2">
      <c r="A8" s="12" t="s">
        <v>33</v>
      </c>
      <c r="B8" s="13">
        <v>912</v>
      </c>
      <c r="C8" s="13">
        <v>-70</v>
      </c>
    </row>
    <row r="9" spans="1:4" x14ac:dyDescent="0.2">
      <c r="A9" s="12" t="s">
        <v>36</v>
      </c>
      <c r="B9" s="13">
        <v>1000</v>
      </c>
      <c r="C9" s="13">
        <v>-690</v>
      </c>
      <c r="D9" s="81"/>
    </row>
    <row r="10" spans="1:4" x14ac:dyDescent="0.2">
      <c r="A10" s="12" t="s">
        <v>53</v>
      </c>
      <c r="B10" s="13">
        <v>1284</v>
      </c>
      <c r="C10" s="13">
        <v>-419.5</v>
      </c>
    </row>
    <row r="11" spans="1:4" x14ac:dyDescent="0.2">
      <c r="A11" s="12" t="s">
        <v>76</v>
      </c>
      <c r="B11" s="13">
        <v>1762.5</v>
      </c>
      <c r="C11" s="13">
        <v>-664.5</v>
      </c>
    </row>
    <row r="12" spans="1:4" x14ac:dyDescent="0.2">
      <c r="A12" s="12" t="s">
        <v>105</v>
      </c>
      <c r="B12" s="13">
        <v>1331</v>
      </c>
      <c r="C12" s="13">
        <v>-116</v>
      </c>
    </row>
    <row r="13" spans="1:4" x14ac:dyDescent="0.2">
      <c r="A13" s="12" t="s">
        <v>122</v>
      </c>
      <c r="B13" s="13">
        <v>1196.5</v>
      </c>
      <c r="C13" s="13">
        <v>-399</v>
      </c>
    </row>
    <row r="14" spans="1:4" x14ac:dyDescent="0.2">
      <c r="A14" s="12" t="s">
        <v>142</v>
      </c>
      <c r="B14" s="13">
        <v>946</v>
      </c>
      <c r="C14" s="13">
        <v>-636.5</v>
      </c>
    </row>
    <row r="15" spans="1:4" x14ac:dyDescent="0.2">
      <c r="A15" s="12" t="s">
        <v>159</v>
      </c>
      <c r="B15" s="13">
        <v>759</v>
      </c>
      <c r="C15" s="13">
        <v>-6944.5</v>
      </c>
    </row>
    <row r="16" spans="1:4" x14ac:dyDescent="0.2">
      <c r="A16" s="12" t="s">
        <v>190</v>
      </c>
      <c r="B16" s="13">
        <v>2388.5</v>
      </c>
      <c r="C16" s="13"/>
    </row>
    <row r="17" spans="1:3" x14ac:dyDescent="0.2">
      <c r="A17" s="12" t="s">
        <v>218</v>
      </c>
      <c r="B17" s="13">
        <v>763</v>
      </c>
      <c r="C17" s="13">
        <v>-1648</v>
      </c>
    </row>
    <row r="18" spans="1:3" x14ac:dyDescent="0.2">
      <c r="A18" s="12" t="s">
        <v>240</v>
      </c>
      <c r="B18" s="13">
        <v>13673.5</v>
      </c>
      <c r="C18" s="13">
        <v>-11894.5</v>
      </c>
    </row>
    <row r="19" spans="1:3" x14ac:dyDescent="0.2">
      <c r="B19" s="81"/>
    </row>
    <row r="20" spans="1:3" ht="15.75" x14ac:dyDescent="0.25">
      <c r="A20" s="213" t="s">
        <v>241</v>
      </c>
      <c r="B20" s="213"/>
      <c r="C20" s="213"/>
    </row>
    <row r="22" spans="1:3" x14ac:dyDescent="0.2">
      <c r="A22" s="12" t="s">
        <v>242</v>
      </c>
      <c r="B22" s="13">
        <v>760</v>
      </c>
      <c r="C22" s="13"/>
    </row>
    <row r="23" spans="1:3" x14ac:dyDescent="0.2">
      <c r="A23" s="12" t="s">
        <v>243</v>
      </c>
      <c r="B23" s="13">
        <v>888</v>
      </c>
    </row>
    <row r="24" spans="1:3" x14ac:dyDescent="0.2">
      <c r="A24" s="12" t="s">
        <v>244</v>
      </c>
      <c r="B24" s="13"/>
      <c r="C24" s="13">
        <v>-85</v>
      </c>
    </row>
    <row r="25" spans="1:3" x14ac:dyDescent="0.2">
      <c r="A25" s="12" t="s">
        <v>245</v>
      </c>
      <c r="B25" s="81"/>
      <c r="C25" s="13">
        <v>-1063</v>
      </c>
    </row>
    <row r="26" spans="1:3" x14ac:dyDescent="0.2">
      <c r="A26" s="12" t="s">
        <v>246</v>
      </c>
      <c r="B26" s="81"/>
      <c r="C26" s="13">
        <v>-500</v>
      </c>
    </row>
    <row r="27" spans="1:3" ht="15.75" thickBot="1" x14ac:dyDescent="0.25">
      <c r="B27" s="111">
        <f>SUM(B22:B26)</f>
        <v>1648</v>
      </c>
      <c r="C27" s="111">
        <f>SUM(C22:C26)</f>
        <v>-1648</v>
      </c>
    </row>
    <row r="28" spans="1:3" ht="15.75" thickTop="1" x14ac:dyDescent="0.2">
      <c r="B28" s="81"/>
    </row>
    <row r="29" spans="1:3" x14ac:dyDescent="0.2">
      <c r="A29" s="112"/>
      <c r="B29" s="112"/>
      <c r="C29" s="112"/>
    </row>
  </sheetData>
  <mergeCells count="2">
    <mergeCell ref="A3:C3"/>
    <mergeCell ref="A20:C20"/>
  </mergeCells>
  <pageMargins left="0.23622047244094491" right="0.23622047244094491" top="0.74803149606299213" bottom="0.74803149606299213" header="0.31496062992125984" footer="0.31496062992125984"/>
  <pageSetup paperSize="2833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C388-7501-4AEB-826D-1EE938255DF0}">
  <dimension ref="A1:C56"/>
  <sheetViews>
    <sheetView workbookViewId="0"/>
  </sheetViews>
  <sheetFormatPr baseColWidth="10" defaultRowHeight="15" x14ac:dyDescent="0.2"/>
  <cols>
    <col min="1" max="1" width="18.44140625" customWidth="1"/>
    <col min="2" max="3" width="11" customWidth="1"/>
    <col min="4" max="4" width="10.88671875" bestFit="1" customWidth="1"/>
    <col min="5" max="5" width="10.5546875" bestFit="1" customWidth="1"/>
    <col min="6" max="6" width="8.88671875" bestFit="1" customWidth="1"/>
    <col min="7" max="7" width="10.77734375" bestFit="1" customWidth="1"/>
    <col min="8" max="8" width="9.5546875" bestFit="1" customWidth="1"/>
    <col min="9" max="9" width="11" bestFit="1" customWidth="1"/>
    <col min="10" max="10" width="31.77734375" bestFit="1" customWidth="1"/>
    <col min="11" max="11" width="28.21875" bestFit="1" customWidth="1"/>
    <col min="12" max="12" width="25" bestFit="1" customWidth="1"/>
    <col min="13" max="13" width="26.109375" bestFit="1" customWidth="1"/>
    <col min="14" max="14" width="28.21875" bestFit="1" customWidth="1"/>
    <col min="15" max="15" width="10.33203125" bestFit="1" customWidth="1"/>
    <col min="16" max="16" width="21" bestFit="1" customWidth="1"/>
    <col min="17" max="17" width="23.44140625" bestFit="1" customWidth="1"/>
    <col min="18" max="18" width="25.6640625" bestFit="1" customWidth="1"/>
    <col min="19" max="19" width="31.6640625" bestFit="1" customWidth="1"/>
    <col min="20" max="20" width="29.21875" bestFit="1" customWidth="1"/>
    <col min="21" max="21" width="39.88671875" bestFit="1" customWidth="1"/>
    <col min="22" max="22" width="39.6640625" bestFit="1" customWidth="1"/>
    <col min="23" max="23" width="32.33203125" bestFit="1" customWidth="1"/>
    <col min="24" max="24" width="36.21875" bestFit="1" customWidth="1"/>
    <col min="25" max="25" width="22.5546875" bestFit="1" customWidth="1"/>
    <col min="26" max="26" width="22.33203125" bestFit="1" customWidth="1"/>
    <col min="27" max="27" width="30.5546875" bestFit="1" customWidth="1"/>
    <col min="28" max="28" width="25" bestFit="1" customWidth="1"/>
    <col min="29" max="29" width="11" bestFit="1" customWidth="1"/>
    <col min="30" max="30" width="35.33203125" bestFit="1" customWidth="1"/>
    <col min="31" max="31" width="25.6640625" bestFit="1" customWidth="1"/>
    <col min="32" max="33" width="26.109375" bestFit="1" customWidth="1"/>
    <col min="34" max="34" width="19.88671875" bestFit="1" customWidth="1"/>
    <col min="35" max="35" width="23.44140625" bestFit="1" customWidth="1"/>
    <col min="36" max="36" width="26.109375" bestFit="1" customWidth="1"/>
    <col min="37" max="37" width="20.21875" bestFit="1" customWidth="1"/>
    <col min="38" max="38" width="22.33203125" bestFit="1" customWidth="1"/>
    <col min="39" max="39" width="33.33203125" bestFit="1" customWidth="1"/>
    <col min="40" max="40" width="26.109375" bestFit="1" customWidth="1"/>
    <col min="41" max="41" width="19.88671875" bestFit="1" customWidth="1"/>
    <col min="42" max="42" width="23.77734375" bestFit="1" customWidth="1"/>
    <col min="43" max="43" width="23.33203125" bestFit="1" customWidth="1"/>
    <col min="44" max="44" width="23.77734375" bestFit="1" customWidth="1"/>
    <col min="45" max="45" width="23.5546875" bestFit="1" customWidth="1"/>
    <col min="46" max="46" width="26.109375" bestFit="1" customWidth="1"/>
    <col min="47" max="47" width="25" bestFit="1" customWidth="1"/>
    <col min="48" max="48" width="27.21875" bestFit="1" customWidth="1"/>
    <col min="49" max="49" width="32.33203125" bestFit="1" customWidth="1"/>
    <col min="50" max="50" width="27.21875" bestFit="1" customWidth="1"/>
    <col min="51" max="51" width="39.21875" bestFit="1" customWidth="1"/>
    <col min="52" max="52" width="20" bestFit="1" customWidth="1"/>
    <col min="53" max="53" width="32.88671875" bestFit="1" customWidth="1"/>
    <col min="54" max="54" width="21.44140625" bestFit="1" customWidth="1"/>
    <col min="55" max="55" width="33.21875" bestFit="1" customWidth="1"/>
    <col min="56" max="56" width="24.77734375" bestFit="1" customWidth="1"/>
    <col min="57" max="57" width="27.6640625" bestFit="1" customWidth="1"/>
    <col min="58" max="58" width="23.88671875" bestFit="1" customWidth="1"/>
    <col min="59" max="59" width="26.33203125" bestFit="1" customWidth="1"/>
    <col min="60" max="60" width="45.88671875" bestFit="1" customWidth="1"/>
    <col min="61" max="61" width="24.5546875" bestFit="1" customWidth="1"/>
    <col min="62" max="62" width="28.44140625" bestFit="1" customWidth="1"/>
    <col min="63" max="63" width="40.21875" bestFit="1" customWidth="1"/>
    <col min="64" max="64" width="35.5546875" bestFit="1" customWidth="1"/>
    <col min="65" max="65" width="33.88671875" bestFit="1" customWidth="1"/>
    <col min="66" max="66" width="33.21875" bestFit="1" customWidth="1"/>
    <col min="67" max="67" width="34.77734375" bestFit="1" customWidth="1"/>
    <col min="68" max="68" width="36.88671875" bestFit="1" customWidth="1"/>
    <col min="69" max="69" width="34.77734375" bestFit="1" customWidth="1"/>
    <col min="70" max="70" width="35.6640625" bestFit="1" customWidth="1"/>
    <col min="71" max="71" width="37.33203125" bestFit="1" customWidth="1"/>
    <col min="72" max="72" width="33.33203125" bestFit="1" customWidth="1"/>
    <col min="73" max="73" width="36.88671875" bestFit="1" customWidth="1"/>
    <col min="74" max="74" width="33.33203125" bestFit="1" customWidth="1"/>
    <col min="75" max="75" width="37.33203125" bestFit="1" customWidth="1"/>
    <col min="76" max="76" width="33.21875" bestFit="1" customWidth="1"/>
    <col min="77" max="77" width="34.5546875" bestFit="1" customWidth="1"/>
    <col min="78" max="78" width="34.77734375" bestFit="1" customWidth="1"/>
    <col min="79" max="79" width="33.21875" bestFit="1" customWidth="1"/>
    <col min="80" max="80" width="34.77734375" bestFit="1" customWidth="1"/>
    <col min="81" max="81" width="32.88671875" bestFit="1" customWidth="1"/>
    <col min="82" max="82" width="36.88671875" bestFit="1" customWidth="1"/>
    <col min="83" max="83" width="37.33203125" bestFit="1" customWidth="1"/>
    <col min="84" max="84" width="32.77734375" bestFit="1" customWidth="1"/>
    <col min="85" max="85" width="33.33203125" bestFit="1" customWidth="1"/>
    <col min="86" max="86" width="36.88671875" bestFit="1" customWidth="1"/>
    <col min="87" max="87" width="40" bestFit="1" customWidth="1"/>
    <col min="88" max="88" width="34.77734375" bestFit="1" customWidth="1"/>
    <col min="89" max="89" width="33.21875" bestFit="1" customWidth="1"/>
    <col min="90" max="90" width="36.88671875" bestFit="1" customWidth="1"/>
    <col min="91" max="91" width="34.33203125" bestFit="1" customWidth="1"/>
    <col min="92" max="92" width="34.77734375" bestFit="1" customWidth="1"/>
    <col min="93" max="93" width="44.109375" bestFit="1" customWidth="1"/>
    <col min="94" max="94" width="34.77734375" bestFit="1" customWidth="1"/>
    <col min="95" max="97" width="33.33203125" bestFit="1" customWidth="1"/>
    <col min="98" max="98" width="35.77734375" bestFit="1" customWidth="1"/>
    <col min="99" max="99" width="34.21875" bestFit="1" customWidth="1"/>
    <col min="100" max="100" width="35.77734375" bestFit="1" customWidth="1"/>
    <col min="101" max="101" width="25.44140625" bestFit="1" customWidth="1"/>
    <col min="102" max="102" width="35.5546875" bestFit="1" customWidth="1"/>
    <col min="103" max="103" width="22" bestFit="1" customWidth="1"/>
    <col min="104" max="104" width="29.77734375" bestFit="1" customWidth="1"/>
    <col min="105" max="105" width="44.88671875" bestFit="1" customWidth="1"/>
    <col min="106" max="106" width="36.21875" bestFit="1" customWidth="1"/>
    <col min="107" max="107" width="19.33203125" bestFit="1" customWidth="1"/>
    <col min="108" max="108" width="44" bestFit="1" customWidth="1"/>
    <col min="109" max="109" width="17.109375" bestFit="1" customWidth="1"/>
    <col min="110" max="110" width="28" bestFit="1" customWidth="1"/>
    <col min="111" max="111" width="35.5546875" bestFit="1" customWidth="1"/>
    <col min="112" max="112" width="42.33203125" bestFit="1" customWidth="1"/>
    <col min="113" max="113" width="28.77734375" bestFit="1" customWidth="1"/>
    <col min="114" max="114" width="42.77734375" bestFit="1" customWidth="1"/>
    <col min="115" max="115" width="37.88671875" bestFit="1" customWidth="1"/>
    <col min="116" max="116" width="32.88671875" bestFit="1" customWidth="1"/>
    <col min="117" max="117" width="18.88671875" bestFit="1" customWidth="1"/>
    <col min="118" max="118" width="28.44140625" bestFit="1" customWidth="1"/>
    <col min="119" max="119" width="40" bestFit="1" customWidth="1"/>
    <col min="120" max="120" width="34.109375" bestFit="1" customWidth="1"/>
    <col min="121" max="121" width="27.88671875" bestFit="1" customWidth="1"/>
    <col min="122" max="122" width="38.5546875" bestFit="1" customWidth="1"/>
    <col min="123" max="123" width="32.44140625" bestFit="1" customWidth="1"/>
    <col min="124" max="124" width="34.33203125" bestFit="1" customWidth="1"/>
    <col min="125" max="125" width="32.6640625" bestFit="1" customWidth="1"/>
    <col min="126" max="126" width="18.5546875" bestFit="1" customWidth="1"/>
    <col min="127" max="128" width="40.21875" bestFit="1" customWidth="1"/>
    <col min="129" max="129" width="26" bestFit="1" customWidth="1"/>
    <col min="130" max="130" width="32.5546875" bestFit="1" customWidth="1"/>
    <col min="131" max="131" width="33.33203125" bestFit="1" customWidth="1"/>
    <col min="132" max="132" width="30.6640625" bestFit="1" customWidth="1"/>
    <col min="133" max="133" width="36.33203125" bestFit="1" customWidth="1"/>
    <col min="134" max="134" width="43.44140625" bestFit="1" customWidth="1"/>
    <col min="135" max="135" width="39.109375" bestFit="1" customWidth="1"/>
    <col min="136" max="136" width="10.6640625" bestFit="1" customWidth="1"/>
    <col min="137" max="137" width="26.109375" bestFit="1" customWidth="1"/>
    <col min="138" max="138" width="17.5546875" bestFit="1" customWidth="1"/>
    <col min="139" max="139" width="16.88671875" bestFit="1" customWidth="1"/>
    <col min="140" max="140" width="14" bestFit="1" customWidth="1"/>
    <col min="141" max="141" width="29.77734375" bestFit="1" customWidth="1"/>
    <col min="142" max="142" width="29" bestFit="1" customWidth="1"/>
    <col min="143" max="143" width="34.77734375" bestFit="1" customWidth="1"/>
    <col min="144" max="144" width="24.88671875" bestFit="1" customWidth="1"/>
    <col min="145" max="145" width="37.88671875" bestFit="1" customWidth="1"/>
    <col min="146" max="146" width="21.88671875" bestFit="1" customWidth="1"/>
    <col min="147" max="147" width="19.109375" bestFit="1" customWidth="1"/>
    <col min="148" max="148" width="36.77734375" bestFit="1" customWidth="1"/>
    <col min="149" max="149" width="27" bestFit="1" customWidth="1"/>
    <col min="150" max="150" width="27.6640625" bestFit="1" customWidth="1"/>
    <col min="151" max="151" width="34.109375" bestFit="1" customWidth="1"/>
    <col min="152" max="152" width="32.5546875" bestFit="1" customWidth="1"/>
    <col min="153" max="153" width="45.77734375" bestFit="1" customWidth="1"/>
    <col min="154" max="154" width="14.21875" bestFit="1" customWidth="1"/>
    <col min="155" max="155" width="33.5546875" bestFit="1" customWidth="1"/>
    <col min="156" max="156" width="25.21875" bestFit="1" customWidth="1"/>
    <col min="157" max="157" width="18.21875" bestFit="1" customWidth="1"/>
    <col min="158" max="158" width="24.6640625" bestFit="1" customWidth="1"/>
    <col min="159" max="159" width="21.5546875" bestFit="1" customWidth="1"/>
    <col min="160" max="160" width="9.5546875" bestFit="1" customWidth="1"/>
    <col min="161" max="161" width="11" bestFit="1" customWidth="1"/>
  </cols>
  <sheetData>
    <row r="1" spans="1:3" ht="20.25" x14ac:dyDescent="0.3">
      <c r="A1" s="192" t="s">
        <v>703</v>
      </c>
    </row>
    <row r="2" spans="1:3" x14ac:dyDescent="0.2">
      <c r="A2" s="81" t="s">
        <v>704</v>
      </c>
    </row>
    <row r="3" spans="1:3" ht="15.75" x14ac:dyDescent="0.25">
      <c r="A3" s="90" t="s">
        <v>705</v>
      </c>
    </row>
    <row r="4" spans="1:3" x14ac:dyDescent="0.2">
      <c r="A4" s="214">
        <v>45659</v>
      </c>
      <c r="B4" s="214"/>
      <c r="C4" s="214"/>
    </row>
    <row r="6" spans="1:3" x14ac:dyDescent="0.2">
      <c r="A6" s="182" t="s">
        <v>1</v>
      </c>
      <c r="B6" s="183" t="s">
        <v>235</v>
      </c>
    </row>
    <row r="7" spans="1:3" x14ac:dyDescent="0.2">
      <c r="A7" s="81" t="s">
        <v>702</v>
      </c>
    </row>
    <row r="8" spans="1:3" ht="15.75" x14ac:dyDescent="0.25">
      <c r="A8" s="189" t="s">
        <v>18</v>
      </c>
      <c r="B8" s="190" t="s">
        <v>700</v>
      </c>
      <c r="C8" s="191" t="s">
        <v>701</v>
      </c>
    </row>
    <row r="9" spans="1:3" x14ac:dyDescent="0.2">
      <c r="A9" s="180" t="s">
        <v>248</v>
      </c>
      <c r="B9" s="185">
        <v>879.5</v>
      </c>
      <c r="C9" s="186">
        <v>-60</v>
      </c>
    </row>
    <row r="10" spans="1:3" x14ac:dyDescent="0.2">
      <c r="A10" s="184" t="s">
        <v>3</v>
      </c>
      <c r="B10" s="187">
        <v>879.5</v>
      </c>
      <c r="C10" s="188"/>
    </row>
    <row r="11" spans="1:3" x14ac:dyDescent="0.2">
      <c r="A11" s="184" t="s">
        <v>689</v>
      </c>
      <c r="B11" s="187"/>
      <c r="C11" s="188">
        <v>-60</v>
      </c>
    </row>
    <row r="12" spans="1:3" x14ac:dyDescent="0.2">
      <c r="A12" s="181" t="s">
        <v>23</v>
      </c>
      <c r="B12" s="187">
        <v>40</v>
      </c>
      <c r="C12" s="188"/>
    </row>
    <row r="13" spans="1:3" x14ac:dyDescent="0.2">
      <c r="A13" s="184" t="s">
        <v>3</v>
      </c>
      <c r="B13" s="187">
        <v>40</v>
      </c>
      <c r="C13" s="188"/>
    </row>
    <row r="14" spans="1:3" x14ac:dyDescent="0.2">
      <c r="A14" s="181" t="s">
        <v>33</v>
      </c>
      <c r="B14" s="187">
        <v>2630</v>
      </c>
      <c r="C14" s="188"/>
    </row>
    <row r="15" spans="1:3" x14ac:dyDescent="0.2">
      <c r="A15" s="184" t="s">
        <v>3</v>
      </c>
      <c r="B15" s="187">
        <v>2630</v>
      </c>
      <c r="C15" s="188"/>
    </row>
    <row r="16" spans="1:3" x14ac:dyDescent="0.2">
      <c r="A16" s="181" t="s">
        <v>36</v>
      </c>
      <c r="B16" s="187">
        <v>260</v>
      </c>
      <c r="C16" s="188">
        <v>-310</v>
      </c>
    </row>
    <row r="17" spans="1:3" x14ac:dyDescent="0.2">
      <c r="A17" s="184" t="s">
        <v>3</v>
      </c>
      <c r="B17" s="187">
        <v>260</v>
      </c>
      <c r="C17" s="188"/>
    </row>
    <row r="18" spans="1:3" x14ac:dyDescent="0.2">
      <c r="A18" s="184" t="s">
        <v>697</v>
      </c>
      <c r="B18" s="187"/>
      <c r="C18" s="188">
        <v>-310</v>
      </c>
    </row>
    <row r="19" spans="1:3" x14ac:dyDescent="0.2">
      <c r="A19" s="181" t="s">
        <v>53</v>
      </c>
      <c r="B19" s="187">
        <v>960</v>
      </c>
      <c r="C19" s="188">
        <v>-165</v>
      </c>
    </row>
    <row r="20" spans="1:3" x14ac:dyDescent="0.2">
      <c r="A20" s="184" t="s">
        <v>3</v>
      </c>
      <c r="B20" s="187">
        <v>960</v>
      </c>
      <c r="C20" s="188"/>
    </row>
    <row r="21" spans="1:3" x14ac:dyDescent="0.2">
      <c r="A21" s="184" t="s">
        <v>689</v>
      </c>
      <c r="B21" s="187"/>
      <c r="C21" s="188">
        <v>-155</v>
      </c>
    </row>
    <row r="22" spans="1:3" x14ac:dyDescent="0.2">
      <c r="A22" s="184" t="s">
        <v>697</v>
      </c>
      <c r="B22" s="187"/>
      <c r="C22" s="188">
        <v>-10</v>
      </c>
    </row>
    <row r="23" spans="1:3" x14ac:dyDescent="0.2">
      <c r="A23" s="181" t="s">
        <v>76</v>
      </c>
      <c r="B23" s="187">
        <v>2575</v>
      </c>
      <c r="C23" s="188">
        <v>-5000</v>
      </c>
    </row>
    <row r="24" spans="1:3" x14ac:dyDescent="0.2">
      <c r="A24" s="184" t="s">
        <v>3</v>
      </c>
      <c r="B24" s="187">
        <v>2575</v>
      </c>
      <c r="C24" s="188"/>
    </row>
    <row r="25" spans="1:3" x14ac:dyDescent="0.2">
      <c r="A25" s="184" t="s">
        <v>696</v>
      </c>
      <c r="B25" s="187"/>
      <c r="C25" s="188">
        <v>-5000</v>
      </c>
    </row>
    <row r="26" spans="1:3" x14ac:dyDescent="0.2">
      <c r="A26" s="181" t="s">
        <v>105</v>
      </c>
      <c r="B26" s="187">
        <v>3630</v>
      </c>
      <c r="C26" s="188"/>
    </row>
    <row r="27" spans="1:3" x14ac:dyDescent="0.2">
      <c r="A27" s="184" t="s">
        <v>3</v>
      </c>
      <c r="B27" s="187">
        <v>3630</v>
      </c>
      <c r="C27" s="188"/>
    </row>
    <row r="28" spans="1:3" x14ac:dyDescent="0.2">
      <c r="A28" s="181" t="s">
        <v>122</v>
      </c>
      <c r="B28" s="187">
        <v>2307</v>
      </c>
      <c r="C28" s="188">
        <v>-6000</v>
      </c>
    </row>
    <row r="29" spans="1:3" x14ac:dyDescent="0.2">
      <c r="A29" s="184" t="s">
        <v>3</v>
      </c>
      <c r="B29" s="187">
        <v>2307</v>
      </c>
      <c r="C29" s="188"/>
    </row>
    <row r="30" spans="1:3" x14ac:dyDescent="0.2">
      <c r="A30" s="184" t="s">
        <v>696</v>
      </c>
      <c r="B30" s="187"/>
      <c r="C30" s="188">
        <v>-6000</v>
      </c>
    </row>
    <row r="31" spans="1:3" x14ac:dyDescent="0.2">
      <c r="A31" s="181" t="s">
        <v>373</v>
      </c>
      <c r="B31" s="187">
        <v>5632.5</v>
      </c>
      <c r="C31" s="188">
        <v>-6000</v>
      </c>
    </row>
    <row r="32" spans="1:3" x14ac:dyDescent="0.2">
      <c r="A32" s="184" t="s">
        <v>3</v>
      </c>
      <c r="B32" s="187">
        <v>5632.5</v>
      </c>
      <c r="C32" s="188"/>
    </row>
    <row r="33" spans="1:3" x14ac:dyDescent="0.2">
      <c r="A33" s="184" t="s">
        <v>696</v>
      </c>
      <c r="B33" s="187"/>
      <c r="C33" s="188">
        <v>-6000</v>
      </c>
    </row>
    <row r="34" spans="1:3" x14ac:dyDescent="0.2">
      <c r="A34" s="181" t="s">
        <v>159</v>
      </c>
      <c r="B34" s="187">
        <v>6561.5</v>
      </c>
      <c r="C34" s="188">
        <v>-6837</v>
      </c>
    </row>
    <row r="35" spans="1:3" x14ac:dyDescent="0.2">
      <c r="A35" s="184" t="s">
        <v>3</v>
      </c>
      <c r="B35" s="187">
        <v>6561.5</v>
      </c>
      <c r="C35" s="188"/>
    </row>
    <row r="36" spans="1:3" x14ac:dyDescent="0.2">
      <c r="A36" s="184" t="s">
        <v>689</v>
      </c>
      <c r="B36" s="187"/>
      <c r="C36" s="188">
        <v>-1136</v>
      </c>
    </row>
    <row r="37" spans="1:3" x14ac:dyDescent="0.2">
      <c r="A37" s="184" t="s">
        <v>697</v>
      </c>
      <c r="B37" s="187"/>
      <c r="C37" s="188">
        <v>-51</v>
      </c>
    </row>
    <row r="38" spans="1:3" x14ac:dyDescent="0.2">
      <c r="A38" s="184" t="s">
        <v>699</v>
      </c>
      <c r="B38" s="187"/>
      <c r="C38" s="188">
        <v>-5650</v>
      </c>
    </row>
    <row r="39" spans="1:3" x14ac:dyDescent="0.2">
      <c r="A39" s="181" t="s">
        <v>190</v>
      </c>
      <c r="B39" s="187">
        <v>686.5</v>
      </c>
      <c r="C39" s="188"/>
    </row>
    <row r="40" spans="1:3" x14ac:dyDescent="0.2">
      <c r="A40" s="184" t="s">
        <v>3</v>
      </c>
      <c r="B40" s="187">
        <v>686.5</v>
      </c>
      <c r="C40" s="188"/>
    </row>
    <row r="41" spans="1:3" x14ac:dyDescent="0.2">
      <c r="A41" s="181" t="s">
        <v>218</v>
      </c>
      <c r="B41" s="187">
        <v>2669</v>
      </c>
      <c r="C41" s="188"/>
    </row>
    <row r="42" spans="1:3" x14ac:dyDescent="0.2">
      <c r="A42" s="184" t="s">
        <v>3</v>
      </c>
      <c r="B42" s="187">
        <v>2669</v>
      </c>
      <c r="C42" s="188"/>
    </row>
    <row r="43" spans="1:3" ht="15.75" x14ac:dyDescent="0.25">
      <c r="A43" s="196" t="s">
        <v>240</v>
      </c>
      <c r="B43" s="197">
        <v>28831</v>
      </c>
      <c r="C43" s="198">
        <v>-24372</v>
      </c>
    </row>
    <row r="46" spans="1:3" x14ac:dyDescent="0.2">
      <c r="A46" t="s">
        <v>696</v>
      </c>
      <c r="B46" s="76">
        <v>17000</v>
      </c>
    </row>
    <row r="47" spans="1:3" x14ac:dyDescent="0.2">
      <c r="A47" t="s">
        <v>697</v>
      </c>
      <c r="B47" s="76">
        <v>371</v>
      </c>
    </row>
    <row r="48" spans="1:3" x14ac:dyDescent="0.2">
      <c r="A48" t="s">
        <v>713</v>
      </c>
      <c r="B48" s="76">
        <v>5650</v>
      </c>
    </row>
    <row r="49" spans="1:2" x14ac:dyDescent="0.2">
      <c r="A49" t="s">
        <v>714</v>
      </c>
      <c r="B49" s="76">
        <v>1246</v>
      </c>
    </row>
    <row r="50" spans="1:2" x14ac:dyDescent="0.2">
      <c r="A50" t="s">
        <v>689</v>
      </c>
      <c r="B50" s="76">
        <v>105</v>
      </c>
    </row>
    <row r="51" spans="1:2" x14ac:dyDescent="0.2">
      <c r="A51" s="193" t="s">
        <v>13</v>
      </c>
      <c r="B51" s="194">
        <f>SUM(B46:B50)</f>
        <v>24372</v>
      </c>
    </row>
    <row r="53" spans="1:2" x14ac:dyDescent="0.2">
      <c r="A53" t="s">
        <v>715</v>
      </c>
      <c r="B53" s="76">
        <v>4459</v>
      </c>
    </row>
    <row r="54" spans="1:2" ht="16.5" thickBot="1" x14ac:dyDescent="0.3">
      <c r="A54" s="15" t="s">
        <v>377</v>
      </c>
      <c r="B54" s="195">
        <f>+B51+B53</f>
        <v>28831</v>
      </c>
    </row>
    <row r="55" spans="1:2" ht="15.75" thickTop="1" x14ac:dyDescent="0.2"/>
    <row r="56" spans="1:2" x14ac:dyDescent="0.2">
      <c r="A56" s="92" t="s">
        <v>712</v>
      </c>
    </row>
  </sheetData>
  <mergeCells count="1">
    <mergeCell ref="A4:C4"/>
  </mergeCells>
  <pageMargins left="7.874015748031496E-2" right="7.874015748031496E-2" top="0.74803149606299213" bottom="0.74803149606299213" header="0.31496062992125984" footer="0.31496062992125984"/>
  <pageSetup paperSize="2833" scale="70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7509-8951-462B-97CA-C02169707918}">
  <sheetPr>
    <pageSetUpPr fitToPage="1"/>
  </sheetPr>
  <dimension ref="B1:AA985"/>
  <sheetViews>
    <sheetView showGridLines="0" zoomScaleNormal="100" workbookViewId="0">
      <pane ySplit="6" topLeftCell="A84" activePane="bottomLeft" state="frozen"/>
      <selection pane="bottomLeft" activeCell="H12" sqref="H12:H41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34.109375" customWidth="1"/>
    <col min="7" max="9" width="12.77734375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x14ac:dyDescent="0.25">
      <c r="B1" s="17"/>
      <c r="C1" s="68"/>
      <c r="D1" s="17"/>
      <c r="E1" s="17"/>
      <c r="F1" s="17"/>
      <c r="G1" s="17"/>
      <c r="H1" s="17"/>
      <c r="I1" s="17"/>
      <c r="J1" s="32"/>
      <c r="K1" s="215" t="s">
        <v>0</v>
      </c>
      <c r="L1" s="215"/>
      <c r="M1" s="17"/>
      <c r="AA1" s="48" t="s">
        <v>1</v>
      </c>
    </row>
    <row r="2" spans="2:27" ht="23.25" x14ac:dyDescent="0.35">
      <c r="B2" s="114"/>
      <c r="C2" s="216" t="s">
        <v>2</v>
      </c>
      <c r="D2" s="216"/>
      <c r="E2" s="216"/>
      <c r="F2" s="216"/>
      <c r="G2" s="216"/>
      <c r="H2" s="216"/>
      <c r="I2" s="216"/>
      <c r="J2" s="17"/>
      <c r="K2" s="37" t="s">
        <v>3</v>
      </c>
      <c r="L2" s="1">
        <f>SUMIF(DIAR_24[[#All],[CATEGORIA]],"1_USO_AP",DIAR_24[[#All],[EGRESO]])+SUMIF(DIAR_24[[#All],[CATEGORIA]],"0_APORTACION",DIAR_24[[#All],[INGRESO]])</f>
        <v>4459</v>
      </c>
      <c r="M2" s="1"/>
      <c r="AA2" s="49" t="s">
        <v>4</v>
      </c>
    </row>
    <row r="3" spans="2:27" ht="23.25" x14ac:dyDescent="0.35">
      <c r="B3" s="115"/>
      <c r="C3" s="207" t="s">
        <v>5</v>
      </c>
      <c r="D3" s="207"/>
      <c r="E3" s="207"/>
      <c r="F3" s="207"/>
      <c r="G3" s="207"/>
      <c r="H3" s="207"/>
      <c r="I3" s="207"/>
      <c r="J3" s="17"/>
      <c r="K3" s="17" t="s">
        <v>6</v>
      </c>
      <c r="L3" s="1">
        <f>SUMIF(DIAR_24[[#All],[CATEGORIA]],"4_VENTA",DIAR_24[[#All],[INGRESO]])+SUMIF(DIAR_24[[#All],[CATEGORIA]],"5_COMPRA",DIAR_24[[#All],[EGRESO]])</f>
        <v>2856.5</v>
      </c>
      <c r="M3" s="1"/>
      <c r="AA3" s="49" t="s">
        <v>7</v>
      </c>
    </row>
    <row r="4" spans="2:27" ht="18" x14ac:dyDescent="0.25">
      <c r="B4" s="116"/>
      <c r="C4" s="217" t="s">
        <v>247</v>
      </c>
      <c r="D4" s="217"/>
      <c r="E4" s="217"/>
      <c r="F4" s="217"/>
      <c r="G4" s="217"/>
      <c r="H4" s="217"/>
      <c r="I4" s="217"/>
      <c r="J4" s="17"/>
      <c r="K4" s="17" t="s">
        <v>9</v>
      </c>
      <c r="L4" s="1">
        <f>SUMIF(DIAR_24[[#All],[CATEGORIA]],"2_INGRESO",DIAR_24[[#All],[INGRESO]])+SUMIF(DIAR_24[[#All],[CATEGORIA]],"3_EGRESO",DIAR_24[[#All],[EGRESO]])</f>
        <v>0</v>
      </c>
      <c r="M4" s="1"/>
      <c r="N4" s="85" t="s">
        <v>10</v>
      </c>
      <c r="O4" s="84">
        <v>45162</v>
      </c>
      <c r="P4" s="1">
        <v>6441.5</v>
      </c>
      <c r="AA4" s="49" t="s">
        <v>11</v>
      </c>
    </row>
    <row r="5" spans="2:27" ht="15.75" x14ac:dyDescent="0.25">
      <c r="B5" s="218">
        <f>MAX(DIAR_24[[#All],[FEC_MOV]])</f>
        <v>45657</v>
      </c>
      <c r="C5" s="219"/>
      <c r="D5" s="219"/>
      <c r="E5" s="219"/>
      <c r="F5" s="121" t="s">
        <v>12</v>
      </c>
      <c r="G5" s="1">
        <f>SUBTOTAL(9,$G$7:$G$3538)</f>
        <v>0</v>
      </c>
      <c r="H5" s="1">
        <f>SUBTOTAL(9,$H$7:$H$3538)</f>
        <v>-4211.5</v>
      </c>
      <c r="I5" s="122">
        <f>G5+H5</f>
        <v>-4211.5</v>
      </c>
      <c r="J5" s="17"/>
      <c r="K5" s="123" t="s">
        <v>13</v>
      </c>
      <c r="L5" s="122">
        <f>SUM(L2:L4)</f>
        <v>7315.5</v>
      </c>
      <c r="M5" s="17"/>
      <c r="AA5" s="49" t="s">
        <v>14</v>
      </c>
    </row>
    <row r="6" spans="2:27" x14ac:dyDescent="0.2">
      <c r="B6" s="113" t="s">
        <v>15</v>
      </c>
      <c r="C6" s="113" t="s">
        <v>16</v>
      </c>
      <c r="D6" s="113" t="s">
        <v>17</v>
      </c>
      <c r="E6" s="113" t="s">
        <v>1</v>
      </c>
      <c r="F6" s="113" t="s">
        <v>18</v>
      </c>
      <c r="G6" s="113" t="s">
        <v>19</v>
      </c>
      <c r="H6" s="113" t="s">
        <v>20</v>
      </c>
      <c r="I6" s="113" t="s">
        <v>21</v>
      </c>
      <c r="J6" s="17"/>
      <c r="K6" s="104"/>
      <c r="L6" s="104"/>
      <c r="M6" s="17"/>
      <c r="AA6" s="49" t="s">
        <v>22</v>
      </c>
    </row>
    <row r="7" spans="2:27" hidden="1" x14ac:dyDescent="0.2">
      <c r="B7" s="117">
        <f t="shared" ref="B7:B70" si="0">B6+1</f>
        <v>1</v>
      </c>
      <c r="C7" s="118">
        <v>45291</v>
      </c>
      <c r="D7" s="117" t="s">
        <v>248</v>
      </c>
      <c r="E7" s="157" t="s">
        <v>4</v>
      </c>
      <c r="F7" s="119" t="s">
        <v>249</v>
      </c>
      <c r="G7" s="120">
        <v>766.5</v>
      </c>
      <c r="H7" s="120"/>
      <c r="I7" s="120" t="s">
        <v>3</v>
      </c>
      <c r="AA7" s="49" t="s">
        <v>25</v>
      </c>
    </row>
    <row r="8" spans="2:27" hidden="1" x14ac:dyDescent="0.2">
      <c r="B8" s="50">
        <f t="shared" si="0"/>
        <v>2</v>
      </c>
      <c r="C8" s="51">
        <v>45291</v>
      </c>
      <c r="D8" s="52" t="s">
        <v>248</v>
      </c>
      <c r="E8" s="57" t="s">
        <v>11</v>
      </c>
      <c r="F8" s="53" t="s">
        <v>250</v>
      </c>
      <c r="G8" s="54">
        <v>1779</v>
      </c>
      <c r="H8" s="54"/>
      <c r="I8" s="54" t="s">
        <v>706</v>
      </c>
    </row>
    <row r="9" spans="2:27" hidden="1" x14ac:dyDescent="0.2">
      <c r="B9" s="50">
        <f t="shared" si="0"/>
        <v>3</v>
      </c>
      <c r="C9" s="51">
        <v>45291</v>
      </c>
      <c r="D9" s="52" t="s">
        <v>248</v>
      </c>
      <c r="E9" s="57" t="s">
        <v>22</v>
      </c>
      <c r="F9" s="53" t="s">
        <v>251</v>
      </c>
      <c r="G9" s="54">
        <v>1643</v>
      </c>
      <c r="H9" s="54"/>
      <c r="I9" s="54"/>
    </row>
    <row r="10" spans="2:27" hidden="1" x14ac:dyDescent="0.2">
      <c r="B10" s="50">
        <f t="shared" si="0"/>
        <v>4</v>
      </c>
      <c r="C10" s="51">
        <v>45295</v>
      </c>
      <c r="D10" s="52" t="s">
        <v>248</v>
      </c>
      <c r="E10" s="57" t="s">
        <v>11</v>
      </c>
      <c r="F10" s="53" t="s">
        <v>252</v>
      </c>
      <c r="G10" s="54">
        <v>329</v>
      </c>
      <c r="H10" s="54"/>
      <c r="I10" s="54" t="s">
        <v>706</v>
      </c>
    </row>
    <row r="11" spans="2:27" x14ac:dyDescent="0.2">
      <c r="B11" s="50">
        <f t="shared" si="0"/>
        <v>5</v>
      </c>
      <c r="C11" s="51">
        <v>45296</v>
      </c>
      <c r="D11" s="52" t="s">
        <v>248</v>
      </c>
      <c r="E11" s="57" t="s">
        <v>25</v>
      </c>
      <c r="F11" s="53" t="s">
        <v>253</v>
      </c>
      <c r="G11" s="54"/>
      <c r="H11" s="54">
        <v>-320</v>
      </c>
      <c r="I11" s="54"/>
    </row>
    <row r="12" spans="2:27" x14ac:dyDescent="0.2">
      <c r="B12" s="50">
        <f t="shared" si="0"/>
        <v>6</v>
      </c>
      <c r="C12" s="51">
        <v>45296</v>
      </c>
      <c r="D12" s="52" t="s">
        <v>248</v>
      </c>
      <c r="E12" s="57" t="s">
        <v>25</v>
      </c>
      <c r="F12" s="53" t="s">
        <v>254</v>
      </c>
      <c r="G12" s="55"/>
      <c r="H12" s="54">
        <v>-185</v>
      </c>
      <c r="I12" s="54"/>
    </row>
    <row r="13" spans="2:27" hidden="1" x14ac:dyDescent="0.2">
      <c r="B13" s="50">
        <f t="shared" si="0"/>
        <v>7</v>
      </c>
      <c r="C13" s="51">
        <v>45302</v>
      </c>
      <c r="D13" s="52" t="s">
        <v>248</v>
      </c>
      <c r="E13" s="57" t="s">
        <v>11</v>
      </c>
      <c r="F13" s="53" t="s">
        <v>255</v>
      </c>
      <c r="G13" s="54">
        <v>127</v>
      </c>
      <c r="H13" s="54"/>
      <c r="I13" s="54" t="s">
        <v>706</v>
      </c>
    </row>
    <row r="14" spans="2:27" hidden="1" x14ac:dyDescent="0.2">
      <c r="B14" s="50">
        <f t="shared" si="0"/>
        <v>8</v>
      </c>
      <c r="C14" s="51">
        <v>45309</v>
      </c>
      <c r="D14" s="52" t="s">
        <v>248</v>
      </c>
      <c r="E14" s="57" t="s">
        <v>11</v>
      </c>
      <c r="F14" s="53" t="s">
        <v>256</v>
      </c>
      <c r="G14" s="54">
        <v>96</v>
      </c>
      <c r="H14" s="54"/>
      <c r="I14" s="54" t="s">
        <v>706</v>
      </c>
    </row>
    <row r="15" spans="2:27" ht="15" hidden="1" customHeight="1" x14ac:dyDescent="0.2">
      <c r="B15" s="50">
        <f t="shared" si="0"/>
        <v>9</v>
      </c>
      <c r="C15" s="51">
        <v>45313</v>
      </c>
      <c r="D15" s="52" t="s">
        <v>248</v>
      </c>
      <c r="E15" s="57" t="s">
        <v>14</v>
      </c>
      <c r="F15" s="53" t="s">
        <v>257</v>
      </c>
      <c r="G15" s="54"/>
      <c r="H15" s="54">
        <v>-89</v>
      </c>
      <c r="I15" s="54" t="s">
        <v>697</v>
      </c>
    </row>
    <row r="16" spans="2:27" ht="15" hidden="1" customHeight="1" x14ac:dyDescent="0.2">
      <c r="B16" s="50">
        <f t="shared" si="0"/>
        <v>10</v>
      </c>
      <c r="C16" s="51">
        <v>45316</v>
      </c>
      <c r="D16" s="52" t="s">
        <v>248</v>
      </c>
      <c r="E16" s="57" t="s">
        <v>11</v>
      </c>
      <c r="F16" s="53" t="s">
        <v>258</v>
      </c>
      <c r="G16" s="54">
        <v>429</v>
      </c>
      <c r="H16" s="54"/>
      <c r="I16" s="54" t="s">
        <v>706</v>
      </c>
    </row>
    <row r="17" spans="2:9" ht="15" hidden="1" customHeight="1" x14ac:dyDescent="0.2">
      <c r="B17" s="50">
        <f t="shared" si="0"/>
        <v>11</v>
      </c>
      <c r="C17" s="51">
        <v>45317</v>
      </c>
      <c r="D17" s="52" t="s">
        <v>248</v>
      </c>
      <c r="E17" s="57" t="s">
        <v>4</v>
      </c>
      <c r="F17" s="53" t="s">
        <v>259</v>
      </c>
      <c r="G17" s="54">
        <v>103</v>
      </c>
      <c r="H17" s="54"/>
      <c r="I17" s="54" t="s">
        <v>3</v>
      </c>
    </row>
    <row r="18" spans="2:9" ht="15.75" hidden="1" customHeight="1" x14ac:dyDescent="0.2">
      <c r="B18" s="50">
        <f t="shared" si="0"/>
        <v>12</v>
      </c>
      <c r="C18" s="51">
        <v>45317</v>
      </c>
      <c r="D18" s="52" t="s">
        <v>248</v>
      </c>
      <c r="E18" s="57" t="s">
        <v>4</v>
      </c>
      <c r="F18" s="53" t="s">
        <v>260</v>
      </c>
      <c r="G18" s="54">
        <v>10</v>
      </c>
      <c r="H18" s="54"/>
      <c r="I18" s="54" t="s">
        <v>3</v>
      </c>
    </row>
    <row r="19" spans="2:9" ht="15.75" hidden="1" customHeight="1" x14ac:dyDescent="0.2">
      <c r="B19" s="50">
        <f t="shared" si="0"/>
        <v>13</v>
      </c>
      <c r="C19" s="51">
        <v>45317</v>
      </c>
      <c r="D19" s="52" t="s">
        <v>248</v>
      </c>
      <c r="E19" s="57" t="s">
        <v>22</v>
      </c>
      <c r="F19" s="53" t="s">
        <v>261</v>
      </c>
      <c r="G19" s="54">
        <f>39*5</f>
        <v>195</v>
      </c>
      <c r="H19" s="54"/>
      <c r="I19" s="54"/>
    </row>
    <row r="20" spans="2:9" ht="15.75" hidden="1" customHeight="1" x14ac:dyDescent="0.2">
      <c r="B20" s="50">
        <f t="shared" si="0"/>
        <v>14</v>
      </c>
      <c r="C20" s="51">
        <v>45317</v>
      </c>
      <c r="D20" s="52" t="s">
        <v>248</v>
      </c>
      <c r="E20" s="57" t="s">
        <v>22</v>
      </c>
      <c r="F20" s="53" t="s">
        <v>262</v>
      </c>
      <c r="G20" s="54">
        <v>225</v>
      </c>
      <c r="H20" s="54"/>
      <c r="I20" s="54"/>
    </row>
    <row r="21" spans="2:9" ht="15.75" hidden="1" customHeight="1" x14ac:dyDescent="0.2">
      <c r="B21" s="50">
        <f t="shared" si="0"/>
        <v>15</v>
      </c>
      <c r="C21" s="51">
        <v>45318</v>
      </c>
      <c r="D21" s="52" t="s">
        <v>248</v>
      </c>
      <c r="E21" s="57" t="s">
        <v>7</v>
      </c>
      <c r="F21" s="53" t="s">
        <v>263</v>
      </c>
      <c r="G21" s="54"/>
      <c r="H21" s="54">
        <v>-60</v>
      </c>
      <c r="I21" s="54" t="s">
        <v>689</v>
      </c>
    </row>
    <row r="22" spans="2:9" ht="15.75" hidden="1" customHeight="1" x14ac:dyDescent="0.2">
      <c r="B22" s="50">
        <f t="shared" si="0"/>
        <v>16</v>
      </c>
      <c r="C22" s="51">
        <v>45323</v>
      </c>
      <c r="D22" s="57" t="s">
        <v>23</v>
      </c>
      <c r="E22" s="57" t="s">
        <v>11</v>
      </c>
      <c r="F22" s="53" t="s">
        <v>264</v>
      </c>
      <c r="G22" s="54">
        <v>176</v>
      </c>
      <c r="H22" s="54"/>
      <c r="I22" s="54" t="s">
        <v>706</v>
      </c>
    </row>
    <row r="23" spans="2:9" ht="15.75" hidden="1" customHeight="1" x14ac:dyDescent="0.2">
      <c r="B23" s="50">
        <f t="shared" si="0"/>
        <v>17</v>
      </c>
      <c r="C23" s="51">
        <v>45330</v>
      </c>
      <c r="D23" s="57" t="s">
        <v>23</v>
      </c>
      <c r="E23" s="57" t="s">
        <v>11</v>
      </c>
      <c r="F23" s="53" t="s">
        <v>265</v>
      </c>
      <c r="G23" s="54">
        <v>306</v>
      </c>
      <c r="H23" s="54"/>
      <c r="I23" s="54" t="s">
        <v>706</v>
      </c>
    </row>
    <row r="24" spans="2:9" ht="15.75" hidden="1" customHeight="1" x14ac:dyDescent="0.2">
      <c r="B24" s="50">
        <f t="shared" si="0"/>
        <v>18</v>
      </c>
      <c r="C24" s="51">
        <v>45333</v>
      </c>
      <c r="D24" s="57" t="s">
        <v>23</v>
      </c>
      <c r="E24" s="57" t="s">
        <v>4</v>
      </c>
      <c r="F24" s="53" t="s">
        <v>260</v>
      </c>
      <c r="G24" s="54">
        <v>20</v>
      </c>
      <c r="H24" s="54"/>
      <c r="I24" s="54" t="s">
        <v>3</v>
      </c>
    </row>
    <row r="25" spans="2:9" ht="15.75" hidden="1" customHeight="1" x14ac:dyDescent="0.2">
      <c r="B25" s="50">
        <f t="shared" si="0"/>
        <v>19</v>
      </c>
      <c r="C25" s="51">
        <v>45335</v>
      </c>
      <c r="D25" s="57" t="s">
        <v>23</v>
      </c>
      <c r="E25" s="57" t="s">
        <v>14</v>
      </c>
      <c r="F25" s="53" t="s">
        <v>266</v>
      </c>
      <c r="G25" s="54"/>
      <c r="H25" s="54">
        <v>-121</v>
      </c>
      <c r="I25" s="54" t="s">
        <v>697</v>
      </c>
    </row>
    <row r="26" spans="2:9" ht="15.75" hidden="1" customHeight="1" x14ac:dyDescent="0.2">
      <c r="B26" s="50">
        <f t="shared" si="0"/>
        <v>20</v>
      </c>
      <c r="C26" s="51">
        <v>45335</v>
      </c>
      <c r="D26" s="57" t="s">
        <v>23</v>
      </c>
      <c r="E26" s="57" t="s">
        <v>14</v>
      </c>
      <c r="F26" s="53" t="s">
        <v>624</v>
      </c>
      <c r="G26" s="54"/>
      <c r="H26" s="54">
        <v>-35</v>
      </c>
      <c r="I26" s="54" t="s">
        <v>697</v>
      </c>
    </row>
    <row r="27" spans="2:9" ht="15.75" hidden="1" customHeight="1" x14ac:dyDescent="0.2">
      <c r="B27" s="50">
        <f t="shared" si="0"/>
        <v>21</v>
      </c>
      <c r="C27" s="51">
        <v>45337</v>
      </c>
      <c r="D27" s="57" t="s">
        <v>23</v>
      </c>
      <c r="E27" s="57" t="s">
        <v>11</v>
      </c>
      <c r="F27" s="53" t="s">
        <v>267</v>
      </c>
      <c r="G27" s="54">
        <v>360</v>
      </c>
      <c r="H27" s="54"/>
      <c r="I27" s="54" t="s">
        <v>708</v>
      </c>
    </row>
    <row r="28" spans="2:9" ht="15.75" hidden="1" customHeight="1" x14ac:dyDescent="0.2">
      <c r="B28" s="50">
        <f t="shared" si="0"/>
        <v>22</v>
      </c>
      <c r="C28" s="51">
        <v>45337</v>
      </c>
      <c r="D28" s="57" t="s">
        <v>23</v>
      </c>
      <c r="E28" s="57" t="s">
        <v>11</v>
      </c>
      <c r="F28" s="53" t="s">
        <v>268</v>
      </c>
      <c r="G28" s="54">
        <v>445.5</v>
      </c>
      <c r="H28" s="54"/>
      <c r="I28" s="54" t="s">
        <v>708</v>
      </c>
    </row>
    <row r="29" spans="2:9" ht="15.75" hidden="1" customHeight="1" x14ac:dyDescent="0.2">
      <c r="B29" s="50">
        <f t="shared" si="0"/>
        <v>23</v>
      </c>
      <c r="C29" s="51">
        <v>45337</v>
      </c>
      <c r="D29" s="57" t="s">
        <v>23</v>
      </c>
      <c r="E29" s="57" t="s">
        <v>22</v>
      </c>
      <c r="F29" s="53" t="s">
        <v>269</v>
      </c>
      <c r="G29" s="54">
        <v>5</v>
      </c>
      <c r="H29" s="54"/>
      <c r="I29" s="54"/>
    </row>
    <row r="30" spans="2:9" ht="15.75" hidden="1" customHeight="1" x14ac:dyDescent="0.2">
      <c r="B30" s="50">
        <f t="shared" si="0"/>
        <v>24</v>
      </c>
      <c r="C30" s="51">
        <v>45339</v>
      </c>
      <c r="D30" s="57" t="s">
        <v>23</v>
      </c>
      <c r="E30" s="57" t="s">
        <v>14</v>
      </c>
      <c r="F30" s="53" t="s">
        <v>270</v>
      </c>
      <c r="G30" s="54"/>
      <c r="H30" s="54">
        <v>-805.5</v>
      </c>
      <c r="I30" s="54" t="s">
        <v>710</v>
      </c>
    </row>
    <row r="31" spans="2:9" ht="15.75" hidden="1" customHeight="1" x14ac:dyDescent="0.2">
      <c r="B31" s="50">
        <f t="shared" si="0"/>
        <v>25</v>
      </c>
      <c r="C31" s="51">
        <v>45341</v>
      </c>
      <c r="D31" s="57" t="s">
        <v>23</v>
      </c>
      <c r="E31" s="57" t="s">
        <v>4</v>
      </c>
      <c r="F31" s="53" t="s">
        <v>271</v>
      </c>
      <c r="G31" s="54">
        <v>20</v>
      </c>
      <c r="H31" s="54"/>
      <c r="I31" s="54" t="s">
        <v>3</v>
      </c>
    </row>
    <row r="32" spans="2:9" ht="15.75" hidden="1" customHeight="1" x14ac:dyDescent="0.2">
      <c r="B32" s="50">
        <f t="shared" si="0"/>
        <v>26</v>
      </c>
      <c r="C32" s="51">
        <v>45344</v>
      </c>
      <c r="D32" s="57" t="s">
        <v>23</v>
      </c>
      <c r="E32" s="57" t="s">
        <v>11</v>
      </c>
      <c r="F32" s="53" t="s">
        <v>272</v>
      </c>
      <c r="G32" s="54">
        <v>320.5</v>
      </c>
      <c r="H32" s="54"/>
      <c r="I32" s="54" t="s">
        <v>706</v>
      </c>
    </row>
    <row r="33" spans="2:9" ht="15.75" hidden="1" customHeight="1" x14ac:dyDescent="0.2">
      <c r="B33" s="50">
        <f t="shared" si="0"/>
        <v>27</v>
      </c>
      <c r="C33" s="51">
        <v>45345</v>
      </c>
      <c r="D33" s="57" t="s">
        <v>23</v>
      </c>
      <c r="E33" s="57" t="s">
        <v>22</v>
      </c>
      <c r="F33" s="53" t="s">
        <v>273</v>
      </c>
      <c r="G33" s="54">
        <f>55*5</f>
        <v>275</v>
      </c>
      <c r="H33" s="54"/>
      <c r="I33" s="54"/>
    </row>
    <row r="34" spans="2:9" ht="15.75" hidden="1" customHeight="1" x14ac:dyDescent="0.2">
      <c r="B34" s="50">
        <f t="shared" si="0"/>
        <v>28</v>
      </c>
      <c r="C34" s="51">
        <v>45345</v>
      </c>
      <c r="D34" s="57" t="s">
        <v>23</v>
      </c>
      <c r="E34" s="57" t="s">
        <v>22</v>
      </c>
      <c r="F34" s="53" t="s">
        <v>274</v>
      </c>
      <c r="G34" s="54">
        <f>63*5</f>
        <v>315</v>
      </c>
      <c r="H34" s="54"/>
      <c r="I34" s="54"/>
    </row>
    <row r="35" spans="2:9" ht="15.75" hidden="1" customHeight="1" x14ac:dyDescent="0.2">
      <c r="B35" s="50">
        <f t="shared" si="0"/>
        <v>29</v>
      </c>
      <c r="C35" s="51">
        <v>45346</v>
      </c>
      <c r="D35" s="57" t="s">
        <v>23</v>
      </c>
      <c r="E35" s="57" t="s">
        <v>14</v>
      </c>
      <c r="F35" s="53" t="s">
        <v>275</v>
      </c>
      <c r="G35" s="54"/>
      <c r="H35" s="54">
        <v>-350</v>
      </c>
      <c r="I35" s="54" t="s">
        <v>697</v>
      </c>
    </row>
    <row r="36" spans="2:9" ht="15.75" hidden="1" customHeight="1" x14ac:dyDescent="0.2">
      <c r="B36" s="50">
        <f t="shared" si="0"/>
        <v>30</v>
      </c>
      <c r="C36" s="51">
        <v>45346</v>
      </c>
      <c r="D36" s="57" t="s">
        <v>23</v>
      </c>
      <c r="E36" s="57" t="s">
        <v>14</v>
      </c>
      <c r="F36" s="53" t="s">
        <v>276</v>
      </c>
      <c r="G36" s="54"/>
      <c r="H36" s="54">
        <v>-100</v>
      </c>
      <c r="I36" s="54" t="s">
        <v>697</v>
      </c>
    </row>
    <row r="37" spans="2:9" ht="15.75" hidden="1" customHeight="1" x14ac:dyDescent="0.2">
      <c r="B37" s="50">
        <f t="shared" si="0"/>
        <v>31</v>
      </c>
      <c r="C37" s="51">
        <v>45346</v>
      </c>
      <c r="D37" s="57" t="s">
        <v>23</v>
      </c>
      <c r="E37" s="57" t="s">
        <v>14</v>
      </c>
      <c r="F37" s="53" t="s">
        <v>277</v>
      </c>
      <c r="G37" s="54"/>
      <c r="H37" s="54">
        <v>-156</v>
      </c>
      <c r="I37" s="54" t="s">
        <v>689</v>
      </c>
    </row>
    <row r="38" spans="2:9" ht="15.75" hidden="1" customHeight="1" x14ac:dyDescent="0.2">
      <c r="B38" s="50">
        <f t="shared" si="0"/>
        <v>32</v>
      </c>
      <c r="C38" s="51">
        <v>45351</v>
      </c>
      <c r="D38" s="57" t="s">
        <v>23</v>
      </c>
      <c r="E38" s="57" t="s">
        <v>11</v>
      </c>
      <c r="F38" s="53" t="s">
        <v>278</v>
      </c>
      <c r="G38" s="54">
        <v>320</v>
      </c>
      <c r="H38" s="54"/>
      <c r="I38" s="54" t="s">
        <v>706</v>
      </c>
    </row>
    <row r="39" spans="2:9" ht="15.75" hidden="1" customHeight="1" x14ac:dyDescent="0.2">
      <c r="B39" s="50">
        <f t="shared" si="0"/>
        <v>33</v>
      </c>
      <c r="C39" s="51">
        <v>45351</v>
      </c>
      <c r="D39" s="57" t="s">
        <v>23</v>
      </c>
      <c r="E39" s="57" t="s">
        <v>14</v>
      </c>
      <c r="F39" s="53" t="s">
        <v>279</v>
      </c>
      <c r="G39" s="54"/>
      <c r="H39" s="54">
        <v>-55</v>
      </c>
      <c r="I39" s="54" t="s">
        <v>697</v>
      </c>
    </row>
    <row r="40" spans="2:9" ht="15.75" customHeight="1" x14ac:dyDescent="0.2">
      <c r="B40" s="50">
        <f t="shared" si="0"/>
        <v>34</v>
      </c>
      <c r="C40" s="51">
        <v>45351</v>
      </c>
      <c r="D40" s="57" t="s">
        <v>23</v>
      </c>
      <c r="E40" s="57" t="s">
        <v>25</v>
      </c>
      <c r="F40" s="53" t="s">
        <v>280</v>
      </c>
      <c r="G40" s="54"/>
      <c r="H40" s="54">
        <v>-39.5</v>
      </c>
      <c r="I40" s="54"/>
    </row>
    <row r="41" spans="2:9" ht="15.75" customHeight="1" x14ac:dyDescent="0.2">
      <c r="B41" s="50">
        <f t="shared" si="0"/>
        <v>35</v>
      </c>
      <c r="C41" s="51">
        <v>45351</v>
      </c>
      <c r="D41" s="57" t="s">
        <v>23</v>
      </c>
      <c r="E41" s="57" t="s">
        <v>25</v>
      </c>
      <c r="F41" s="53" t="s">
        <v>281</v>
      </c>
      <c r="G41" s="54"/>
      <c r="H41" s="54">
        <v>-57</v>
      </c>
      <c r="I41" s="54"/>
    </row>
    <row r="42" spans="2:9" ht="15.75" customHeight="1" x14ac:dyDescent="0.2">
      <c r="B42" s="50">
        <f t="shared" si="0"/>
        <v>36</v>
      </c>
      <c r="C42" s="51">
        <v>45351</v>
      </c>
      <c r="D42" s="57" t="s">
        <v>23</v>
      </c>
      <c r="E42" s="57" t="s">
        <v>25</v>
      </c>
      <c r="F42" s="53" t="s">
        <v>282</v>
      </c>
      <c r="G42" s="54"/>
      <c r="H42" s="54">
        <v>-320</v>
      </c>
      <c r="I42" s="54" t="s">
        <v>283</v>
      </c>
    </row>
    <row r="43" spans="2:9" ht="15.75" customHeight="1" x14ac:dyDescent="0.2">
      <c r="B43" s="50">
        <f t="shared" si="0"/>
        <v>37</v>
      </c>
      <c r="C43" s="51">
        <v>45351</v>
      </c>
      <c r="D43" s="57" t="s">
        <v>23</v>
      </c>
      <c r="E43" s="57" t="s">
        <v>25</v>
      </c>
      <c r="F43" s="53" t="s">
        <v>284</v>
      </c>
      <c r="G43" s="54"/>
      <c r="H43" s="54">
        <v>-185</v>
      </c>
      <c r="I43" s="54" t="s">
        <v>285</v>
      </c>
    </row>
    <row r="44" spans="2:9" ht="15.75" hidden="1" customHeight="1" x14ac:dyDescent="0.2">
      <c r="B44" s="50">
        <f t="shared" si="0"/>
        <v>38</v>
      </c>
      <c r="C44" s="51">
        <v>45356</v>
      </c>
      <c r="D44" s="57" t="s">
        <v>33</v>
      </c>
      <c r="E44" s="57" t="s">
        <v>14</v>
      </c>
      <c r="F44" s="53" t="s">
        <v>270</v>
      </c>
      <c r="G44" s="54"/>
      <c r="H44" s="54">
        <v>-2976.5</v>
      </c>
      <c r="I44" s="54" t="s">
        <v>710</v>
      </c>
    </row>
    <row r="45" spans="2:9" ht="15.75" hidden="1" customHeight="1" x14ac:dyDescent="0.2">
      <c r="B45" s="50">
        <f t="shared" si="0"/>
        <v>39</v>
      </c>
      <c r="C45" s="51">
        <v>45358</v>
      </c>
      <c r="D45" s="57" t="s">
        <v>33</v>
      </c>
      <c r="E45" s="57" t="s">
        <v>4</v>
      </c>
      <c r="F45" s="53" t="s">
        <v>271</v>
      </c>
      <c r="G45" s="54">
        <f>80+50</f>
        <v>130</v>
      </c>
      <c r="H45" s="54"/>
      <c r="I45" s="54" t="s">
        <v>3</v>
      </c>
    </row>
    <row r="46" spans="2:9" ht="15.75" hidden="1" customHeight="1" x14ac:dyDescent="0.2">
      <c r="B46" s="50">
        <f t="shared" si="0"/>
        <v>40</v>
      </c>
      <c r="C46" s="51">
        <v>45358</v>
      </c>
      <c r="D46" s="57" t="s">
        <v>33</v>
      </c>
      <c r="E46" s="57" t="s">
        <v>4</v>
      </c>
      <c r="F46" s="53" t="s">
        <v>286</v>
      </c>
      <c r="G46" s="54">
        <v>500</v>
      </c>
      <c r="H46" s="54"/>
      <c r="I46" s="54" t="s">
        <v>3</v>
      </c>
    </row>
    <row r="47" spans="2:9" ht="15.75" hidden="1" customHeight="1" x14ac:dyDescent="0.2">
      <c r="B47" s="50">
        <f t="shared" si="0"/>
        <v>41</v>
      </c>
      <c r="C47" s="51">
        <v>45358</v>
      </c>
      <c r="D47" s="57" t="s">
        <v>33</v>
      </c>
      <c r="E47" s="57" t="s">
        <v>11</v>
      </c>
      <c r="F47" s="53" t="s">
        <v>287</v>
      </c>
      <c r="G47" s="54">
        <v>440</v>
      </c>
      <c r="H47" s="54"/>
      <c r="I47" s="54" t="s">
        <v>706</v>
      </c>
    </row>
    <row r="48" spans="2:9" ht="15.75" hidden="1" customHeight="1" x14ac:dyDescent="0.2">
      <c r="B48" s="50">
        <f t="shared" si="0"/>
        <v>42</v>
      </c>
      <c r="C48" s="51">
        <v>45359</v>
      </c>
      <c r="D48" s="57" t="s">
        <v>33</v>
      </c>
      <c r="E48" s="57" t="s">
        <v>14</v>
      </c>
      <c r="F48" s="53" t="s">
        <v>288</v>
      </c>
      <c r="G48" s="54"/>
      <c r="H48" s="54">
        <v>-40</v>
      </c>
      <c r="I48" s="54" t="s">
        <v>689</v>
      </c>
    </row>
    <row r="49" spans="2:9" ht="15.75" hidden="1" customHeight="1" x14ac:dyDescent="0.2">
      <c r="B49" s="50">
        <f t="shared" si="0"/>
        <v>43</v>
      </c>
      <c r="C49" s="51">
        <v>45368</v>
      </c>
      <c r="D49" s="57" t="s">
        <v>33</v>
      </c>
      <c r="E49" s="57" t="s">
        <v>4</v>
      </c>
      <c r="F49" s="53" t="s">
        <v>271</v>
      </c>
      <c r="G49" s="54">
        <v>50</v>
      </c>
      <c r="H49" s="54"/>
      <c r="I49" s="54" t="s">
        <v>3</v>
      </c>
    </row>
    <row r="50" spans="2:9" ht="15.75" hidden="1" customHeight="1" x14ac:dyDescent="0.2">
      <c r="B50" s="50">
        <f t="shared" si="0"/>
        <v>44</v>
      </c>
      <c r="C50" s="51">
        <v>45368</v>
      </c>
      <c r="D50" s="57" t="s">
        <v>33</v>
      </c>
      <c r="E50" s="57" t="s">
        <v>4</v>
      </c>
      <c r="F50" s="53" t="s">
        <v>289</v>
      </c>
      <c r="G50" s="54">
        <v>10</v>
      </c>
      <c r="H50" s="54"/>
      <c r="I50" s="54" t="s">
        <v>3</v>
      </c>
    </row>
    <row r="51" spans="2:9" ht="15.75" hidden="1" customHeight="1" x14ac:dyDescent="0.2">
      <c r="B51" s="50">
        <f t="shared" si="0"/>
        <v>45</v>
      </c>
      <c r="C51" s="51">
        <v>45370</v>
      </c>
      <c r="D51" s="57" t="s">
        <v>76</v>
      </c>
      <c r="E51" s="57" t="s">
        <v>7</v>
      </c>
      <c r="F51" s="53" t="s">
        <v>290</v>
      </c>
      <c r="G51" s="54"/>
      <c r="H51" s="54">
        <v>-2500</v>
      </c>
      <c r="I51" s="54" t="s">
        <v>696</v>
      </c>
    </row>
    <row r="52" spans="2:9" ht="15.75" hidden="1" customHeight="1" x14ac:dyDescent="0.2">
      <c r="B52" s="50">
        <f t="shared" si="0"/>
        <v>46</v>
      </c>
      <c r="C52" s="51">
        <v>45372</v>
      </c>
      <c r="D52" s="57" t="s">
        <v>33</v>
      </c>
      <c r="E52" s="57" t="s">
        <v>11</v>
      </c>
      <c r="F52" s="53" t="s">
        <v>291</v>
      </c>
      <c r="G52" s="54">
        <v>222</v>
      </c>
      <c r="H52" s="54"/>
      <c r="I52" s="54" t="s">
        <v>706</v>
      </c>
    </row>
    <row r="53" spans="2:9" ht="15.75" hidden="1" customHeight="1" x14ac:dyDescent="0.2">
      <c r="B53" s="50">
        <f t="shared" si="0"/>
        <v>47</v>
      </c>
      <c r="C53" s="51">
        <v>45373</v>
      </c>
      <c r="D53" s="57" t="s">
        <v>33</v>
      </c>
      <c r="E53" s="57" t="s">
        <v>4</v>
      </c>
      <c r="F53" s="53" t="s">
        <v>271</v>
      </c>
      <c r="G53" s="54">
        <f>2140-200</f>
        <v>1940</v>
      </c>
      <c r="H53" s="54"/>
      <c r="I53" s="54" t="s">
        <v>3</v>
      </c>
    </row>
    <row r="54" spans="2:9" ht="15.75" hidden="1" customHeight="1" x14ac:dyDescent="0.2">
      <c r="B54" s="50">
        <f t="shared" si="0"/>
        <v>48</v>
      </c>
      <c r="C54" s="51">
        <v>45373</v>
      </c>
      <c r="D54" s="57" t="s">
        <v>33</v>
      </c>
      <c r="E54" s="57" t="s">
        <v>11</v>
      </c>
      <c r="F54" s="53" t="s">
        <v>292</v>
      </c>
      <c r="G54" s="54">
        <v>200</v>
      </c>
      <c r="H54" s="54"/>
      <c r="I54" s="54" t="s">
        <v>709</v>
      </c>
    </row>
    <row r="55" spans="2:9" ht="15.75" hidden="1" customHeight="1" x14ac:dyDescent="0.2">
      <c r="B55" s="50">
        <f t="shared" si="0"/>
        <v>49</v>
      </c>
      <c r="C55" s="51">
        <v>45373</v>
      </c>
      <c r="D55" s="57" t="s">
        <v>33</v>
      </c>
      <c r="E55" s="57" t="s">
        <v>14</v>
      </c>
      <c r="F55" s="53" t="s">
        <v>293</v>
      </c>
      <c r="G55" s="54"/>
      <c r="H55" s="54">
        <v>-25</v>
      </c>
      <c r="I55" s="54" t="s">
        <v>689</v>
      </c>
    </row>
    <row r="56" spans="2:9" ht="15.75" hidden="1" customHeight="1" x14ac:dyDescent="0.2">
      <c r="B56" s="50">
        <f t="shared" si="0"/>
        <v>50</v>
      </c>
      <c r="C56" s="51">
        <v>45373</v>
      </c>
      <c r="D56" s="57" t="s">
        <v>33</v>
      </c>
      <c r="E56" s="57" t="s">
        <v>22</v>
      </c>
      <c r="F56" s="53" t="s">
        <v>294</v>
      </c>
      <c r="G56" s="54">
        <v>0</v>
      </c>
      <c r="H56" s="54"/>
      <c r="I56" s="54" t="s">
        <v>295</v>
      </c>
    </row>
    <row r="57" spans="2:9" ht="15.75" hidden="1" customHeight="1" x14ac:dyDescent="0.2">
      <c r="B57" s="50">
        <f t="shared" si="0"/>
        <v>51</v>
      </c>
      <c r="C57" s="51">
        <v>45373</v>
      </c>
      <c r="D57" s="57" t="s">
        <v>33</v>
      </c>
      <c r="E57" s="57" t="s">
        <v>22</v>
      </c>
      <c r="F57" s="53" t="s">
        <v>296</v>
      </c>
      <c r="G57" s="54">
        <v>200</v>
      </c>
      <c r="H57" s="54"/>
      <c r="I57" s="54" t="s">
        <v>297</v>
      </c>
    </row>
    <row r="58" spans="2:9" ht="15.75" hidden="1" customHeight="1" x14ac:dyDescent="0.2">
      <c r="B58" s="50">
        <f t="shared" si="0"/>
        <v>52</v>
      </c>
      <c r="C58" s="51">
        <v>45373</v>
      </c>
      <c r="D58" s="57" t="s">
        <v>33</v>
      </c>
      <c r="E58" s="57" t="s">
        <v>22</v>
      </c>
      <c r="F58" s="53" t="s">
        <v>298</v>
      </c>
      <c r="G58" s="54">
        <v>245</v>
      </c>
      <c r="H58" s="54"/>
      <c r="I58" s="54" t="s">
        <v>299</v>
      </c>
    </row>
    <row r="59" spans="2:9" ht="15.75" hidden="1" customHeight="1" x14ac:dyDescent="0.2">
      <c r="B59" s="50">
        <f t="shared" si="0"/>
        <v>53</v>
      </c>
      <c r="C59" s="51">
        <v>45374</v>
      </c>
      <c r="D59" s="57" t="s">
        <v>33</v>
      </c>
      <c r="E59" s="57" t="s">
        <v>22</v>
      </c>
      <c r="F59" s="53" t="s">
        <v>300</v>
      </c>
      <c r="G59" s="54">
        <v>5</v>
      </c>
      <c r="H59" s="54"/>
      <c r="I59" s="54" t="s">
        <v>301</v>
      </c>
    </row>
    <row r="60" spans="2:9" ht="15.75" hidden="1" customHeight="1" x14ac:dyDescent="0.2">
      <c r="B60" s="50">
        <f t="shared" si="0"/>
        <v>54</v>
      </c>
      <c r="C60" s="51">
        <v>45375</v>
      </c>
      <c r="D60" s="57" t="s">
        <v>33</v>
      </c>
      <c r="E60" s="57" t="s">
        <v>14</v>
      </c>
      <c r="F60" s="53" t="s">
        <v>302</v>
      </c>
      <c r="G60" s="54"/>
      <c r="H60" s="54">
        <v>-700</v>
      </c>
      <c r="I60" s="54" t="s">
        <v>697</v>
      </c>
    </row>
    <row r="61" spans="2:9" ht="15.75" hidden="1" customHeight="1" x14ac:dyDescent="0.2">
      <c r="B61" s="50">
        <f t="shared" si="0"/>
        <v>55</v>
      </c>
      <c r="C61" s="51">
        <v>45375</v>
      </c>
      <c r="D61" s="57" t="s">
        <v>33</v>
      </c>
      <c r="E61" s="57" t="s">
        <v>14</v>
      </c>
      <c r="F61" s="53" t="s">
        <v>303</v>
      </c>
      <c r="G61" s="54"/>
      <c r="H61" s="54">
        <v>-10</v>
      </c>
      <c r="I61" s="54" t="s">
        <v>689</v>
      </c>
    </row>
    <row r="62" spans="2:9" ht="15.75" customHeight="1" x14ac:dyDescent="0.2">
      <c r="B62" s="50">
        <f t="shared" si="0"/>
        <v>56</v>
      </c>
      <c r="C62" s="51">
        <v>45377</v>
      </c>
      <c r="D62" s="57" t="s">
        <v>33</v>
      </c>
      <c r="E62" s="57" t="s">
        <v>25</v>
      </c>
      <c r="F62" s="53" t="s">
        <v>304</v>
      </c>
      <c r="G62" s="54"/>
      <c r="H62" s="54">
        <v>-750</v>
      </c>
      <c r="I62" s="54"/>
    </row>
    <row r="63" spans="2:9" ht="15.75" hidden="1" customHeight="1" x14ac:dyDescent="0.2">
      <c r="B63" s="50">
        <f t="shared" si="0"/>
        <v>57</v>
      </c>
      <c r="C63" s="51">
        <v>45381</v>
      </c>
      <c r="D63" s="57" t="s">
        <v>33</v>
      </c>
      <c r="E63" s="57" t="s">
        <v>22</v>
      </c>
      <c r="F63" s="53" t="s">
        <v>305</v>
      </c>
      <c r="G63" s="54">
        <v>0</v>
      </c>
      <c r="H63" s="54"/>
      <c r="I63" s="54" t="s">
        <v>306</v>
      </c>
    </row>
    <row r="64" spans="2:9" ht="15.75" hidden="1" customHeight="1" x14ac:dyDescent="0.2">
      <c r="B64" s="50">
        <f t="shared" si="0"/>
        <v>58</v>
      </c>
      <c r="C64" s="51">
        <v>45383</v>
      </c>
      <c r="D64" s="57" t="s">
        <v>36</v>
      </c>
      <c r="E64" s="57" t="s">
        <v>4</v>
      </c>
      <c r="F64" s="53" t="s">
        <v>307</v>
      </c>
      <c r="G64" s="54">
        <v>100</v>
      </c>
      <c r="H64" s="54"/>
      <c r="I64" s="54" t="s">
        <v>3</v>
      </c>
    </row>
    <row r="65" spans="2:9" ht="15.75" hidden="1" customHeight="1" x14ac:dyDescent="0.2">
      <c r="B65" s="50">
        <f t="shared" si="0"/>
        <v>59</v>
      </c>
      <c r="C65" s="51">
        <v>45386</v>
      </c>
      <c r="D65" s="57" t="s">
        <v>36</v>
      </c>
      <c r="E65" s="57" t="s">
        <v>11</v>
      </c>
      <c r="F65" s="53" t="s">
        <v>308</v>
      </c>
      <c r="G65" s="54">
        <v>286</v>
      </c>
      <c r="H65" s="54"/>
      <c r="I65" s="54" t="s">
        <v>706</v>
      </c>
    </row>
    <row r="66" spans="2:9" ht="15.75" hidden="1" customHeight="1" x14ac:dyDescent="0.2">
      <c r="B66" s="50">
        <f t="shared" si="0"/>
        <v>60</v>
      </c>
      <c r="C66" s="51">
        <v>45389</v>
      </c>
      <c r="D66" s="57" t="s">
        <v>36</v>
      </c>
      <c r="E66" s="57" t="s">
        <v>4</v>
      </c>
      <c r="F66" s="53" t="s">
        <v>271</v>
      </c>
      <c r="G66" s="54">
        <v>30</v>
      </c>
      <c r="H66" s="54"/>
      <c r="I66" s="54" t="s">
        <v>3</v>
      </c>
    </row>
    <row r="67" spans="2:9" ht="15.75" hidden="1" customHeight="1" x14ac:dyDescent="0.2">
      <c r="B67" s="50">
        <f t="shared" si="0"/>
        <v>61</v>
      </c>
      <c r="C67" s="51">
        <v>45389</v>
      </c>
      <c r="D67" s="57" t="s">
        <v>36</v>
      </c>
      <c r="E67" s="57" t="s">
        <v>4</v>
      </c>
      <c r="F67" s="53" t="s">
        <v>289</v>
      </c>
      <c r="G67" s="54">
        <v>30</v>
      </c>
      <c r="H67" s="54"/>
      <c r="I67" s="54" t="s">
        <v>3</v>
      </c>
    </row>
    <row r="68" spans="2:9" ht="15.75" hidden="1" customHeight="1" x14ac:dyDescent="0.2">
      <c r="B68" s="58">
        <f t="shared" si="0"/>
        <v>62</v>
      </c>
      <c r="C68" s="51">
        <v>45392</v>
      </c>
      <c r="D68" s="57" t="s">
        <v>36</v>
      </c>
      <c r="E68" s="57" t="s">
        <v>7</v>
      </c>
      <c r="F68" s="60" t="s">
        <v>309</v>
      </c>
      <c r="G68" s="61"/>
      <c r="H68" s="61">
        <v>-310</v>
      </c>
      <c r="I68" s="61" t="s">
        <v>697</v>
      </c>
    </row>
    <row r="69" spans="2:9" ht="15.75" hidden="1" customHeight="1" x14ac:dyDescent="0.2">
      <c r="B69" s="50">
        <f t="shared" si="0"/>
        <v>63</v>
      </c>
      <c r="C69" s="51">
        <v>45393</v>
      </c>
      <c r="D69" s="57" t="s">
        <v>36</v>
      </c>
      <c r="E69" s="57" t="s">
        <v>11</v>
      </c>
      <c r="F69" s="53" t="s">
        <v>707</v>
      </c>
      <c r="G69" s="54">
        <v>713</v>
      </c>
      <c r="H69" s="54"/>
      <c r="I69" s="54" t="s">
        <v>708</v>
      </c>
    </row>
    <row r="70" spans="2:9" ht="15.75" hidden="1" customHeight="1" x14ac:dyDescent="0.2">
      <c r="B70" s="50">
        <f t="shared" si="0"/>
        <v>64</v>
      </c>
      <c r="C70" s="51">
        <v>45393</v>
      </c>
      <c r="D70" s="57" t="s">
        <v>36</v>
      </c>
      <c r="E70" s="57" t="s">
        <v>14</v>
      </c>
      <c r="F70" s="53" t="s">
        <v>310</v>
      </c>
      <c r="G70" s="54"/>
      <c r="H70" s="54">
        <v>-12</v>
      </c>
      <c r="I70" s="54" t="s">
        <v>689</v>
      </c>
    </row>
    <row r="71" spans="2:9" ht="15.75" hidden="1" customHeight="1" x14ac:dyDescent="0.2">
      <c r="B71" s="50">
        <f t="shared" ref="B71:B134" si="1">B70+1</f>
        <v>65</v>
      </c>
      <c r="C71" s="51">
        <v>45394</v>
      </c>
      <c r="D71" s="57" t="s">
        <v>36</v>
      </c>
      <c r="E71" s="57" t="s">
        <v>14</v>
      </c>
      <c r="F71" s="53" t="s">
        <v>270</v>
      </c>
      <c r="G71" s="54"/>
      <c r="H71" s="54">
        <v>-1000</v>
      </c>
      <c r="I71" s="54" t="s">
        <v>710</v>
      </c>
    </row>
    <row r="72" spans="2:9" ht="15.75" hidden="1" customHeight="1" x14ac:dyDescent="0.2">
      <c r="B72" s="50">
        <f t="shared" si="1"/>
        <v>66</v>
      </c>
      <c r="C72" s="51">
        <v>45400</v>
      </c>
      <c r="D72" s="57" t="s">
        <v>36</v>
      </c>
      <c r="E72" s="57" t="s">
        <v>11</v>
      </c>
      <c r="F72" s="53" t="s">
        <v>311</v>
      </c>
      <c r="G72" s="54">
        <v>426.5</v>
      </c>
      <c r="H72" s="54"/>
      <c r="I72" s="54" t="s">
        <v>706</v>
      </c>
    </row>
    <row r="73" spans="2:9" ht="15.75" hidden="1" customHeight="1" x14ac:dyDescent="0.2">
      <c r="B73" s="50">
        <f t="shared" si="1"/>
        <v>67</v>
      </c>
      <c r="C73" s="51">
        <v>45407</v>
      </c>
      <c r="D73" s="57" t="s">
        <v>36</v>
      </c>
      <c r="E73" s="57" t="s">
        <v>4</v>
      </c>
      <c r="F73" s="53" t="s">
        <v>271</v>
      </c>
      <c r="G73" s="54">
        <v>100</v>
      </c>
      <c r="H73" s="54"/>
      <c r="I73" s="54" t="s">
        <v>3</v>
      </c>
    </row>
    <row r="74" spans="2:9" ht="15.75" hidden="1" customHeight="1" x14ac:dyDescent="0.2">
      <c r="B74" s="50">
        <f t="shared" si="1"/>
        <v>68</v>
      </c>
      <c r="C74" s="51">
        <v>45407</v>
      </c>
      <c r="D74" s="57" t="s">
        <v>36</v>
      </c>
      <c r="E74" s="57" t="s">
        <v>11</v>
      </c>
      <c r="F74" s="53" t="s">
        <v>312</v>
      </c>
      <c r="G74" s="54">
        <v>299.5</v>
      </c>
      <c r="H74" s="54"/>
      <c r="I74" s="54" t="s">
        <v>706</v>
      </c>
    </row>
    <row r="75" spans="2:9" ht="15.75" hidden="1" customHeight="1" x14ac:dyDescent="0.2">
      <c r="B75" s="50">
        <f t="shared" si="1"/>
        <v>69</v>
      </c>
      <c r="C75" s="51">
        <v>45408</v>
      </c>
      <c r="D75" s="57" t="s">
        <v>36</v>
      </c>
      <c r="E75" s="57" t="s">
        <v>14</v>
      </c>
      <c r="F75" s="53" t="s">
        <v>313</v>
      </c>
      <c r="G75" s="54"/>
      <c r="H75" s="54">
        <f>-50-31</f>
        <v>-81</v>
      </c>
      <c r="I75" s="54" t="s">
        <v>697</v>
      </c>
    </row>
    <row r="76" spans="2:9" ht="15.75" hidden="1" customHeight="1" x14ac:dyDescent="0.2">
      <c r="B76" s="50">
        <f t="shared" si="1"/>
        <v>70</v>
      </c>
      <c r="C76" s="51">
        <v>45408</v>
      </c>
      <c r="D76" s="57" t="s">
        <v>36</v>
      </c>
      <c r="E76" s="57" t="s">
        <v>22</v>
      </c>
      <c r="F76" s="53" t="s">
        <v>314</v>
      </c>
      <c r="G76" s="54">
        <v>255</v>
      </c>
      <c r="H76" s="54"/>
      <c r="I76" s="54" t="s">
        <v>315</v>
      </c>
    </row>
    <row r="77" spans="2:9" ht="15.75" hidden="1" customHeight="1" x14ac:dyDescent="0.2">
      <c r="B77" s="50">
        <f t="shared" si="1"/>
        <v>71</v>
      </c>
      <c r="C77" s="51">
        <v>45408</v>
      </c>
      <c r="D77" s="57" t="s">
        <v>36</v>
      </c>
      <c r="E77" s="57" t="s">
        <v>22</v>
      </c>
      <c r="F77" s="53" t="s">
        <v>316</v>
      </c>
      <c r="G77" s="54">
        <v>275</v>
      </c>
      <c r="H77" s="54"/>
      <c r="I77" s="54" t="s">
        <v>315</v>
      </c>
    </row>
    <row r="78" spans="2:9" ht="15.75" hidden="1" customHeight="1" x14ac:dyDescent="0.2">
      <c r="B78" s="50">
        <f t="shared" si="1"/>
        <v>72</v>
      </c>
      <c r="C78" s="51">
        <v>45408</v>
      </c>
      <c r="D78" s="57" t="s">
        <v>36</v>
      </c>
      <c r="E78" s="57" t="s">
        <v>22</v>
      </c>
      <c r="F78" s="53" t="s">
        <v>317</v>
      </c>
      <c r="G78" s="54">
        <v>0</v>
      </c>
      <c r="H78" s="54"/>
      <c r="I78" s="54"/>
    </row>
    <row r="79" spans="2:9" ht="15.75" hidden="1" customHeight="1" x14ac:dyDescent="0.2">
      <c r="B79" s="50">
        <f t="shared" si="1"/>
        <v>73</v>
      </c>
      <c r="C79" s="51">
        <v>45409</v>
      </c>
      <c r="D79" s="57" t="s">
        <v>36</v>
      </c>
      <c r="E79" s="57" t="s">
        <v>14</v>
      </c>
      <c r="F79" s="53" t="s">
        <v>266</v>
      </c>
      <c r="G79" s="54"/>
      <c r="H79" s="54">
        <v>-45</v>
      </c>
      <c r="I79" s="54" t="s">
        <v>697</v>
      </c>
    </row>
    <row r="80" spans="2:9" ht="15.75" hidden="1" customHeight="1" x14ac:dyDescent="0.2">
      <c r="B80" s="50">
        <f t="shared" si="1"/>
        <v>74</v>
      </c>
      <c r="C80" s="51">
        <v>45410</v>
      </c>
      <c r="D80" s="57" t="s">
        <v>36</v>
      </c>
      <c r="E80" s="57" t="s">
        <v>14</v>
      </c>
      <c r="F80" s="53" t="s">
        <v>318</v>
      </c>
      <c r="G80" s="54"/>
      <c r="H80" s="54">
        <v>-20</v>
      </c>
      <c r="I80" s="54" t="s">
        <v>689</v>
      </c>
    </row>
    <row r="81" spans="2:9" ht="15.75" hidden="1" customHeight="1" x14ac:dyDescent="0.2">
      <c r="B81" s="50">
        <f t="shared" si="1"/>
        <v>75</v>
      </c>
      <c r="C81" s="51">
        <v>45414</v>
      </c>
      <c r="D81" s="57" t="s">
        <v>53</v>
      </c>
      <c r="E81" s="57" t="s">
        <v>11</v>
      </c>
      <c r="F81" s="53" t="s">
        <v>319</v>
      </c>
      <c r="G81" s="54">
        <v>411.5</v>
      </c>
      <c r="H81" s="54"/>
      <c r="I81" s="54" t="s">
        <v>706</v>
      </c>
    </row>
    <row r="82" spans="2:9" ht="15.75" hidden="1" customHeight="1" x14ac:dyDescent="0.2">
      <c r="B82" s="50">
        <f t="shared" si="1"/>
        <v>76</v>
      </c>
      <c r="C82" s="51">
        <v>45414</v>
      </c>
      <c r="D82" s="57" t="s">
        <v>53</v>
      </c>
      <c r="E82" s="57" t="s">
        <v>14</v>
      </c>
      <c r="F82" s="53" t="s">
        <v>320</v>
      </c>
      <c r="G82" s="55"/>
      <c r="H82" s="54">
        <v>-53</v>
      </c>
      <c r="I82" s="54" t="s">
        <v>697</v>
      </c>
    </row>
    <row r="83" spans="2:9" ht="15.75" customHeight="1" x14ac:dyDescent="0.2">
      <c r="B83" s="50">
        <f t="shared" si="1"/>
        <v>77</v>
      </c>
      <c r="C83" s="51">
        <v>45414</v>
      </c>
      <c r="D83" s="57" t="s">
        <v>53</v>
      </c>
      <c r="E83" s="57" t="s">
        <v>25</v>
      </c>
      <c r="F83" s="53" t="s">
        <v>253</v>
      </c>
      <c r="G83" s="54"/>
      <c r="H83" s="54">
        <v>-320</v>
      </c>
      <c r="I83" s="54" t="s">
        <v>321</v>
      </c>
    </row>
    <row r="84" spans="2:9" ht="15.75" customHeight="1" x14ac:dyDescent="0.2">
      <c r="B84" s="50">
        <f t="shared" si="1"/>
        <v>78</v>
      </c>
      <c r="C84" s="51">
        <v>45414</v>
      </c>
      <c r="D84" s="57" t="s">
        <v>53</v>
      </c>
      <c r="E84" s="57" t="s">
        <v>25</v>
      </c>
      <c r="F84" s="53" t="s">
        <v>284</v>
      </c>
      <c r="G84" s="54"/>
      <c r="H84" s="54">
        <v>-185</v>
      </c>
      <c r="I84" s="54" t="s">
        <v>322</v>
      </c>
    </row>
    <row r="85" spans="2:9" ht="15.75" hidden="1" customHeight="1" x14ac:dyDescent="0.2">
      <c r="B85" s="50">
        <f t="shared" si="1"/>
        <v>79</v>
      </c>
      <c r="C85" s="51">
        <v>45416</v>
      </c>
      <c r="D85" s="57" t="s">
        <v>53</v>
      </c>
      <c r="E85" s="57" t="s">
        <v>7</v>
      </c>
      <c r="F85" s="53" t="s">
        <v>323</v>
      </c>
      <c r="G85" s="54"/>
      <c r="H85" s="54">
        <v>-45</v>
      </c>
      <c r="I85" s="54" t="s">
        <v>689</v>
      </c>
    </row>
    <row r="86" spans="2:9" ht="15.75" hidden="1" customHeight="1" x14ac:dyDescent="0.2">
      <c r="B86" s="50">
        <f t="shared" si="1"/>
        <v>80</v>
      </c>
      <c r="C86" s="51">
        <v>45416</v>
      </c>
      <c r="D86" s="57" t="s">
        <v>53</v>
      </c>
      <c r="E86" s="57" t="s">
        <v>7</v>
      </c>
      <c r="F86" s="53" t="s">
        <v>324</v>
      </c>
      <c r="G86" s="54"/>
      <c r="H86" s="54">
        <f>-70-40</f>
        <v>-110</v>
      </c>
      <c r="I86" s="54" t="s">
        <v>689</v>
      </c>
    </row>
    <row r="87" spans="2:9" ht="15.75" hidden="1" customHeight="1" x14ac:dyDescent="0.2">
      <c r="B87" s="50">
        <f t="shared" si="1"/>
        <v>81</v>
      </c>
      <c r="C87" s="51">
        <v>45417</v>
      </c>
      <c r="D87" s="57" t="s">
        <v>53</v>
      </c>
      <c r="E87" s="57" t="s">
        <v>4</v>
      </c>
      <c r="F87" s="53" t="s">
        <v>271</v>
      </c>
      <c r="G87" s="54">
        <f>150+40</f>
        <v>190</v>
      </c>
      <c r="H87" s="54"/>
      <c r="I87" s="54" t="s">
        <v>3</v>
      </c>
    </row>
    <row r="88" spans="2:9" ht="15.75" hidden="1" customHeight="1" x14ac:dyDescent="0.2">
      <c r="B88" s="50">
        <f t="shared" si="1"/>
        <v>82</v>
      </c>
      <c r="C88" s="51">
        <v>45417</v>
      </c>
      <c r="D88" s="57" t="s">
        <v>53</v>
      </c>
      <c r="E88" s="57" t="s">
        <v>7</v>
      </c>
      <c r="F88" s="53" t="s">
        <v>325</v>
      </c>
      <c r="G88" s="54"/>
      <c r="H88" s="54">
        <v>-10</v>
      </c>
      <c r="I88" s="54" t="s">
        <v>697</v>
      </c>
    </row>
    <row r="89" spans="2:9" ht="15.75" hidden="1" customHeight="1" x14ac:dyDescent="0.2">
      <c r="B89" s="50">
        <f t="shared" si="1"/>
        <v>83</v>
      </c>
      <c r="C89" s="51">
        <v>45417</v>
      </c>
      <c r="D89" s="57" t="s">
        <v>53</v>
      </c>
      <c r="E89" s="57" t="s">
        <v>14</v>
      </c>
      <c r="F89" s="53" t="s">
        <v>270</v>
      </c>
      <c r="G89" s="54"/>
      <c r="H89" s="54">
        <v>-1012.5</v>
      </c>
      <c r="I89" s="54" t="s">
        <v>710</v>
      </c>
    </row>
    <row r="90" spans="2:9" ht="15.75" hidden="1" customHeight="1" x14ac:dyDescent="0.2">
      <c r="B90" s="50">
        <f t="shared" si="1"/>
        <v>84</v>
      </c>
      <c r="C90" s="51">
        <v>45417</v>
      </c>
      <c r="D90" s="57" t="s">
        <v>53</v>
      </c>
      <c r="E90" s="57" t="s">
        <v>22</v>
      </c>
      <c r="F90" s="53" t="s">
        <v>325</v>
      </c>
      <c r="G90" s="54">
        <v>10</v>
      </c>
      <c r="H90" s="54"/>
      <c r="I90" s="54" t="s">
        <v>326</v>
      </c>
    </row>
    <row r="91" spans="2:9" ht="15.75" hidden="1" customHeight="1" x14ac:dyDescent="0.2">
      <c r="B91" s="50">
        <f t="shared" si="1"/>
        <v>85</v>
      </c>
      <c r="C91" s="51">
        <v>45421</v>
      </c>
      <c r="D91" s="57" t="s">
        <v>53</v>
      </c>
      <c r="E91" s="57" t="s">
        <v>11</v>
      </c>
      <c r="F91" s="53" t="s">
        <v>327</v>
      </c>
      <c r="G91" s="54">
        <v>882.5</v>
      </c>
      <c r="H91" s="54"/>
      <c r="I91" s="54" t="s">
        <v>708</v>
      </c>
    </row>
    <row r="92" spans="2:9" ht="15.75" hidden="1" customHeight="1" x14ac:dyDescent="0.2">
      <c r="B92" s="50">
        <f t="shared" si="1"/>
        <v>86</v>
      </c>
      <c r="C92" s="51">
        <v>45423</v>
      </c>
      <c r="D92" s="57" t="s">
        <v>53</v>
      </c>
      <c r="E92" s="57" t="s">
        <v>14</v>
      </c>
      <c r="F92" s="53" t="s">
        <v>270</v>
      </c>
      <c r="G92" s="54"/>
      <c r="H92" s="54">
        <v>-882.5</v>
      </c>
      <c r="I92" s="54" t="s">
        <v>710</v>
      </c>
    </row>
    <row r="93" spans="2:9" ht="15.75" hidden="1" customHeight="1" x14ac:dyDescent="0.2">
      <c r="B93" s="50">
        <f t="shared" si="1"/>
        <v>87</v>
      </c>
      <c r="C93" s="51">
        <v>45424</v>
      </c>
      <c r="D93" s="57" t="s">
        <v>53</v>
      </c>
      <c r="E93" s="57" t="s">
        <v>4</v>
      </c>
      <c r="F93" s="53" t="s">
        <v>271</v>
      </c>
      <c r="G93" s="54">
        <v>500</v>
      </c>
      <c r="H93" s="54"/>
      <c r="I93" s="54" t="s">
        <v>3</v>
      </c>
    </row>
    <row r="94" spans="2:9" ht="15.75" hidden="1" customHeight="1" x14ac:dyDescent="0.2">
      <c r="B94" s="50">
        <f t="shared" si="1"/>
        <v>88</v>
      </c>
      <c r="C94" s="51">
        <v>45424</v>
      </c>
      <c r="D94" s="57" t="s">
        <v>53</v>
      </c>
      <c r="E94" s="57" t="s">
        <v>4</v>
      </c>
      <c r="F94" s="53" t="s">
        <v>289</v>
      </c>
      <c r="G94" s="54">
        <v>10</v>
      </c>
      <c r="H94" s="54"/>
      <c r="I94" s="54" t="s">
        <v>3</v>
      </c>
    </row>
    <row r="95" spans="2:9" ht="15.75" hidden="1" customHeight="1" x14ac:dyDescent="0.2">
      <c r="B95" s="50">
        <f t="shared" si="1"/>
        <v>89</v>
      </c>
      <c r="C95" s="51">
        <v>45424</v>
      </c>
      <c r="D95" s="57" t="s">
        <v>53</v>
      </c>
      <c r="E95" s="57" t="s">
        <v>4</v>
      </c>
      <c r="F95" s="53" t="s">
        <v>328</v>
      </c>
      <c r="G95" s="54">
        <v>50</v>
      </c>
      <c r="H95" s="54"/>
      <c r="I95" s="54" t="s">
        <v>3</v>
      </c>
    </row>
    <row r="96" spans="2:9" ht="15.75" hidden="1" customHeight="1" x14ac:dyDescent="0.2">
      <c r="B96" s="50">
        <f t="shared" si="1"/>
        <v>90</v>
      </c>
      <c r="C96" s="51">
        <v>45424</v>
      </c>
      <c r="D96" s="57" t="s">
        <v>53</v>
      </c>
      <c r="E96" s="57" t="s">
        <v>22</v>
      </c>
      <c r="F96" s="53" t="s">
        <v>329</v>
      </c>
      <c r="G96" s="54">
        <v>10</v>
      </c>
      <c r="H96" s="54"/>
      <c r="I96" s="54"/>
    </row>
    <row r="97" spans="2:9" ht="15.75" hidden="1" customHeight="1" x14ac:dyDescent="0.2">
      <c r="B97" s="50">
        <f t="shared" si="1"/>
        <v>91</v>
      </c>
      <c r="C97" s="51">
        <v>45425</v>
      </c>
      <c r="D97" s="57" t="s">
        <v>53</v>
      </c>
      <c r="E97" s="57" t="s">
        <v>4</v>
      </c>
      <c r="F97" s="53" t="s">
        <v>330</v>
      </c>
      <c r="G97" s="54">
        <v>100</v>
      </c>
      <c r="H97" s="54"/>
      <c r="I97" s="54" t="s">
        <v>3</v>
      </c>
    </row>
    <row r="98" spans="2:9" ht="15.75" hidden="1" customHeight="1" x14ac:dyDescent="0.2">
      <c r="B98" s="50">
        <f t="shared" si="1"/>
        <v>92</v>
      </c>
      <c r="C98" s="51">
        <v>45427</v>
      </c>
      <c r="D98" s="57" t="s">
        <v>53</v>
      </c>
      <c r="E98" s="57" t="s">
        <v>14</v>
      </c>
      <c r="F98" s="53" t="s">
        <v>320</v>
      </c>
      <c r="G98" s="54"/>
      <c r="H98" s="54">
        <f>-49.5-54</f>
        <v>-103.5</v>
      </c>
      <c r="I98" s="54" t="s">
        <v>697</v>
      </c>
    </row>
    <row r="99" spans="2:9" ht="15.75" hidden="1" customHeight="1" x14ac:dyDescent="0.2">
      <c r="B99" s="50">
        <f t="shared" si="1"/>
        <v>93</v>
      </c>
      <c r="C99" s="51">
        <v>45427</v>
      </c>
      <c r="D99" s="57" t="s">
        <v>53</v>
      </c>
      <c r="E99" s="57" t="s">
        <v>14</v>
      </c>
      <c r="F99" s="53" t="s">
        <v>331</v>
      </c>
      <c r="G99" s="54"/>
      <c r="H99" s="54">
        <v>-120</v>
      </c>
      <c r="I99" s="54" t="s">
        <v>697</v>
      </c>
    </row>
    <row r="100" spans="2:9" ht="15.75" hidden="1" customHeight="1" x14ac:dyDescent="0.2">
      <c r="B100" s="50">
        <f t="shared" si="1"/>
        <v>94</v>
      </c>
      <c r="C100" s="51">
        <v>45428</v>
      </c>
      <c r="D100" s="57" t="s">
        <v>53</v>
      </c>
      <c r="E100" s="57" t="s">
        <v>11</v>
      </c>
      <c r="F100" s="53" t="s">
        <v>332</v>
      </c>
      <c r="G100" s="54">
        <v>495</v>
      </c>
      <c r="H100" s="54"/>
      <c r="I100" s="54" t="s">
        <v>706</v>
      </c>
    </row>
    <row r="101" spans="2:9" ht="15.75" hidden="1" customHeight="1" x14ac:dyDescent="0.2">
      <c r="B101" s="50">
        <f t="shared" si="1"/>
        <v>95</v>
      </c>
      <c r="C101" s="51">
        <v>45431</v>
      </c>
      <c r="D101" s="57" t="s">
        <v>53</v>
      </c>
      <c r="E101" s="57" t="s">
        <v>4</v>
      </c>
      <c r="F101" s="53" t="s">
        <v>271</v>
      </c>
      <c r="G101" s="54">
        <v>50</v>
      </c>
      <c r="H101" s="54"/>
      <c r="I101" s="54" t="s">
        <v>3</v>
      </c>
    </row>
    <row r="102" spans="2:9" ht="15.75" hidden="1" customHeight="1" x14ac:dyDescent="0.2">
      <c r="B102" s="50">
        <f t="shared" si="1"/>
        <v>96</v>
      </c>
      <c r="C102" s="51">
        <v>45431</v>
      </c>
      <c r="D102" s="57" t="s">
        <v>53</v>
      </c>
      <c r="E102" s="57" t="s">
        <v>14</v>
      </c>
      <c r="F102" s="53" t="s">
        <v>333</v>
      </c>
      <c r="G102" s="54"/>
      <c r="H102" s="54">
        <v>-400</v>
      </c>
      <c r="I102" s="54" t="s">
        <v>697</v>
      </c>
    </row>
    <row r="103" spans="2:9" ht="15.75" hidden="1" customHeight="1" x14ac:dyDescent="0.2">
      <c r="B103" s="50">
        <f t="shared" si="1"/>
        <v>97</v>
      </c>
      <c r="C103" s="51">
        <v>45431</v>
      </c>
      <c r="D103" s="57" t="s">
        <v>53</v>
      </c>
      <c r="E103" s="57" t="s">
        <v>22</v>
      </c>
      <c r="F103" s="53" t="s">
        <v>334</v>
      </c>
      <c r="G103" s="54">
        <v>15</v>
      </c>
      <c r="H103" s="54"/>
      <c r="I103" s="54" t="s">
        <v>335</v>
      </c>
    </row>
    <row r="104" spans="2:9" ht="15.75" hidden="1" customHeight="1" x14ac:dyDescent="0.2">
      <c r="B104" s="50">
        <f t="shared" si="1"/>
        <v>98</v>
      </c>
      <c r="C104" s="51">
        <v>45435</v>
      </c>
      <c r="D104" s="57" t="s">
        <v>53</v>
      </c>
      <c r="E104" s="57" t="s">
        <v>11</v>
      </c>
      <c r="F104" s="53" t="s">
        <v>336</v>
      </c>
      <c r="G104" s="54">
        <v>382</v>
      </c>
      <c r="H104" s="54"/>
      <c r="I104" s="54" t="s">
        <v>706</v>
      </c>
    </row>
    <row r="105" spans="2:9" ht="15.75" hidden="1" customHeight="1" x14ac:dyDescent="0.2">
      <c r="B105" s="50">
        <f t="shared" si="1"/>
        <v>99</v>
      </c>
      <c r="C105" s="51">
        <v>45435</v>
      </c>
      <c r="D105" s="57" t="s">
        <v>53</v>
      </c>
      <c r="E105" s="57" t="s">
        <v>22</v>
      </c>
      <c r="F105" s="53" t="s">
        <v>334</v>
      </c>
      <c r="G105" s="54">
        <v>15</v>
      </c>
      <c r="H105" s="54"/>
      <c r="I105" s="54" t="s">
        <v>337</v>
      </c>
    </row>
    <row r="106" spans="2:9" ht="15.75" hidden="1" customHeight="1" x14ac:dyDescent="0.2">
      <c r="B106" s="50">
        <f t="shared" si="1"/>
        <v>100</v>
      </c>
      <c r="C106" s="51">
        <v>45438</v>
      </c>
      <c r="D106" s="57" t="s">
        <v>53</v>
      </c>
      <c r="E106" s="57" t="s">
        <v>4</v>
      </c>
      <c r="F106" s="53" t="s">
        <v>271</v>
      </c>
      <c r="G106" s="54">
        <v>50</v>
      </c>
      <c r="H106" s="54"/>
      <c r="I106" s="54" t="s">
        <v>3</v>
      </c>
    </row>
    <row r="107" spans="2:9" ht="15.75" hidden="1" customHeight="1" x14ac:dyDescent="0.2">
      <c r="B107" s="50">
        <f t="shared" si="1"/>
        <v>101</v>
      </c>
      <c r="C107" s="51">
        <v>45443</v>
      </c>
      <c r="D107" s="57" t="s">
        <v>53</v>
      </c>
      <c r="E107" s="57" t="s">
        <v>4</v>
      </c>
      <c r="F107" s="53" t="s">
        <v>271</v>
      </c>
      <c r="G107" s="54">
        <v>10</v>
      </c>
      <c r="H107" s="54"/>
      <c r="I107" s="54" t="s">
        <v>3</v>
      </c>
    </row>
    <row r="108" spans="2:9" ht="15.75" hidden="1" customHeight="1" x14ac:dyDescent="0.2">
      <c r="B108" s="50">
        <f t="shared" si="1"/>
        <v>102</v>
      </c>
      <c r="C108" s="51">
        <v>45443</v>
      </c>
      <c r="D108" s="57" t="s">
        <v>53</v>
      </c>
      <c r="E108" s="57" t="s">
        <v>14</v>
      </c>
      <c r="F108" s="53" t="s">
        <v>318</v>
      </c>
      <c r="G108" s="54"/>
      <c r="H108" s="54">
        <v>-2</v>
      </c>
      <c r="I108" s="54" t="s">
        <v>689</v>
      </c>
    </row>
    <row r="109" spans="2:9" ht="15.75" hidden="1" customHeight="1" x14ac:dyDescent="0.2">
      <c r="B109" s="50">
        <f t="shared" si="1"/>
        <v>103</v>
      </c>
      <c r="C109" s="51">
        <v>45443</v>
      </c>
      <c r="D109" s="57" t="s">
        <v>53</v>
      </c>
      <c r="E109" s="57" t="s">
        <v>22</v>
      </c>
      <c r="F109" s="53" t="s">
        <v>338</v>
      </c>
      <c r="G109" s="54">
        <f>49*5</f>
        <v>245</v>
      </c>
      <c r="H109" s="54"/>
      <c r="I109" s="54" t="s">
        <v>339</v>
      </c>
    </row>
    <row r="110" spans="2:9" ht="15.75" hidden="1" customHeight="1" x14ac:dyDescent="0.2">
      <c r="B110" s="50">
        <f t="shared" si="1"/>
        <v>104</v>
      </c>
      <c r="C110" s="51">
        <v>45443</v>
      </c>
      <c r="D110" s="57" t="s">
        <v>53</v>
      </c>
      <c r="E110" s="57" t="s">
        <v>22</v>
      </c>
      <c r="F110" s="53" t="s">
        <v>340</v>
      </c>
      <c r="G110" s="54">
        <f>59*5</f>
        <v>295</v>
      </c>
      <c r="H110" s="54"/>
      <c r="I110" s="54" t="s">
        <v>339</v>
      </c>
    </row>
    <row r="111" spans="2:9" ht="15.75" hidden="1" customHeight="1" x14ac:dyDescent="0.2">
      <c r="B111" s="50">
        <f t="shared" si="1"/>
        <v>105</v>
      </c>
      <c r="C111" s="51">
        <v>45444</v>
      </c>
      <c r="D111" s="57" t="s">
        <v>76</v>
      </c>
      <c r="E111" s="57" t="s">
        <v>14</v>
      </c>
      <c r="F111" s="53" t="s">
        <v>270</v>
      </c>
      <c r="G111" s="54"/>
      <c r="H111" s="54">
        <v>-251.5</v>
      </c>
      <c r="I111" s="54" t="s">
        <v>710</v>
      </c>
    </row>
    <row r="112" spans="2:9" ht="15.75" hidden="1" customHeight="1" x14ac:dyDescent="0.2">
      <c r="B112" s="50">
        <f t="shared" si="1"/>
        <v>106</v>
      </c>
      <c r="C112" s="51">
        <v>45445</v>
      </c>
      <c r="D112" s="57" t="s">
        <v>76</v>
      </c>
      <c r="E112" s="57" t="s">
        <v>4</v>
      </c>
      <c r="F112" s="53" t="s">
        <v>271</v>
      </c>
      <c r="G112" s="54">
        <v>200</v>
      </c>
      <c r="H112" s="54"/>
      <c r="I112" s="54" t="s">
        <v>3</v>
      </c>
    </row>
    <row r="113" spans="2:9" ht="16.5" hidden="1" customHeight="1" x14ac:dyDescent="0.2">
      <c r="B113" s="50">
        <f t="shared" si="1"/>
        <v>107</v>
      </c>
      <c r="C113" s="51">
        <v>45445</v>
      </c>
      <c r="D113" s="57" t="s">
        <v>76</v>
      </c>
      <c r="E113" s="57" t="s">
        <v>22</v>
      </c>
      <c r="F113" s="53" t="s">
        <v>305</v>
      </c>
      <c r="G113" s="54">
        <v>5</v>
      </c>
      <c r="H113" s="54"/>
      <c r="I113" s="54" t="s">
        <v>341</v>
      </c>
    </row>
    <row r="114" spans="2:9" ht="15.75" hidden="1" customHeight="1" x14ac:dyDescent="0.2">
      <c r="B114" s="50">
        <f t="shared" si="1"/>
        <v>108</v>
      </c>
      <c r="C114" s="51">
        <v>45449</v>
      </c>
      <c r="D114" s="57" t="s">
        <v>76</v>
      </c>
      <c r="E114" s="57" t="s">
        <v>4</v>
      </c>
      <c r="F114" s="53" t="s">
        <v>271</v>
      </c>
      <c r="G114" s="54">
        <f>550</f>
        <v>550</v>
      </c>
      <c r="H114" s="54"/>
      <c r="I114" s="54" t="s">
        <v>3</v>
      </c>
    </row>
    <row r="115" spans="2:9" ht="15.75" hidden="1" customHeight="1" x14ac:dyDescent="0.2">
      <c r="B115" s="50">
        <f t="shared" si="1"/>
        <v>109</v>
      </c>
      <c r="C115" s="51">
        <v>45449</v>
      </c>
      <c r="D115" s="57" t="s">
        <v>76</v>
      </c>
      <c r="E115" s="57" t="s">
        <v>11</v>
      </c>
      <c r="F115" s="53" t="s">
        <v>342</v>
      </c>
      <c r="G115" s="54">
        <f>615-30</f>
        <v>585</v>
      </c>
      <c r="H115" s="54"/>
      <c r="I115" s="54" t="s">
        <v>706</v>
      </c>
    </row>
    <row r="116" spans="2:9" ht="15.75" hidden="1" customHeight="1" x14ac:dyDescent="0.2">
      <c r="B116" s="50">
        <f t="shared" si="1"/>
        <v>110</v>
      </c>
      <c r="C116" s="51">
        <v>45449</v>
      </c>
      <c r="D116" s="57" t="s">
        <v>76</v>
      </c>
      <c r="E116" s="57" t="s">
        <v>22</v>
      </c>
      <c r="F116" s="53" t="s">
        <v>343</v>
      </c>
      <c r="G116" s="54">
        <v>30</v>
      </c>
      <c r="H116" s="54"/>
      <c r="I116" s="54" t="s">
        <v>344</v>
      </c>
    </row>
    <row r="117" spans="2:9" ht="15.75" hidden="1" customHeight="1" x14ac:dyDescent="0.2">
      <c r="B117" s="50">
        <f t="shared" si="1"/>
        <v>111</v>
      </c>
      <c r="C117" s="51">
        <v>45452</v>
      </c>
      <c r="D117" s="57" t="s">
        <v>76</v>
      </c>
      <c r="E117" s="57" t="s">
        <v>4</v>
      </c>
      <c r="F117" s="53" t="s">
        <v>271</v>
      </c>
      <c r="G117" s="54">
        <v>20</v>
      </c>
      <c r="H117" s="54"/>
      <c r="I117" s="54" t="s">
        <v>3</v>
      </c>
    </row>
    <row r="118" spans="2:9" ht="15.75" hidden="1" customHeight="1" x14ac:dyDescent="0.2">
      <c r="B118" s="50">
        <f t="shared" si="1"/>
        <v>112</v>
      </c>
      <c r="C118" s="51">
        <v>45452</v>
      </c>
      <c r="D118" s="57" t="s">
        <v>76</v>
      </c>
      <c r="E118" s="57" t="s">
        <v>4</v>
      </c>
      <c r="F118" s="53" t="s">
        <v>289</v>
      </c>
      <c r="G118" s="54">
        <v>10</v>
      </c>
      <c r="H118" s="54"/>
      <c r="I118" s="54" t="s">
        <v>3</v>
      </c>
    </row>
    <row r="119" spans="2:9" ht="15.75" hidden="1" customHeight="1" x14ac:dyDescent="0.2">
      <c r="B119" s="50">
        <f t="shared" si="1"/>
        <v>113</v>
      </c>
      <c r="C119" s="51">
        <v>45454</v>
      </c>
      <c r="D119" s="57" t="s">
        <v>76</v>
      </c>
      <c r="E119" s="57" t="s">
        <v>7</v>
      </c>
      <c r="F119" s="53" t="s">
        <v>345</v>
      </c>
      <c r="G119" s="54"/>
      <c r="H119" s="54">
        <v>-2500</v>
      </c>
      <c r="I119" s="54" t="s">
        <v>696</v>
      </c>
    </row>
    <row r="120" spans="2:9" ht="15.75" hidden="1" customHeight="1" x14ac:dyDescent="0.2">
      <c r="B120" s="50">
        <f t="shared" si="1"/>
        <v>114</v>
      </c>
      <c r="C120" s="51">
        <v>45456</v>
      </c>
      <c r="D120" s="57" t="s">
        <v>76</v>
      </c>
      <c r="E120" s="57" t="s">
        <v>11</v>
      </c>
      <c r="F120" s="53" t="s">
        <v>346</v>
      </c>
      <c r="G120" s="54">
        <f>438-21</f>
        <v>417</v>
      </c>
      <c r="H120" s="54"/>
      <c r="I120" s="54" t="s">
        <v>706</v>
      </c>
    </row>
    <row r="121" spans="2:9" ht="15.75" hidden="1" customHeight="1" x14ac:dyDescent="0.2">
      <c r="B121" s="50">
        <f t="shared" si="1"/>
        <v>115</v>
      </c>
      <c r="C121" s="51">
        <v>45456</v>
      </c>
      <c r="D121" s="57" t="s">
        <v>76</v>
      </c>
      <c r="E121" s="57" t="s">
        <v>22</v>
      </c>
      <c r="F121" s="53" t="s">
        <v>343</v>
      </c>
      <c r="G121" s="54">
        <v>21</v>
      </c>
      <c r="H121" s="54"/>
      <c r="I121" s="54" t="s">
        <v>344</v>
      </c>
    </row>
    <row r="122" spans="2:9" ht="15.75" hidden="1" customHeight="1" x14ac:dyDescent="0.2">
      <c r="B122" s="50">
        <f t="shared" si="1"/>
        <v>116</v>
      </c>
      <c r="C122" s="51">
        <v>45459</v>
      </c>
      <c r="D122" s="57" t="s">
        <v>76</v>
      </c>
      <c r="E122" s="57" t="s">
        <v>4</v>
      </c>
      <c r="F122" s="53" t="s">
        <v>271</v>
      </c>
      <c r="G122" s="54">
        <f>550</f>
        <v>550</v>
      </c>
      <c r="H122" s="54"/>
      <c r="I122" s="54" t="s">
        <v>3</v>
      </c>
    </row>
    <row r="123" spans="2:9" ht="15.75" hidden="1" customHeight="1" x14ac:dyDescent="0.2">
      <c r="B123" s="50">
        <f t="shared" si="1"/>
        <v>117</v>
      </c>
      <c r="C123" s="51">
        <v>45459</v>
      </c>
      <c r="D123" s="57" t="s">
        <v>76</v>
      </c>
      <c r="E123" s="57" t="s">
        <v>22</v>
      </c>
      <c r="F123" s="53" t="s">
        <v>347</v>
      </c>
      <c r="G123" s="54">
        <v>11</v>
      </c>
      <c r="H123" s="54"/>
      <c r="I123" s="54"/>
    </row>
    <row r="124" spans="2:9" ht="15.75" hidden="1" customHeight="1" x14ac:dyDescent="0.2">
      <c r="B124" s="50">
        <f t="shared" si="1"/>
        <v>118</v>
      </c>
      <c r="C124" s="51">
        <v>45463</v>
      </c>
      <c r="D124" s="57" t="s">
        <v>76</v>
      </c>
      <c r="E124" s="57" t="s">
        <v>4</v>
      </c>
      <c r="F124" s="53" t="s">
        <v>348</v>
      </c>
      <c r="G124" s="54">
        <f>240</f>
        <v>240</v>
      </c>
      <c r="H124" s="54"/>
      <c r="I124" s="54" t="s">
        <v>3</v>
      </c>
    </row>
    <row r="125" spans="2:9" ht="15.75" hidden="1" customHeight="1" x14ac:dyDescent="0.2">
      <c r="B125" s="50">
        <f t="shared" si="1"/>
        <v>119</v>
      </c>
      <c r="C125" s="51">
        <v>45463</v>
      </c>
      <c r="D125" s="57" t="s">
        <v>76</v>
      </c>
      <c r="E125" s="57" t="s">
        <v>11</v>
      </c>
      <c r="F125" s="53" t="s">
        <v>349</v>
      </c>
      <c r="G125" s="54">
        <f>607-30</f>
        <v>577</v>
      </c>
      <c r="H125" s="54"/>
      <c r="I125" s="54" t="s">
        <v>706</v>
      </c>
    </row>
    <row r="126" spans="2:9" ht="15.75" hidden="1" customHeight="1" x14ac:dyDescent="0.2">
      <c r="B126" s="50">
        <f t="shared" si="1"/>
        <v>120</v>
      </c>
      <c r="C126" s="51">
        <v>45463</v>
      </c>
      <c r="D126" s="57" t="s">
        <v>76</v>
      </c>
      <c r="E126" s="57" t="s">
        <v>22</v>
      </c>
      <c r="F126" s="53" t="s">
        <v>343</v>
      </c>
      <c r="G126" s="54">
        <v>30</v>
      </c>
      <c r="H126" s="54"/>
      <c r="I126" s="54" t="s">
        <v>344</v>
      </c>
    </row>
    <row r="127" spans="2:9" ht="15.75" customHeight="1" x14ac:dyDescent="0.2">
      <c r="B127" s="50">
        <f t="shared" si="1"/>
        <v>121</v>
      </c>
      <c r="C127" s="51">
        <v>45464</v>
      </c>
      <c r="D127" s="57" t="s">
        <v>76</v>
      </c>
      <c r="E127" s="57" t="s">
        <v>25</v>
      </c>
      <c r="F127" s="53" t="s">
        <v>350</v>
      </c>
      <c r="G127" s="54"/>
      <c r="H127" s="54">
        <v>-35</v>
      </c>
      <c r="I127" s="54" t="s">
        <v>344</v>
      </c>
    </row>
    <row r="128" spans="2:9" ht="15.75" customHeight="1" x14ac:dyDescent="0.2">
      <c r="B128" s="50">
        <f t="shared" si="1"/>
        <v>122</v>
      </c>
      <c r="C128" s="51">
        <v>45466</v>
      </c>
      <c r="D128" s="57" t="s">
        <v>76</v>
      </c>
      <c r="E128" s="57" t="s">
        <v>25</v>
      </c>
      <c r="F128" s="53" t="s">
        <v>318</v>
      </c>
      <c r="G128" s="54"/>
      <c r="H128" s="54">
        <v>-8</v>
      </c>
      <c r="I128" s="54" t="s">
        <v>344</v>
      </c>
    </row>
    <row r="129" spans="2:12" ht="15.75" hidden="1" customHeight="1" x14ac:dyDescent="0.2">
      <c r="B129" s="50">
        <f t="shared" si="1"/>
        <v>123</v>
      </c>
      <c r="C129" s="51">
        <v>45470</v>
      </c>
      <c r="D129" s="57" t="s">
        <v>76</v>
      </c>
      <c r="E129" s="57" t="s">
        <v>4</v>
      </c>
      <c r="F129" s="53" t="s">
        <v>348</v>
      </c>
      <c r="G129" s="54">
        <f>935</f>
        <v>935</v>
      </c>
      <c r="H129" s="54"/>
      <c r="I129" s="54" t="s">
        <v>3</v>
      </c>
    </row>
    <row r="130" spans="2:12" ht="15.75" hidden="1" customHeight="1" x14ac:dyDescent="0.2">
      <c r="B130" s="50">
        <f t="shared" si="1"/>
        <v>124</v>
      </c>
      <c r="C130" s="51">
        <v>45470</v>
      </c>
      <c r="D130" s="57" t="s">
        <v>76</v>
      </c>
      <c r="E130" s="57" t="s">
        <v>11</v>
      </c>
      <c r="F130" s="53" t="s">
        <v>351</v>
      </c>
      <c r="G130" s="54">
        <f>451-21</f>
        <v>430</v>
      </c>
      <c r="H130" s="54"/>
      <c r="I130" s="54" t="s">
        <v>706</v>
      </c>
    </row>
    <row r="131" spans="2:12" ht="15.75" hidden="1" customHeight="1" x14ac:dyDescent="0.2">
      <c r="B131" s="50">
        <f t="shared" si="1"/>
        <v>125</v>
      </c>
      <c r="C131" s="51">
        <v>45470</v>
      </c>
      <c r="D131" s="57" t="s">
        <v>76</v>
      </c>
      <c r="E131" s="57" t="s">
        <v>22</v>
      </c>
      <c r="F131" s="53" t="s">
        <v>343</v>
      </c>
      <c r="G131" s="54">
        <v>21</v>
      </c>
      <c r="H131" s="54"/>
      <c r="I131" s="54" t="s">
        <v>344</v>
      </c>
    </row>
    <row r="132" spans="2:12" ht="15.75" hidden="1" customHeight="1" x14ac:dyDescent="0.2">
      <c r="B132" s="50">
        <f t="shared" si="1"/>
        <v>126</v>
      </c>
      <c r="C132" s="51">
        <v>45471</v>
      </c>
      <c r="D132" s="57" t="s">
        <v>76</v>
      </c>
      <c r="E132" s="57" t="s">
        <v>22</v>
      </c>
      <c r="F132" s="53" t="s">
        <v>352</v>
      </c>
      <c r="G132" s="54">
        <v>355</v>
      </c>
      <c r="H132" s="54"/>
      <c r="I132" s="54"/>
    </row>
    <row r="133" spans="2:12" ht="15.75" hidden="1" customHeight="1" x14ac:dyDescent="0.2">
      <c r="B133" s="50">
        <f t="shared" si="1"/>
        <v>127</v>
      </c>
      <c r="C133" s="51">
        <v>45472</v>
      </c>
      <c r="D133" s="57" t="s">
        <v>76</v>
      </c>
      <c r="E133" s="57" t="s">
        <v>14</v>
      </c>
      <c r="F133" s="53" t="s">
        <v>270</v>
      </c>
      <c r="G133" s="54"/>
      <c r="H133" s="54">
        <v>-2009</v>
      </c>
      <c r="I133" s="54" t="s">
        <v>710</v>
      </c>
    </row>
    <row r="134" spans="2:12" ht="15.75" hidden="1" customHeight="1" x14ac:dyDescent="0.2">
      <c r="B134" s="50">
        <f t="shared" si="1"/>
        <v>128</v>
      </c>
      <c r="C134" s="51">
        <v>45473</v>
      </c>
      <c r="D134" s="57" t="s">
        <v>76</v>
      </c>
      <c r="E134" s="57" t="s">
        <v>4</v>
      </c>
      <c r="F134" s="53" t="s">
        <v>348</v>
      </c>
      <c r="G134" s="54">
        <v>70</v>
      </c>
      <c r="H134" s="54"/>
      <c r="I134" s="54" t="s">
        <v>3</v>
      </c>
    </row>
    <row r="135" spans="2:12" ht="15.75" customHeight="1" x14ac:dyDescent="0.2">
      <c r="B135" s="50">
        <f t="shared" ref="B135:B198" si="2">B134+1</f>
        <v>129</v>
      </c>
      <c r="C135" s="51">
        <v>45473</v>
      </c>
      <c r="D135" s="57" t="s">
        <v>76</v>
      </c>
      <c r="E135" s="57" t="s">
        <v>25</v>
      </c>
      <c r="F135" s="53" t="s">
        <v>353</v>
      </c>
      <c r="G135" s="54"/>
      <c r="H135" s="54">
        <v>-18</v>
      </c>
      <c r="I135" s="54" t="s">
        <v>344</v>
      </c>
    </row>
    <row r="136" spans="2:12" ht="15.75" hidden="1" customHeight="1" x14ac:dyDescent="0.2">
      <c r="B136" s="50">
        <f t="shared" si="2"/>
        <v>130</v>
      </c>
      <c r="C136" s="51">
        <v>45477</v>
      </c>
      <c r="D136" s="57" t="s">
        <v>105</v>
      </c>
      <c r="E136" s="57" t="s">
        <v>4</v>
      </c>
      <c r="F136" s="53" t="s">
        <v>348</v>
      </c>
      <c r="G136" s="54">
        <v>180</v>
      </c>
      <c r="H136" s="54"/>
      <c r="I136" s="54" t="s">
        <v>3</v>
      </c>
    </row>
    <row r="137" spans="2:12" ht="15.75" hidden="1" customHeight="1" x14ac:dyDescent="0.2">
      <c r="B137" s="50">
        <f t="shared" si="2"/>
        <v>131</v>
      </c>
      <c r="C137" s="51">
        <v>45477</v>
      </c>
      <c r="D137" s="57" t="s">
        <v>105</v>
      </c>
      <c r="E137" s="57" t="s">
        <v>11</v>
      </c>
      <c r="F137" s="53" t="s">
        <v>354</v>
      </c>
      <c r="G137" s="54">
        <v>301</v>
      </c>
      <c r="H137" s="54"/>
      <c r="I137" s="54" t="s">
        <v>706</v>
      </c>
    </row>
    <row r="138" spans="2:12" ht="15.75" hidden="1" customHeight="1" x14ac:dyDescent="0.2">
      <c r="B138" s="50">
        <f t="shared" si="2"/>
        <v>132</v>
      </c>
      <c r="C138" s="51">
        <v>45477</v>
      </c>
      <c r="D138" s="57" t="s">
        <v>105</v>
      </c>
      <c r="E138" s="57" t="s">
        <v>22</v>
      </c>
      <c r="F138" s="53" t="s">
        <v>343</v>
      </c>
      <c r="G138" s="54">
        <v>16</v>
      </c>
      <c r="H138" s="54"/>
      <c r="I138" s="54" t="s">
        <v>344</v>
      </c>
    </row>
    <row r="139" spans="2:12" ht="15.75" customHeight="1" x14ac:dyDescent="0.2">
      <c r="B139" s="50">
        <f t="shared" si="2"/>
        <v>133</v>
      </c>
      <c r="C139" s="51">
        <v>45482</v>
      </c>
      <c r="D139" s="57" t="s">
        <v>105</v>
      </c>
      <c r="E139" s="57" t="s">
        <v>25</v>
      </c>
      <c r="F139" s="53" t="s">
        <v>355</v>
      </c>
      <c r="G139" s="54"/>
      <c r="H139" s="54">
        <v>-160</v>
      </c>
      <c r="I139" s="54" t="s">
        <v>356</v>
      </c>
      <c r="K139" s="84">
        <v>45209</v>
      </c>
      <c r="L139" t="s">
        <v>158</v>
      </c>
    </row>
    <row r="140" spans="2:12" ht="15.75" hidden="1" customHeight="1" x14ac:dyDescent="0.2">
      <c r="B140" s="50">
        <f t="shared" si="2"/>
        <v>134</v>
      </c>
      <c r="C140" s="51">
        <v>45484</v>
      </c>
      <c r="D140" s="57" t="s">
        <v>105</v>
      </c>
      <c r="E140" s="57" t="s">
        <v>4</v>
      </c>
      <c r="F140" s="53" t="s">
        <v>348</v>
      </c>
      <c r="G140" s="54">
        <v>60</v>
      </c>
      <c r="H140" s="54"/>
      <c r="I140" s="54" t="s">
        <v>3</v>
      </c>
      <c r="K140" t="s">
        <v>161</v>
      </c>
    </row>
    <row r="141" spans="2:12" ht="15.75" hidden="1" customHeight="1" x14ac:dyDescent="0.2">
      <c r="B141" s="50">
        <f t="shared" si="2"/>
        <v>135</v>
      </c>
      <c r="C141" s="51">
        <v>45484</v>
      </c>
      <c r="D141" s="57" t="s">
        <v>105</v>
      </c>
      <c r="E141" s="57" t="s">
        <v>11</v>
      </c>
      <c r="F141" s="53" t="s">
        <v>357</v>
      </c>
      <c r="G141" s="54">
        <f>290+206</f>
        <v>496</v>
      </c>
      <c r="H141" s="54"/>
      <c r="I141" s="54" t="s">
        <v>706</v>
      </c>
      <c r="K141" t="s">
        <v>163</v>
      </c>
    </row>
    <row r="142" spans="2:12" ht="15.75" hidden="1" customHeight="1" x14ac:dyDescent="0.2">
      <c r="B142" s="50">
        <f t="shared" si="2"/>
        <v>136</v>
      </c>
      <c r="C142" s="51">
        <v>45484</v>
      </c>
      <c r="D142" s="57" t="s">
        <v>105</v>
      </c>
      <c r="E142" s="57" t="s">
        <v>22</v>
      </c>
      <c r="F142" s="53" t="s">
        <v>343</v>
      </c>
      <c r="G142" s="54">
        <v>10</v>
      </c>
      <c r="H142" s="54"/>
      <c r="I142" s="54"/>
      <c r="K142" t="s">
        <v>165</v>
      </c>
    </row>
    <row r="143" spans="2:12" ht="15.75" customHeight="1" x14ac:dyDescent="0.2">
      <c r="B143" s="50">
        <f t="shared" si="2"/>
        <v>137</v>
      </c>
      <c r="C143" s="51">
        <v>45486</v>
      </c>
      <c r="D143" s="57" t="s">
        <v>105</v>
      </c>
      <c r="E143" s="57" t="s">
        <v>25</v>
      </c>
      <c r="F143" s="53" t="s">
        <v>284</v>
      </c>
      <c r="G143" s="54"/>
      <c r="H143" s="54">
        <v>-185</v>
      </c>
      <c r="I143" s="54" t="s">
        <v>358</v>
      </c>
      <c r="K143" t="s">
        <v>168</v>
      </c>
    </row>
    <row r="144" spans="2:12" ht="15.75" hidden="1" customHeight="1" x14ac:dyDescent="0.2">
      <c r="B144" s="50">
        <f t="shared" si="2"/>
        <v>138</v>
      </c>
      <c r="C144" s="51">
        <v>45487</v>
      </c>
      <c r="D144" s="57" t="s">
        <v>105</v>
      </c>
      <c r="E144" s="57" t="s">
        <v>4</v>
      </c>
      <c r="F144" s="53" t="s">
        <v>348</v>
      </c>
      <c r="G144" s="54">
        <f>150+60</f>
        <v>210</v>
      </c>
      <c r="H144" s="54"/>
      <c r="I144" s="54" t="s">
        <v>3</v>
      </c>
      <c r="K144" t="s">
        <v>171</v>
      </c>
    </row>
    <row r="145" spans="2:12" ht="15.75" hidden="1" customHeight="1" x14ac:dyDescent="0.2">
      <c r="B145" s="50">
        <f t="shared" si="2"/>
        <v>139</v>
      </c>
      <c r="C145" s="51">
        <v>45491</v>
      </c>
      <c r="D145" s="57" t="s">
        <v>105</v>
      </c>
      <c r="E145" s="57" t="s">
        <v>4</v>
      </c>
      <c r="F145" s="53" t="s">
        <v>348</v>
      </c>
      <c r="G145" s="54">
        <v>70</v>
      </c>
      <c r="H145" s="54"/>
      <c r="I145" s="54" t="s">
        <v>3</v>
      </c>
      <c r="K145">
        <f>2150+450+1000+1400</f>
        <v>5000</v>
      </c>
      <c r="L145" t="s">
        <v>173</v>
      </c>
    </row>
    <row r="146" spans="2:12" ht="15.75" hidden="1" customHeight="1" x14ac:dyDescent="0.2">
      <c r="B146" s="50">
        <f t="shared" si="2"/>
        <v>140</v>
      </c>
      <c r="C146" s="51">
        <v>45491</v>
      </c>
      <c r="D146" s="57" t="s">
        <v>105</v>
      </c>
      <c r="E146" s="57" t="s">
        <v>11</v>
      </c>
      <c r="F146" s="53" t="s">
        <v>359</v>
      </c>
      <c r="G146" s="54">
        <v>57</v>
      </c>
      <c r="H146" s="54"/>
      <c r="I146" s="54" t="s">
        <v>709</v>
      </c>
    </row>
    <row r="147" spans="2:12" ht="15.75" hidden="1" customHeight="1" x14ac:dyDescent="0.2">
      <c r="B147" s="50">
        <f t="shared" si="2"/>
        <v>141</v>
      </c>
      <c r="C147" s="51">
        <v>45491</v>
      </c>
      <c r="D147" s="57" t="s">
        <v>105</v>
      </c>
      <c r="E147" s="57" t="s">
        <v>11</v>
      </c>
      <c r="F147" s="53" t="s">
        <v>360</v>
      </c>
      <c r="G147" s="54">
        <v>524.5</v>
      </c>
      <c r="H147" s="54"/>
      <c r="I147" s="54" t="s">
        <v>706</v>
      </c>
    </row>
    <row r="148" spans="2:12" ht="15.75" customHeight="1" x14ac:dyDescent="0.2">
      <c r="B148" s="50">
        <f t="shared" si="2"/>
        <v>142</v>
      </c>
      <c r="C148" s="51">
        <v>45491</v>
      </c>
      <c r="D148" s="57" t="s">
        <v>105</v>
      </c>
      <c r="E148" s="57" t="s">
        <v>25</v>
      </c>
      <c r="F148" s="53" t="s">
        <v>361</v>
      </c>
      <c r="G148" s="54"/>
      <c r="H148" s="54">
        <v>-57</v>
      </c>
      <c r="I148" s="54" t="s">
        <v>344</v>
      </c>
    </row>
    <row r="149" spans="2:12" ht="15.75" hidden="1" customHeight="1" x14ac:dyDescent="0.2">
      <c r="B149" s="50">
        <f t="shared" si="2"/>
        <v>143</v>
      </c>
      <c r="C149" s="51">
        <v>45494</v>
      </c>
      <c r="D149" s="57" t="s">
        <v>105</v>
      </c>
      <c r="E149" s="57" t="s">
        <v>4</v>
      </c>
      <c r="F149" s="53" t="s">
        <v>348</v>
      </c>
      <c r="G149" s="54">
        <v>450</v>
      </c>
      <c r="H149" s="54"/>
      <c r="I149" s="54" t="s">
        <v>3</v>
      </c>
    </row>
    <row r="150" spans="2:12" ht="15.75" hidden="1" customHeight="1" x14ac:dyDescent="0.2">
      <c r="B150" s="50">
        <f t="shared" si="2"/>
        <v>144</v>
      </c>
      <c r="C150" s="51">
        <v>45494</v>
      </c>
      <c r="D150" s="57" t="s">
        <v>105</v>
      </c>
      <c r="E150" s="57" t="s">
        <v>22</v>
      </c>
      <c r="F150" s="53" t="s">
        <v>219</v>
      </c>
      <c r="G150" s="54">
        <v>5</v>
      </c>
      <c r="H150" s="54"/>
      <c r="I150" s="54"/>
    </row>
    <row r="151" spans="2:12" ht="15.75" hidden="1" customHeight="1" x14ac:dyDescent="0.2">
      <c r="B151" s="50">
        <f t="shared" si="2"/>
        <v>145</v>
      </c>
      <c r="C151" s="51">
        <v>45495</v>
      </c>
      <c r="D151" s="57" t="s">
        <v>105</v>
      </c>
      <c r="E151" s="57" t="s">
        <v>14</v>
      </c>
      <c r="F151" s="53" t="s">
        <v>362</v>
      </c>
      <c r="G151" s="54"/>
      <c r="H151" s="54">
        <v>-450</v>
      </c>
      <c r="I151" s="54" t="s">
        <v>697</v>
      </c>
    </row>
    <row r="152" spans="2:12" ht="15.75" hidden="1" customHeight="1" x14ac:dyDescent="0.2">
      <c r="B152" s="50">
        <f t="shared" si="2"/>
        <v>146</v>
      </c>
      <c r="C152" s="51">
        <v>45498</v>
      </c>
      <c r="D152" s="57" t="s">
        <v>105</v>
      </c>
      <c r="E152" s="57" t="s">
        <v>4</v>
      </c>
      <c r="F152" s="53" t="s">
        <v>348</v>
      </c>
      <c r="G152" s="54">
        <v>250</v>
      </c>
      <c r="H152" s="54"/>
      <c r="I152" s="54" t="s">
        <v>3</v>
      </c>
    </row>
    <row r="153" spans="2:12" ht="15.75" hidden="1" customHeight="1" x14ac:dyDescent="0.2">
      <c r="B153" s="50">
        <f t="shared" si="2"/>
        <v>147</v>
      </c>
      <c r="C153" s="51">
        <v>45498</v>
      </c>
      <c r="D153" s="57" t="s">
        <v>105</v>
      </c>
      <c r="E153" s="57" t="s">
        <v>11</v>
      </c>
      <c r="F153" s="53" t="s">
        <v>363</v>
      </c>
      <c r="G153" s="54">
        <v>278</v>
      </c>
      <c r="H153" s="54"/>
      <c r="I153" s="54" t="s">
        <v>706</v>
      </c>
    </row>
    <row r="154" spans="2:12" ht="15.75" hidden="1" customHeight="1" x14ac:dyDescent="0.2">
      <c r="B154" s="50">
        <f t="shared" si="2"/>
        <v>148</v>
      </c>
      <c r="C154" s="51">
        <v>45499</v>
      </c>
      <c r="D154" s="57" t="s">
        <v>105</v>
      </c>
      <c r="E154" s="57" t="s">
        <v>4</v>
      </c>
      <c r="F154" s="53" t="s">
        <v>348</v>
      </c>
      <c r="G154" s="54">
        <v>1700</v>
      </c>
      <c r="H154" s="54"/>
      <c r="I154" s="54" t="s">
        <v>3</v>
      </c>
    </row>
    <row r="155" spans="2:12" ht="15.75" hidden="1" customHeight="1" x14ac:dyDescent="0.2">
      <c r="B155" s="50">
        <f t="shared" si="2"/>
        <v>149</v>
      </c>
      <c r="C155" s="51">
        <v>45499</v>
      </c>
      <c r="D155" s="57" t="s">
        <v>105</v>
      </c>
      <c r="E155" s="57" t="s">
        <v>22</v>
      </c>
      <c r="F155" s="53" t="s">
        <v>364</v>
      </c>
      <c r="G155" s="54">
        <v>449</v>
      </c>
      <c r="H155" s="54"/>
      <c r="I155" s="54"/>
    </row>
    <row r="156" spans="2:12" ht="15.75" hidden="1" customHeight="1" x14ac:dyDescent="0.2">
      <c r="B156" s="50">
        <f t="shared" si="2"/>
        <v>150</v>
      </c>
      <c r="C156" s="51">
        <v>45500</v>
      </c>
      <c r="D156" s="57" t="s">
        <v>105</v>
      </c>
      <c r="E156" s="57" t="s">
        <v>14</v>
      </c>
      <c r="F156" s="53" t="s">
        <v>270</v>
      </c>
      <c r="G156" s="54"/>
      <c r="H156" s="54">
        <v>-1206.5</v>
      </c>
      <c r="I156" s="54" t="s">
        <v>710</v>
      </c>
    </row>
    <row r="157" spans="2:12" ht="15.75" hidden="1" customHeight="1" x14ac:dyDescent="0.2">
      <c r="B157" s="50">
        <f t="shared" si="2"/>
        <v>151</v>
      </c>
      <c r="C157" s="51">
        <v>45501</v>
      </c>
      <c r="D157" s="57" t="s">
        <v>105</v>
      </c>
      <c r="E157" s="57" t="s">
        <v>4</v>
      </c>
      <c r="F157" s="53" t="s">
        <v>348</v>
      </c>
      <c r="G157" s="54">
        <v>710</v>
      </c>
      <c r="H157" s="54"/>
      <c r="I157" s="54" t="s">
        <v>3</v>
      </c>
    </row>
    <row r="158" spans="2:12" ht="15.75" hidden="1" customHeight="1" x14ac:dyDescent="0.2">
      <c r="B158" s="50">
        <f t="shared" si="2"/>
        <v>152</v>
      </c>
      <c r="C158" s="51">
        <v>45505</v>
      </c>
      <c r="D158" s="57" t="s">
        <v>122</v>
      </c>
      <c r="E158" s="57" t="s">
        <v>4</v>
      </c>
      <c r="F158" s="53" t="s">
        <v>348</v>
      </c>
      <c r="G158" s="54">
        <v>340</v>
      </c>
      <c r="H158" s="54"/>
      <c r="I158" s="54" t="s">
        <v>3</v>
      </c>
    </row>
    <row r="159" spans="2:12" ht="15.75" hidden="1" customHeight="1" x14ac:dyDescent="0.2">
      <c r="B159" s="50">
        <f t="shared" si="2"/>
        <v>153</v>
      </c>
      <c r="C159" s="51">
        <v>45505</v>
      </c>
      <c r="D159" s="57" t="s">
        <v>122</v>
      </c>
      <c r="E159" s="57" t="s">
        <v>11</v>
      </c>
      <c r="F159" s="53" t="s">
        <v>365</v>
      </c>
      <c r="G159" s="54">
        <f>60+139.5</f>
        <v>199.5</v>
      </c>
      <c r="H159" s="54"/>
      <c r="I159" s="54" t="s">
        <v>706</v>
      </c>
    </row>
    <row r="160" spans="2:12" ht="15.75" hidden="1" customHeight="1" x14ac:dyDescent="0.2">
      <c r="B160" s="50">
        <f t="shared" si="2"/>
        <v>154</v>
      </c>
      <c r="C160" s="51">
        <v>45508</v>
      </c>
      <c r="D160" s="57" t="s">
        <v>122</v>
      </c>
      <c r="E160" s="57" t="s">
        <v>4</v>
      </c>
      <c r="F160" s="53" t="s">
        <v>348</v>
      </c>
      <c r="G160" s="54">
        <v>250</v>
      </c>
      <c r="H160" s="54"/>
      <c r="I160" s="54" t="s">
        <v>3</v>
      </c>
    </row>
    <row r="161" spans="2:9" ht="15.75" hidden="1" customHeight="1" x14ac:dyDescent="0.2">
      <c r="B161" s="50">
        <f t="shared" si="2"/>
        <v>155</v>
      </c>
      <c r="C161" s="51">
        <v>45509</v>
      </c>
      <c r="D161" s="57" t="s">
        <v>122</v>
      </c>
      <c r="E161" s="57" t="s">
        <v>4</v>
      </c>
      <c r="F161" s="53" t="s">
        <v>366</v>
      </c>
      <c r="G161" s="54">
        <v>200</v>
      </c>
      <c r="H161" s="54"/>
      <c r="I161" s="54" t="s">
        <v>3</v>
      </c>
    </row>
    <row r="162" spans="2:9" ht="15.75" hidden="1" customHeight="1" x14ac:dyDescent="0.2">
      <c r="B162" s="50">
        <f t="shared" si="2"/>
        <v>156</v>
      </c>
      <c r="C162" s="51">
        <v>45510</v>
      </c>
      <c r="D162" s="57" t="s">
        <v>122</v>
      </c>
      <c r="E162" s="57" t="s">
        <v>7</v>
      </c>
      <c r="F162" s="53" t="s">
        <v>367</v>
      </c>
      <c r="G162" s="54"/>
      <c r="H162" s="54">
        <v>-3000</v>
      </c>
      <c r="I162" s="54" t="s">
        <v>696</v>
      </c>
    </row>
    <row r="163" spans="2:9" ht="15.75" hidden="1" customHeight="1" x14ac:dyDescent="0.2">
      <c r="B163" s="50">
        <f t="shared" si="2"/>
        <v>157</v>
      </c>
      <c r="C163" s="51">
        <v>45512</v>
      </c>
      <c r="D163" s="57" t="s">
        <v>122</v>
      </c>
      <c r="E163" s="57" t="s">
        <v>4</v>
      </c>
      <c r="F163" s="53" t="s">
        <v>348</v>
      </c>
      <c r="G163" s="54">
        <v>100</v>
      </c>
      <c r="H163" s="54"/>
      <c r="I163" s="54" t="s">
        <v>3</v>
      </c>
    </row>
    <row r="164" spans="2:9" ht="15.75" hidden="1" customHeight="1" x14ac:dyDescent="0.2">
      <c r="B164" s="50">
        <f t="shared" si="2"/>
        <v>158</v>
      </c>
      <c r="C164" s="51">
        <v>45512</v>
      </c>
      <c r="D164" s="57" t="s">
        <v>122</v>
      </c>
      <c r="E164" s="57" t="s">
        <v>11</v>
      </c>
      <c r="F164" s="53" t="s">
        <v>264</v>
      </c>
      <c r="G164" s="54">
        <v>234</v>
      </c>
      <c r="H164" s="54"/>
      <c r="I164" s="54" t="s">
        <v>706</v>
      </c>
    </row>
    <row r="165" spans="2:9" ht="15.75" hidden="1" customHeight="1" x14ac:dyDescent="0.2">
      <c r="B165" s="50">
        <f t="shared" si="2"/>
        <v>159</v>
      </c>
      <c r="C165" s="51">
        <v>45515</v>
      </c>
      <c r="D165" s="57" t="s">
        <v>122</v>
      </c>
      <c r="E165" s="57" t="s">
        <v>4</v>
      </c>
      <c r="F165" s="53" t="s">
        <v>348</v>
      </c>
      <c r="G165" s="54">
        <v>717</v>
      </c>
      <c r="H165" s="54"/>
      <c r="I165" s="54" t="s">
        <v>3</v>
      </c>
    </row>
    <row r="166" spans="2:9" ht="15.75" hidden="1" customHeight="1" x14ac:dyDescent="0.2">
      <c r="B166" s="50">
        <f t="shared" si="2"/>
        <v>160</v>
      </c>
      <c r="C166" s="51">
        <v>45519</v>
      </c>
      <c r="D166" s="57" t="s">
        <v>122</v>
      </c>
      <c r="E166" s="57" t="s">
        <v>4</v>
      </c>
      <c r="F166" s="53" t="s">
        <v>348</v>
      </c>
      <c r="G166" s="54">
        <v>50</v>
      </c>
      <c r="H166" s="54"/>
      <c r="I166" s="54" t="s">
        <v>3</v>
      </c>
    </row>
    <row r="167" spans="2:9" ht="15.75" hidden="1" customHeight="1" x14ac:dyDescent="0.2">
      <c r="B167" s="50">
        <f t="shared" si="2"/>
        <v>161</v>
      </c>
      <c r="C167" s="51">
        <v>45519</v>
      </c>
      <c r="D167" s="57" t="s">
        <v>122</v>
      </c>
      <c r="E167" s="57" t="s">
        <v>11</v>
      </c>
      <c r="F167" s="53" t="s">
        <v>368</v>
      </c>
      <c r="G167" s="54">
        <v>188.5</v>
      </c>
      <c r="H167" s="54"/>
      <c r="I167" s="54" t="s">
        <v>706</v>
      </c>
    </row>
    <row r="168" spans="2:9" ht="15.75" hidden="1" customHeight="1" x14ac:dyDescent="0.2">
      <c r="B168" s="50">
        <f t="shared" si="2"/>
        <v>162</v>
      </c>
      <c r="C168" s="51">
        <v>45519</v>
      </c>
      <c r="D168" s="57" t="s">
        <v>122</v>
      </c>
      <c r="E168" s="57" t="s">
        <v>14</v>
      </c>
      <c r="F168" s="53" t="s">
        <v>318</v>
      </c>
      <c r="G168" s="54"/>
      <c r="H168" s="54">
        <v>-5</v>
      </c>
      <c r="I168" s="54" t="s">
        <v>689</v>
      </c>
    </row>
    <row r="169" spans="2:9" ht="15.75" hidden="1" customHeight="1" x14ac:dyDescent="0.2">
      <c r="B169" s="50">
        <f t="shared" si="2"/>
        <v>163</v>
      </c>
      <c r="C169" s="51">
        <v>45522</v>
      </c>
      <c r="D169" s="57" t="s">
        <v>122</v>
      </c>
      <c r="E169" s="57" t="s">
        <v>4</v>
      </c>
      <c r="F169" s="53" t="s">
        <v>348</v>
      </c>
      <c r="G169" s="54">
        <v>90</v>
      </c>
      <c r="H169" s="54"/>
      <c r="I169" s="54" t="s">
        <v>3</v>
      </c>
    </row>
    <row r="170" spans="2:9" ht="15.75" hidden="1" customHeight="1" x14ac:dyDescent="0.2">
      <c r="B170" s="50">
        <f t="shared" si="2"/>
        <v>164</v>
      </c>
      <c r="C170" s="51">
        <v>45522</v>
      </c>
      <c r="D170" s="57" t="s">
        <v>122</v>
      </c>
      <c r="E170" s="57" t="s">
        <v>7</v>
      </c>
      <c r="F170" s="53" t="s">
        <v>369</v>
      </c>
      <c r="G170" s="54"/>
      <c r="H170" s="54">
        <v>-3000</v>
      </c>
      <c r="I170" s="54" t="s">
        <v>696</v>
      </c>
    </row>
    <row r="171" spans="2:9" ht="15.75" hidden="1" customHeight="1" x14ac:dyDescent="0.2">
      <c r="B171" s="50">
        <f t="shared" si="2"/>
        <v>165</v>
      </c>
      <c r="C171" s="51">
        <v>45526</v>
      </c>
      <c r="D171" s="57" t="s">
        <v>122</v>
      </c>
      <c r="E171" s="57" t="s">
        <v>4</v>
      </c>
      <c r="F171" s="53" t="s">
        <v>348</v>
      </c>
      <c r="G171" s="54">
        <v>150</v>
      </c>
      <c r="H171" s="54"/>
      <c r="I171" s="54" t="s">
        <v>3</v>
      </c>
    </row>
    <row r="172" spans="2:9" ht="15.75" hidden="1" customHeight="1" x14ac:dyDescent="0.2">
      <c r="B172" s="50">
        <f t="shared" si="2"/>
        <v>166</v>
      </c>
      <c r="C172" s="51">
        <v>45526</v>
      </c>
      <c r="D172" s="57" t="s">
        <v>122</v>
      </c>
      <c r="E172" s="57" t="s">
        <v>11</v>
      </c>
      <c r="F172" s="53" t="s">
        <v>370</v>
      </c>
      <c r="G172" s="54">
        <v>456.5</v>
      </c>
      <c r="H172" s="54"/>
      <c r="I172" s="54" t="s">
        <v>706</v>
      </c>
    </row>
    <row r="173" spans="2:9" ht="15.75" hidden="1" customHeight="1" x14ac:dyDescent="0.2">
      <c r="B173" s="50">
        <f t="shared" si="2"/>
        <v>167</v>
      </c>
      <c r="C173" s="51">
        <v>45529</v>
      </c>
      <c r="D173" s="57" t="s">
        <v>122</v>
      </c>
      <c r="E173" s="57" t="s">
        <v>4</v>
      </c>
      <c r="F173" s="53" t="s">
        <v>348</v>
      </c>
      <c r="G173" s="54">
        <v>250</v>
      </c>
      <c r="H173" s="54"/>
      <c r="I173" s="54" t="s">
        <v>3</v>
      </c>
    </row>
    <row r="174" spans="2:9" ht="15.75" hidden="1" customHeight="1" x14ac:dyDescent="0.2">
      <c r="B174" s="50">
        <f t="shared" si="2"/>
        <v>168</v>
      </c>
      <c r="C174" s="51">
        <v>45529</v>
      </c>
      <c r="D174" s="57" t="s">
        <v>122</v>
      </c>
      <c r="E174" s="57" t="s">
        <v>22</v>
      </c>
      <c r="F174" s="53" t="s">
        <v>371</v>
      </c>
      <c r="G174" s="54">
        <v>15</v>
      </c>
      <c r="H174" s="54"/>
      <c r="I174" s="54"/>
    </row>
    <row r="175" spans="2:9" ht="15.75" hidden="1" customHeight="1" x14ac:dyDescent="0.2">
      <c r="B175" s="50">
        <f t="shared" si="2"/>
        <v>169</v>
      </c>
      <c r="C175" s="51">
        <v>45533</v>
      </c>
      <c r="D175" s="57" t="s">
        <v>122</v>
      </c>
      <c r="E175" s="57" t="s">
        <v>4</v>
      </c>
      <c r="F175" s="53" t="s">
        <v>348</v>
      </c>
      <c r="G175" s="54">
        <v>160</v>
      </c>
      <c r="H175" s="54"/>
      <c r="I175" s="54" t="s">
        <v>3</v>
      </c>
    </row>
    <row r="176" spans="2:9" ht="15.75" hidden="1" customHeight="1" x14ac:dyDescent="0.2">
      <c r="B176" s="50">
        <f t="shared" si="2"/>
        <v>170</v>
      </c>
      <c r="C176" s="51">
        <v>45533</v>
      </c>
      <c r="D176" s="57" t="s">
        <v>122</v>
      </c>
      <c r="E176" s="57" t="s">
        <v>11</v>
      </c>
      <c r="F176" s="53" t="s">
        <v>372</v>
      </c>
      <c r="G176" s="54">
        <v>376</v>
      </c>
      <c r="H176" s="54"/>
      <c r="I176" s="54" t="s">
        <v>706</v>
      </c>
    </row>
    <row r="177" spans="2:9" ht="15.75" hidden="1" customHeight="1" x14ac:dyDescent="0.2">
      <c r="B177" s="50">
        <f t="shared" si="2"/>
        <v>171</v>
      </c>
      <c r="C177" s="51">
        <v>45535</v>
      </c>
      <c r="D177" s="57" t="s">
        <v>122</v>
      </c>
      <c r="E177" s="57" t="s">
        <v>14</v>
      </c>
      <c r="F177" s="53" t="s">
        <v>266</v>
      </c>
      <c r="G177" s="54"/>
      <c r="H177" s="54">
        <v>-55</v>
      </c>
      <c r="I177" s="54" t="s">
        <v>697</v>
      </c>
    </row>
    <row r="178" spans="2:9" ht="15.75" hidden="1" customHeight="1" x14ac:dyDescent="0.2">
      <c r="B178" s="50">
        <f t="shared" si="2"/>
        <v>172</v>
      </c>
      <c r="C178" s="51">
        <v>45535</v>
      </c>
      <c r="D178" s="57" t="s">
        <v>122</v>
      </c>
      <c r="E178" s="57" t="s">
        <v>14</v>
      </c>
      <c r="F178" s="53" t="s">
        <v>270</v>
      </c>
      <c r="G178" s="54"/>
      <c r="H178" s="54">
        <v>-1394.5</v>
      </c>
      <c r="I178" s="54" t="s">
        <v>710</v>
      </c>
    </row>
    <row r="179" spans="2:9" ht="15.75" hidden="1" customHeight="1" x14ac:dyDescent="0.2">
      <c r="B179" s="50">
        <f t="shared" si="2"/>
        <v>173</v>
      </c>
      <c r="C179" s="51">
        <v>45536</v>
      </c>
      <c r="D179" s="57" t="s">
        <v>373</v>
      </c>
      <c r="E179" s="57" t="s">
        <v>4</v>
      </c>
      <c r="F179" s="53" t="s">
        <v>348</v>
      </c>
      <c r="G179" s="54">
        <v>185</v>
      </c>
      <c r="H179" s="54"/>
      <c r="I179" s="54" t="s">
        <v>3</v>
      </c>
    </row>
    <row r="180" spans="2:9" ht="15.75" hidden="1" customHeight="1" x14ac:dyDescent="0.2">
      <c r="B180" s="50">
        <f t="shared" si="2"/>
        <v>174</v>
      </c>
      <c r="C180" s="51">
        <v>45540</v>
      </c>
      <c r="D180" s="57" t="s">
        <v>373</v>
      </c>
      <c r="E180" s="57" t="s">
        <v>4</v>
      </c>
      <c r="F180" s="53" t="s">
        <v>348</v>
      </c>
      <c r="G180" s="54">
        <v>260</v>
      </c>
      <c r="H180" s="54"/>
      <c r="I180" s="54" t="s">
        <v>3</v>
      </c>
    </row>
    <row r="181" spans="2:9" ht="15.75" hidden="1" customHeight="1" x14ac:dyDescent="0.2">
      <c r="B181" s="50">
        <f t="shared" si="2"/>
        <v>175</v>
      </c>
      <c r="C181" s="51">
        <v>45540</v>
      </c>
      <c r="D181" s="57" t="s">
        <v>373</v>
      </c>
      <c r="E181" s="57" t="s">
        <v>11</v>
      </c>
      <c r="F181" s="53" t="s">
        <v>606</v>
      </c>
      <c r="G181" s="54">
        <v>471</v>
      </c>
      <c r="H181" s="54"/>
      <c r="I181" s="54" t="s">
        <v>706</v>
      </c>
    </row>
    <row r="182" spans="2:9" ht="15.75" hidden="1" customHeight="1" x14ac:dyDescent="0.2">
      <c r="B182" s="50">
        <f t="shared" si="2"/>
        <v>176</v>
      </c>
      <c r="C182" s="51">
        <v>45543</v>
      </c>
      <c r="D182" s="57" t="s">
        <v>373</v>
      </c>
      <c r="E182" s="57" t="s">
        <v>4</v>
      </c>
      <c r="F182" s="53" t="s">
        <v>348</v>
      </c>
      <c r="G182" s="54">
        <f>160+100</f>
        <v>260</v>
      </c>
      <c r="H182" s="54"/>
      <c r="I182" s="54" t="s">
        <v>3</v>
      </c>
    </row>
    <row r="183" spans="2:9" ht="15.75" hidden="1" customHeight="1" x14ac:dyDescent="0.2">
      <c r="B183" s="50">
        <f t="shared" si="2"/>
        <v>177</v>
      </c>
      <c r="C183" s="51">
        <v>45544</v>
      </c>
      <c r="D183" s="57" t="s">
        <v>373</v>
      </c>
      <c r="E183" s="57" t="s">
        <v>4</v>
      </c>
      <c r="F183" s="53" t="s">
        <v>690</v>
      </c>
      <c r="G183" s="54">
        <v>500</v>
      </c>
      <c r="H183" s="54"/>
      <c r="I183" s="54" t="s">
        <v>3</v>
      </c>
    </row>
    <row r="184" spans="2:9" ht="15.75" hidden="1" customHeight="1" x14ac:dyDescent="0.2">
      <c r="B184" s="50">
        <f t="shared" si="2"/>
        <v>178</v>
      </c>
      <c r="C184" s="51">
        <v>45544</v>
      </c>
      <c r="D184" s="57" t="s">
        <v>373</v>
      </c>
      <c r="E184" s="57" t="s">
        <v>14</v>
      </c>
      <c r="F184" s="53" t="s">
        <v>607</v>
      </c>
      <c r="G184" s="54"/>
      <c r="H184" s="54">
        <v>-23.5</v>
      </c>
      <c r="I184" s="54" t="s">
        <v>697</v>
      </c>
    </row>
    <row r="185" spans="2:9" ht="15.75" hidden="1" customHeight="1" x14ac:dyDescent="0.2">
      <c r="B185" s="50">
        <f t="shared" si="2"/>
        <v>179</v>
      </c>
      <c r="C185" s="51">
        <v>45547</v>
      </c>
      <c r="D185" s="57" t="s">
        <v>373</v>
      </c>
      <c r="E185" s="57" t="s">
        <v>4</v>
      </c>
      <c r="F185" s="53" t="s">
        <v>348</v>
      </c>
      <c r="G185" s="54">
        <v>250</v>
      </c>
      <c r="H185" s="54"/>
      <c r="I185" s="54" t="s">
        <v>3</v>
      </c>
    </row>
    <row r="186" spans="2:9" ht="15.75" hidden="1" customHeight="1" x14ac:dyDescent="0.2">
      <c r="B186" s="50">
        <f t="shared" si="2"/>
        <v>180</v>
      </c>
      <c r="C186" s="51">
        <v>45547</v>
      </c>
      <c r="D186" s="57" t="s">
        <v>373</v>
      </c>
      <c r="E186" s="57" t="s">
        <v>11</v>
      </c>
      <c r="F186" s="53" t="s">
        <v>608</v>
      </c>
      <c r="G186" s="54">
        <f>450+496</f>
        <v>946</v>
      </c>
      <c r="H186" s="54"/>
      <c r="I186" s="54" t="s">
        <v>708</v>
      </c>
    </row>
    <row r="187" spans="2:9" ht="15.75" hidden="1" customHeight="1" x14ac:dyDescent="0.2">
      <c r="B187" s="50">
        <f t="shared" si="2"/>
        <v>181</v>
      </c>
      <c r="C187" s="51">
        <v>45550</v>
      </c>
      <c r="D187" s="57" t="s">
        <v>373</v>
      </c>
      <c r="E187" s="57" t="s">
        <v>4</v>
      </c>
      <c r="F187" s="53" t="s">
        <v>348</v>
      </c>
      <c r="G187" s="54">
        <v>147.5</v>
      </c>
      <c r="H187" s="54"/>
      <c r="I187" s="54" t="s">
        <v>3</v>
      </c>
    </row>
    <row r="188" spans="2:9" ht="15.75" hidden="1" customHeight="1" x14ac:dyDescent="0.2">
      <c r="B188" s="50">
        <f t="shared" si="2"/>
        <v>182</v>
      </c>
      <c r="C188" s="51">
        <v>45550</v>
      </c>
      <c r="D188" s="57" t="s">
        <v>373</v>
      </c>
      <c r="E188" s="57" t="s">
        <v>4</v>
      </c>
      <c r="F188" s="53" t="s">
        <v>609</v>
      </c>
      <c r="G188" s="54">
        <v>350</v>
      </c>
      <c r="H188" s="54"/>
      <c r="I188" s="54" t="s">
        <v>3</v>
      </c>
    </row>
    <row r="189" spans="2:9" ht="15.75" customHeight="1" x14ac:dyDescent="0.2">
      <c r="B189" s="50">
        <f t="shared" si="2"/>
        <v>183</v>
      </c>
      <c r="C189" s="51">
        <v>45552</v>
      </c>
      <c r="D189" s="57" t="s">
        <v>373</v>
      </c>
      <c r="E189" s="57" t="s">
        <v>25</v>
      </c>
      <c r="F189" s="53" t="s">
        <v>610</v>
      </c>
      <c r="G189" s="54"/>
      <c r="H189" s="54">
        <v>-152</v>
      </c>
      <c r="I189" s="54"/>
    </row>
    <row r="190" spans="2:9" ht="15.75" hidden="1" customHeight="1" x14ac:dyDescent="0.2">
      <c r="B190" s="50">
        <f t="shared" si="2"/>
        <v>184</v>
      </c>
      <c r="C190" s="51">
        <v>45553</v>
      </c>
      <c r="D190" s="57" t="s">
        <v>373</v>
      </c>
      <c r="E190" s="57" t="s">
        <v>4</v>
      </c>
      <c r="F190" s="53" t="s">
        <v>609</v>
      </c>
      <c r="G190" s="54">
        <v>300</v>
      </c>
      <c r="H190" s="54"/>
      <c r="I190" s="54" t="s">
        <v>3</v>
      </c>
    </row>
    <row r="191" spans="2:9" ht="15.75" hidden="1" customHeight="1" x14ac:dyDescent="0.2">
      <c r="B191" s="50">
        <f t="shared" si="2"/>
        <v>185</v>
      </c>
      <c r="C191" s="51">
        <v>45554</v>
      </c>
      <c r="D191" s="57" t="s">
        <v>373</v>
      </c>
      <c r="E191" s="57" t="s">
        <v>11</v>
      </c>
      <c r="F191" s="53" t="s">
        <v>336</v>
      </c>
      <c r="G191" s="54">
        <v>234</v>
      </c>
      <c r="H191" s="54"/>
      <c r="I191" s="54" t="s">
        <v>706</v>
      </c>
    </row>
    <row r="192" spans="2:9" ht="15.75" hidden="1" customHeight="1" x14ac:dyDescent="0.2">
      <c r="B192" s="50">
        <f t="shared" si="2"/>
        <v>186</v>
      </c>
      <c r="C192" s="51">
        <v>45556</v>
      </c>
      <c r="D192" s="57" t="s">
        <v>373</v>
      </c>
      <c r="E192" s="57" t="s">
        <v>14</v>
      </c>
      <c r="F192" s="53" t="s">
        <v>611</v>
      </c>
      <c r="G192" s="54"/>
      <c r="H192" s="54">
        <v>-55</v>
      </c>
      <c r="I192" s="54" t="s">
        <v>689</v>
      </c>
    </row>
    <row r="193" spans="2:9" ht="15.75" hidden="1" customHeight="1" x14ac:dyDescent="0.2">
      <c r="B193" s="50">
        <f t="shared" si="2"/>
        <v>187</v>
      </c>
      <c r="C193" s="51">
        <v>45557</v>
      </c>
      <c r="D193" s="57" t="s">
        <v>373</v>
      </c>
      <c r="E193" s="57" t="s">
        <v>4</v>
      </c>
      <c r="F193" s="53" t="s">
        <v>620</v>
      </c>
      <c r="G193" s="54">
        <v>30</v>
      </c>
      <c r="H193" s="54"/>
      <c r="I193" s="54" t="s">
        <v>3</v>
      </c>
    </row>
    <row r="194" spans="2:9" ht="15.75" hidden="1" customHeight="1" x14ac:dyDescent="0.2">
      <c r="B194" s="50">
        <f t="shared" si="2"/>
        <v>188</v>
      </c>
      <c r="C194" s="51">
        <v>45557</v>
      </c>
      <c r="D194" s="57" t="s">
        <v>373</v>
      </c>
      <c r="E194" s="57" t="s">
        <v>4</v>
      </c>
      <c r="F194" s="53" t="s">
        <v>609</v>
      </c>
      <c r="G194" s="54">
        <v>1200</v>
      </c>
      <c r="H194" s="54"/>
      <c r="I194" s="54" t="s">
        <v>3</v>
      </c>
    </row>
    <row r="195" spans="2:9" ht="15.75" hidden="1" customHeight="1" x14ac:dyDescent="0.2">
      <c r="B195" s="50">
        <f t="shared" si="2"/>
        <v>189</v>
      </c>
      <c r="C195" s="51">
        <v>45561</v>
      </c>
      <c r="D195" s="57" t="s">
        <v>373</v>
      </c>
      <c r="E195" s="57" t="s">
        <v>4</v>
      </c>
      <c r="F195" s="53" t="s">
        <v>620</v>
      </c>
      <c r="G195" s="54">
        <v>70</v>
      </c>
      <c r="H195" s="54"/>
      <c r="I195" s="54" t="s">
        <v>3</v>
      </c>
    </row>
    <row r="196" spans="2:9" ht="15.75" hidden="1" customHeight="1" x14ac:dyDescent="0.2">
      <c r="B196" s="50">
        <f t="shared" si="2"/>
        <v>190</v>
      </c>
      <c r="C196" s="51">
        <v>45561</v>
      </c>
      <c r="D196" s="57" t="s">
        <v>373</v>
      </c>
      <c r="E196" s="57" t="s">
        <v>4</v>
      </c>
      <c r="F196" s="53" t="s">
        <v>609</v>
      </c>
      <c r="G196" s="54">
        <v>620</v>
      </c>
      <c r="H196" s="54"/>
      <c r="I196" s="54" t="s">
        <v>3</v>
      </c>
    </row>
    <row r="197" spans="2:9" ht="15.75" hidden="1" customHeight="1" x14ac:dyDescent="0.2">
      <c r="B197" s="50">
        <f t="shared" si="2"/>
        <v>191</v>
      </c>
      <c r="C197" s="51">
        <v>45561</v>
      </c>
      <c r="D197" s="57" t="s">
        <v>373</v>
      </c>
      <c r="E197" s="57" t="s">
        <v>11</v>
      </c>
      <c r="F197" s="53" t="s">
        <v>346</v>
      </c>
      <c r="G197" s="54">
        <v>301</v>
      </c>
      <c r="H197" s="54"/>
      <c r="I197" s="54" t="s">
        <v>706</v>
      </c>
    </row>
    <row r="198" spans="2:9" ht="15.75" hidden="1" customHeight="1" x14ac:dyDescent="0.2">
      <c r="B198" s="50">
        <f t="shared" si="2"/>
        <v>192</v>
      </c>
      <c r="C198" s="51">
        <v>45562</v>
      </c>
      <c r="D198" s="57" t="s">
        <v>373</v>
      </c>
      <c r="E198" s="57" t="s">
        <v>22</v>
      </c>
      <c r="F198" s="53" t="s">
        <v>618</v>
      </c>
      <c r="G198" s="54">
        <v>215</v>
      </c>
      <c r="H198" s="54"/>
      <c r="I198" s="54"/>
    </row>
    <row r="199" spans="2:9" ht="15.75" hidden="1" customHeight="1" x14ac:dyDescent="0.2">
      <c r="B199" s="50">
        <f t="shared" ref="B199:B262" si="3">B198+1</f>
        <v>193</v>
      </c>
      <c r="C199" s="51">
        <v>45562</v>
      </c>
      <c r="D199" s="57" t="s">
        <v>373</v>
      </c>
      <c r="E199" s="57" t="s">
        <v>22</v>
      </c>
      <c r="F199" s="53" t="s">
        <v>617</v>
      </c>
      <c r="G199" s="54">
        <v>290</v>
      </c>
      <c r="H199" s="54"/>
      <c r="I199" s="54"/>
    </row>
    <row r="200" spans="2:9" ht="15.75" hidden="1" customHeight="1" x14ac:dyDescent="0.2">
      <c r="B200" s="50">
        <f t="shared" si="3"/>
        <v>194</v>
      </c>
      <c r="C200" s="51">
        <v>45563</v>
      </c>
      <c r="D200" s="57" t="s">
        <v>373</v>
      </c>
      <c r="E200" s="57" t="s">
        <v>14</v>
      </c>
      <c r="F200" s="53" t="s">
        <v>614</v>
      </c>
      <c r="G200" s="54"/>
      <c r="H200" s="54">
        <v>-55</v>
      </c>
      <c r="I200" s="54" t="s">
        <v>689</v>
      </c>
    </row>
    <row r="201" spans="2:9" ht="15.75" hidden="1" customHeight="1" x14ac:dyDescent="0.2">
      <c r="B201" s="50">
        <f t="shared" si="3"/>
        <v>195</v>
      </c>
      <c r="C201" s="51">
        <v>45563</v>
      </c>
      <c r="D201" s="57" t="s">
        <v>373</v>
      </c>
      <c r="E201" s="57" t="s">
        <v>14</v>
      </c>
      <c r="F201" s="53" t="s">
        <v>613</v>
      </c>
      <c r="G201" s="54"/>
      <c r="H201" s="54">
        <v>-110</v>
      </c>
      <c r="I201" s="54" t="s">
        <v>689</v>
      </c>
    </row>
    <row r="202" spans="2:9" ht="15.75" hidden="1" customHeight="1" x14ac:dyDescent="0.2">
      <c r="B202" s="50">
        <f t="shared" si="3"/>
        <v>196</v>
      </c>
      <c r="C202" s="51">
        <v>45563</v>
      </c>
      <c r="D202" s="57" t="s">
        <v>373</v>
      </c>
      <c r="E202" s="57" t="s">
        <v>14</v>
      </c>
      <c r="F202" s="53" t="s">
        <v>270</v>
      </c>
      <c r="G202" s="54"/>
      <c r="H202" s="54">
        <v>-1458.5</v>
      </c>
      <c r="I202" s="54" t="s">
        <v>710</v>
      </c>
    </row>
    <row r="203" spans="2:9" ht="15.75" hidden="1" customHeight="1" x14ac:dyDescent="0.2">
      <c r="B203" s="50">
        <f t="shared" si="3"/>
        <v>197</v>
      </c>
      <c r="C203" s="51">
        <v>45563</v>
      </c>
      <c r="D203" s="57" t="s">
        <v>373</v>
      </c>
      <c r="E203" s="57" t="s">
        <v>14</v>
      </c>
      <c r="F203" s="53" t="s">
        <v>612</v>
      </c>
      <c r="G203" s="54"/>
      <c r="H203" s="54">
        <v>-250</v>
      </c>
      <c r="I203" s="54" t="s">
        <v>689</v>
      </c>
    </row>
    <row r="204" spans="2:9" ht="15.75" hidden="1" customHeight="1" x14ac:dyDescent="0.2">
      <c r="B204" s="50">
        <f t="shared" si="3"/>
        <v>198</v>
      </c>
      <c r="C204" s="51">
        <v>45564</v>
      </c>
      <c r="D204" s="57" t="s">
        <v>373</v>
      </c>
      <c r="E204" s="57" t="s">
        <v>4</v>
      </c>
      <c r="F204" s="53" t="s">
        <v>620</v>
      </c>
      <c r="G204" s="54">
        <v>160</v>
      </c>
      <c r="H204" s="54"/>
      <c r="I204" s="54" t="s">
        <v>3</v>
      </c>
    </row>
    <row r="205" spans="2:9" ht="15.75" hidden="1" customHeight="1" x14ac:dyDescent="0.2">
      <c r="B205" s="50">
        <f t="shared" si="3"/>
        <v>199</v>
      </c>
      <c r="C205" s="51">
        <v>45564</v>
      </c>
      <c r="D205" s="57" t="s">
        <v>373</v>
      </c>
      <c r="E205" s="57" t="s">
        <v>4</v>
      </c>
      <c r="F205" s="53" t="s">
        <v>691</v>
      </c>
      <c r="G205" s="54">
        <v>500</v>
      </c>
      <c r="H205" s="54"/>
      <c r="I205" s="54" t="s">
        <v>3</v>
      </c>
    </row>
    <row r="206" spans="2:9" ht="15.75" hidden="1" customHeight="1" x14ac:dyDescent="0.2">
      <c r="B206" s="50">
        <f t="shared" si="3"/>
        <v>200</v>
      </c>
      <c r="C206" s="51">
        <v>45564</v>
      </c>
      <c r="D206" s="57" t="s">
        <v>373</v>
      </c>
      <c r="E206" s="57" t="s">
        <v>4</v>
      </c>
      <c r="F206" s="53" t="s">
        <v>609</v>
      </c>
      <c r="G206" s="54">
        <v>800</v>
      </c>
      <c r="H206" s="54"/>
      <c r="I206" s="54" t="s">
        <v>3</v>
      </c>
    </row>
    <row r="207" spans="2:9" ht="15.75" hidden="1" customHeight="1" x14ac:dyDescent="0.2">
      <c r="B207" s="50">
        <f t="shared" si="3"/>
        <v>201</v>
      </c>
      <c r="C207" s="51">
        <v>45565</v>
      </c>
      <c r="D207" s="57" t="s">
        <v>373</v>
      </c>
      <c r="E207" s="57" t="s">
        <v>7</v>
      </c>
      <c r="F207" s="53" t="s">
        <v>348</v>
      </c>
      <c r="G207" s="54"/>
      <c r="H207" s="54">
        <f>-3349-500+3700+68.5</f>
        <v>-80.5</v>
      </c>
      <c r="I207" s="54" t="s">
        <v>696</v>
      </c>
    </row>
    <row r="208" spans="2:9" ht="15.75" hidden="1" customHeight="1" x14ac:dyDescent="0.2">
      <c r="B208" s="50">
        <f t="shared" si="3"/>
        <v>202</v>
      </c>
      <c r="C208" s="51">
        <v>45565</v>
      </c>
      <c r="D208" s="57" t="s">
        <v>373</v>
      </c>
      <c r="E208" s="57" t="s">
        <v>7</v>
      </c>
      <c r="F208" s="53" t="s">
        <v>698</v>
      </c>
      <c r="G208" s="54"/>
      <c r="H208" s="54">
        <v>-3700</v>
      </c>
      <c r="I208" s="54" t="s">
        <v>696</v>
      </c>
    </row>
    <row r="209" spans="2:9" ht="15.75" hidden="1" customHeight="1" x14ac:dyDescent="0.2">
      <c r="B209" s="50">
        <f t="shared" si="3"/>
        <v>203</v>
      </c>
      <c r="C209" s="51">
        <v>45565</v>
      </c>
      <c r="D209" s="57" t="s">
        <v>373</v>
      </c>
      <c r="E209" s="57" t="s">
        <v>7</v>
      </c>
      <c r="F209" s="53" t="s">
        <v>716</v>
      </c>
      <c r="G209" s="54"/>
      <c r="H209" s="54">
        <v>-2219.5</v>
      </c>
      <c r="I209" s="54" t="s">
        <v>696</v>
      </c>
    </row>
    <row r="210" spans="2:9" ht="15.75" hidden="1" customHeight="1" x14ac:dyDescent="0.2">
      <c r="B210" s="50">
        <f t="shared" si="3"/>
        <v>204</v>
      </c>
      <c r="C210" s="51">
        <v>45566</v>
      </c>
      <c r="D210" s="57" t="s">
        <v>159</v>
      </c>
      <c r="E210" s="57" t="s">
        <v>7</v>
      </c>
      <c r="F210" s="53" t="s">
        <v>621</v>
      </c>
      <c r="G210" s="54"/>
      <c r="H210" s="54">
        <v>-300</v>
      </c>
      <c r="I210" s="54" t="s">
        <v>699</v>
      </c>
    </row>
    <row r="211" spans="2:9" ht="15.75" hidden="1" customHeight="1" x14ac:dyDescent="0.2">
      <c r="B211" s="50">
        <f t="shared" si="3"/>
        <v>205</v>
      </c>
      <c r="C211" s="51">
        <v>45567</v>
      </c>
      <c r="D211" s="57" t="s">
        <v>159</v>
      </c>
      <c r="E211" s="57" t="s">
        <v>4</v>
      </c>
      <c r="F211" s="53" t="s">
        <v>609</v>
      </c>
      <c r="G211" s="54">
        <v>400</v>
      </c>
      <c r="H211" s="54"/>
      <c r="I211" s="54" t="s">
        <v>3</v>
      </c>
    </row>
    <row r="212" spans="2:9" ht="15.75" hidden="1" customHeight="1" x14ac:dyDescent="0.2">
      <c r="B212" s="50">
        <f t="shared" si="3"/>
        <v>206</v>
      </c>
      <c r="C212" s="51">
        <v>45568</v>
      </c>
      <c r="D212" s="57" t="s">
        <v>159</v>
      </c>
      <c r="E212" s="57" t="s">
        <v>4</v>
      </c>
      <c r="F212" s="53" t="s">
        <v>620</v>
      </c>
      <c r="G212" s="54">
        <v>100</v>
      </c>
      <c r="H212" s="54"/>
      <c r="I212" s="54" t="s">
        <v>3</v>
      </c>
    </row>
    <row r="213" spans="2:9" ht="15.75" hidden="1" customHeight="1" x14ac:dyDescent="0.2">
      <c r="B213" s="50">
        <f t="shared" si="3"/>
        <v>207</v>
      </c>
      <c r="C213" s="51">
        <v>45568</v>
      </c>
      <c r="D213" s="57" t="s">
        <v>159</v>
      </c>
      <c r="E213" s="57" t="s">
        <v>4</v>
      </c>
      <c r="F213" s="53" t="s">
        <v>609</v>
      </c>
      <c r="G213" s="54">
        <v>100</v>
      </c>
      <c r="H213" s="54"/>
      <c r="I213" s="54" t="s">
        <v>3</v>
      </c>
    </row>
    <row r="214" spans="2:9" ht="15.75" hidden="1" customHeight="1" x14ac:dyDescent="0.2">
      <c r="B214" s="50">
        <f t="shared" si="3"/>
        <v>208</v>
      </c>
      <c r="C214" s="51">
        <v>45568</v>
      </c>
      <c r="D214" s="57" t="s">
        <v>159</v>
      </c>
      <c r="E214" s="57" t="s">
        <v>11</v>
      </c>
      <c r="F214" s="53" t="s">
        <v>622</v>
      </c>
      <c r="G214" s="54">
        <v>447</v>
      </c>
      <c r="H214" s="54"/>
      <c r="I214" s="54" t="s">
        <v>706</v>
      </c>
    </row>
    <row r="215" spans="2:9" ht="15.75" hidden="1" customHeight="1" x14ac:dyDescent="0.2">
      <c r="B215" s="50">
        <f t="shared" si="3"/>
        <v>209</v>
      </c>
      <c r="C215" s="51">
        <v>45568</v>
      </c>
      <c r="D215" s="57" t="s">
        <v>159</v>
      </c>
      <c r="E215" s="57" t="s">
        <v>14</v>
      </c>
      <c r="F215" s="53" t="s">
        <v>623</v>
      </c>
      <c r="G215" s="54"/>
      <c r="H215" s="54">
        <v>-281</v>
      </c>
      <c r="I215" s="54" t="s">
        <v>689</v>
      </c>
    </row>
    <row r="216" spans="2:9" ht="15.75" hidden="1" customHeight="1" x14ac:dyDescent="0.2">
      <c r="B216" s="50">
        <f t="shared" si="3"/>
        <v>210</v>
      </c>
      <c r="C216" s="51">
        <v>45569</v>
      </c>
      <c r="D216" s="57" t="s">
        <v>159</v>
      </c>
      <c r="E216" s="57" t="s">
        <v>4</v>
      </c>
      <c r="F216" s="53" t="s">
        <v>609</v>
      </c>
      <c r="G216" s="54">
        <v>100</v>
      </c>
      <c r="H216" s="54"/>
      <c r="I216" s="54" t="s">
        <v>3</v>
      </c>
    </row>
    <row r="217" spans="2:9" ht="15.75" hidden="1" customHeight="1" x14ac:dyDescent="0.2">
      <c r="B217" s="50">
        <f t="shared" si="3"/>
        <v>211</v>
      </c>
      <c r="C217" s="51">
        <v>45571</v>
      </c>
      <c r="D217" s="57" t="s">
        <v>159</v>
      </c>
      <c r="E217" s="57" t="s">
        <v>4</v>
      </c>
      <c r="F217" s="53" t="s">
        <v>620</v>
      </c>
      <c r="G217" s="54">
        <v>70</v>
      </c>
      <c r="H217" s="54"/>
      <c r="I217" s="54" t="s">
        <v>3</v>
      </c>
    </row>
    <row r="218" spans="2:9" ht="15.75" hidden="1" customHeight="1" x14ac:dyDescent="0.2">
      <c r="B218" s="50">
        <f t="shared" si="3"/>
        <v>212</v>
      </c>
      <c r="C218" s="51">
        <v>45571</v>
      </c>
      <c r="D218" s="57" t="s">
        <v>159</v>
      </c>
      <c r="E218" s="57" t="s">
        <v>4</v>
      </c>
      <c r="F218" s="53" t="s">
        <v>609</v>
      </c>
      <c r="G218" s="54">
        <v>650</v>
      </c>
      <c r="H218" s="54"/>
      <c r="I218" s="54" t="s">
        <v>3</v>
      </c>
    </row>
    <row r="219" spans="2:9" ht="15.75" hidden="1" customHeight="1" x14ac:dyDescent="0.2">
      <c r="B219" s="50">
        <f t="shared" si="3"/>
        <v>213</v>
      </c>
      <c r="C219" s="51">
        <v>45575</v>
      </c>
      <c r="D219" s="57" t="s">
        <v>159</v>
      </c>
      <c r="E219" s="57" t="s">
        <v>11</v>
      </c>
      <c r="F219" s="53" t="s">
        <v>625</v>
      </c>
      <c r="G219" s="54">
        <v>1030.5</v>
      </c>
      <c r="H219" s="54"/>
      <c r="I219" s="54" t="s">
        <v>708</v>
      </c>
    </row>
    <row r="220" spans="2:9" ht="15.75" hidden="1" customHeight="1" x14ac:dyDescent="0.2">
      <c r="B220" s="50">
        <f t="shared" si="3"/>
        <v>214</v>
      </c>
      <c r="C220" s="51">
        <v>45578</v>
      </c>
      <c r="D220" s="57" t="s">
        <v>159</v>
      </c>
      <c r="E220" s="57" t="s">
        <v>4</v>
      </c>
      <c r="F220" s="53" t="s">
        <v>620</v>
      </c>
      <c r="G220" s="54">
        <v>60</v>
      </c>
      <c r="H220" s="54"/>
      <c r="I220" s="54" t="s">
        <v>3</v>
      </c>
    </row>
    <row r="221" spans="2:9" ht="15.75" hidden="1" customHeight="1" x14ac:dyDescent="0.2">
      <c r="B221" s="50">
        <f t="shared" si="3"/>
        <v>215</v>
      </c>
      <c r="C221" s="51">
        <v>45578</v>
      </c>
      <c r="D221" s="57" t="s">
        <v>159</v>
      </c>
      <c r="E221" s="57" t="s">
        <v>4</v>
      </c>
      <c r="F221" s="53" t="s">
        <v>609</v>
      </c>
      <c r="G221" s="54">
        <v>750</v>
      </c>
      <c r="H221" s="54"/>
      <c r="I221" s="54" t="s">
        <v>3</v>
      </c>
    </row>
    <row r="222" spans="2:9" ht="15.75" hidden="1" customHeight="1" x14ac:dyDescent="0.2">
      <c r="B222" s="50">
        <f t="shared" si="3"/>
        <v>216</v>
      </c>
      <c r="C222" s="51">
        <v>45580</v>
      </c>
      <c r="D222" s="57" t="s">
        <v>159</v>
      </c>
      <c r="E222" s="57" t="s">
        <v>14</v>
      </c>
      <c r="F222" s="53" t="s">
        <v>626</v>
      </c>
      <c r="G222" s="54"/>
      <c r="H222" s="54">
        <v>-64</v>
      </c>
      <c r="I222" s="54" t="s">
        <v>689</v>
      </c>
    </row>
    <row r="223" spans="2:9" ht="15.75" hidden="1" customHeight="1" x14ac:dyDescent="0.2">
      <c r="B223" s="50">
        <f t="shared" si="3"/>
        <v>217</v>
      </c>
      <c r="C223" s="51">
        <v>45581</v>
      </c>
      <c r="D223" s="57" t="s">
        <v>159</v>
      </c>
      <c r="E223" s="57" t="s">
        <v>7</v>
      </c>
      <c r="F223" s="53" t="s">
        <v>612</v>
      </c>
      <c r="G223" s="54"/>
      <c r="H223" s="54">
        <v>-523</v>
      </c>
      <c r="I223" s="54" t="s">
        <v>689</v>
      </c>
    </row>
    <row r="224" spans="2:9" ht="15.75" hidden="1" customHeight="1" x14ac:dyDescent="0.2">
      <c r="B224" s="50">
        <f t="shared" si="3"/>
        <v>218</v>
      </c>
      <c r="C224" s="51">
        <v>45582</v>
      </c>
      <c r="D224" s="57" t="s">
        <v>159</v>
      </c>
      <c r="E224" s="57" t="s">
        <v>4</v>
      </c>
      <c r="F224" s="53" t="s">
        <v>609</v>
      </c>
      <c r="G224" s="54">
        <v>750</v>
      </c>
      <c r="H224" s="54"/>
      <c r="I224" s="54" t="s">
        <v>3</v>
      </c>
    </row>
    <row r="225" spans="2:9" ht="15.75" hidden="1" customHeight="1" x14ac:dyDescent="0.2">
      <c r="B225" s="50">
        <f t="shared" si="3"/>
        <v>219</v>
      </c>
      <c r="C225" s="51">
        <v>45582</v>
      </c>
      <c r="D225" s="57" t="s">
        <v>159</v>
      </c>
      <c r="E225" s="57" t="s">
        <v>11</v>
      </c>
      <c r="F225" s="53" t="s">
        <v>628</v>
      </c>
      <c r="G225" s="54">
        <v>315</v>
      </c>
      <c r="H225" s="54"/>
      <c r="I225" s="54" t="s">
        <v>706</v>
      </c>
    </row>
    <row r="226" spans="2:9" ht="15.75" hidden="1" customHeight="1" x14ac:dyDescent="0.2">
      <c r="B226" s="50">
        <f t="shared" si="3"/>
        <v>220</v>
      </c>
      <c r="C226" s="51">
        <v>45583</v>
      </c>
      <c r="D226" s="57" t="s">
        <v>159</v>
      </c>
      <c r="E226" s="57" t="s">
        <v>14</v>
      </c>
      <c r="F226" s="53" t="s">
        <v>627</v>
      </c>
      <c r="G226" s="54"/>
      <c r="H226" s="54">
        <v>-3</v>
      </c>
      <c r="I226" s="54" t="s">
        <v>689</v>
      </c>
    </row>
    <row r="227" spans="2:9" ht="15.75" hidden="1" customHeight="1" x14ac:dyDescent="0.2">
      <c r="B227" s="50">
        <f t="shared" si="3"/>
        <v>221</v>
      </c>
      <c r="C227" s="51">
        <v>45584</v>
      </c>
      <c r="D227" s="57" t="s">
        <v>159</v>
      </c>
      <c r="E227" s="57" t="s">
        <v>7</v>
      </c>
      <c r="F227" s="53" t="s">
        <v>612</v>
      </c>
      <c r="G227" s="54"/>
      <c r="H227" s="54">
        <f>-380-233</f>
        <v>-613</v>
      </c>
      <c r="I227" s="54" t="s">
        <v>689</v>
      </c>
    </row>
    <row r="228" spans="2:9" ht="15.75" hidden="1" customHeight="1" x14ac:dyDescent="0.2">
      <c r="B228" s="50">
        <f t="shared" si="3"/>
        <v>222</v>
      </c>
      <c r="C228" s="51">
        <v>45585</v>
      </c>
      <c r="D228" s="57" t="s">
        <v>159</v>
      </c>
      <c r="E228" s="57" t="s">
        <v>4</v>
      </c>
      <c r="F228" s="53" t="s">
        <v>620</v>
      </c>
      <c r="G228" s="54">
        <v>20</v>
      </c>
      <c r="H228" s="54"/>
      <c r="I228" s="54" t="s">
        <v>3</v>
      </c>
    </row>
    <row r="229" spans="2:9" ht="15.75" hidden="1" customHeight="1" x14ac:dyDescent="0.2">
      <c r="B229" s="50">
        <f t="shared" si="3"/>
        <v>223</v>
      </c>
      <c r="C229" s="51">
        <v>45585</v>
      </c>
      <c r="D229" s="57" t="s">
        <v>159</v>
      </c>
      <c r="E229" s="57" t="s">
        <v>4</v>
      </c>
      <c r="F229" s="53" t="s">
        <v>609</v>
      </c>
      <c r="G229" s="54">
        <v>750</v>
      </c>
      <c r="H229" s="54"/>
      <c r="I229" s="54" t="s">
        <v>3</v>
      </c>
    </row>
    <row r="230" spans="2:9" ht="15.75" hidden="1" customHeight="1" x14ac:dyDescent="0.2">
      <c r="B230" s="50">
        <f t="shared" si="3"/>
        <v>224</v>
      </c>
      <c r="C230" s="51">
        <v>45587</v>
      </c>
      <c r="D230" s="57" t="s">
        <v>159</v>
      </c>
      <c r="E230" s="57" t="s">
        <v>7</v>
      </c>
      <c r="F230" s="53" t="s">
        <v>631</v>
      </c>
      <c r="G230" s="54"/>
      <c r="H230" s="54">
        <f>-21-30</f>
        <v>-51</v>
      </c>
      <c r="I230" s="54" t="s">
        <v>697</v>
      </c>
    </row>
    <row r="231" spans="2:9" ht="15.75" customHeight="1" x14ac:dyDescent="0.2">
      <c r="B231" s="50">
        <f t="shared" si="3"/>
        <v>225</v>
      </c>
      <c r="C231" s="51">
        <v>45587</v>
      </c>
      <c r="D231" s="57" t="s">
        <v>159</v>
      </c>
      <c r="E231" s="57" t="s">
        <v>25</v>
      </c>
      <c r="F231" s="53" t="s">
        <v>629</v>
      </c>
      <c r="G231" s="54"/>
      <c r="H231" s="54">
        <v>-300</v>
      </c>
      <c r="I231" s="54" t="s">
        <v>630</v>
      </c>
    </row>
    <row r="232" spans="2:9" ht="15.75" hidden="1" customHeight="1" x14ac:dyDescent="0.2">
      <c r="B232" s="50">
        <f t="shared" si="3"/>
        <v>226</v>
      </c>
      <c r="C232" s="51">
        <v>45589</v>
      </c>
      <c r="D232" s="57" t="s">
        <v>159</v>
      </c>
      <c r="E232" s="57" t="s">
        <v>11</v>
      </c>
      <c r="F232" s="53" t="s">
        <v>635</v>
      </c>
      <c r="G232" s="54">
        <v>519</v>
      </c>
      <c r="H232" s="54"/>
      <c r="I232" s="54" t="s">
        <v>706</v>
      </c>
    </row>
    <row r="233" spans="2:9" ht="15.75" hidden="1" customHeight="1" x14ac:dyDescent="0.2">
      <c r="B233" s="50">
        <f t="shared" si="3"/>
        <v>227</v>
      </c>
      <c r="C233" s="51">
        <v>45590</v>
      </c>
      <c r="D233" s="57" t="s">
        <v>159</v>
      </c>
      <c r="E233" s="57" t="s">
        <v>4</v>
      </c>
      <c r="F233" s="53" t="s">
        <v>609</v>
      </c>
      <c r="G233" s="54">
        <v>600</v>
      </c>
      <c r="H233" s="54"/>
      <c r="I233" s="54" t="s">
        <v>3</v>
      </c>
    </row>
    <row r="234" spans="2:9" ht="15.75" hidden="1" customHeight="1" x14ac:dyDescent="0.2">
      <c r="B234" s="50">
        <f t="shared" si="3"/>
        <v>228</v>
      </c>
      <c r="C234" s="51">
        <v>45590</v>
      </c>
      <c r="D234" s="57" t="s">
        <v>159</v>
      </c>
      <c r="E234" s="57" t="s">
        <v>22</v>
      </c>
      <c r="F234" s="53" t="s">
        <v>633</v>
      </c>
      <c r="G234" s="54">
        <f>103*5</f>
        <v>515</v>
      </c>
      <c r="H234" s="54"/>
      <c r="I234" s="54"/>
    </row>
    <row r="235" spans="2:9" ht="15.75" hidden="1" customHeight="1" x14ac:dyDescent="0.2">
      <c r="B235" s="50">
        <f t="shared" si="3"/>
        <v>229</v>
      </c>
      <c r="C235" s="51">
        <v>45590</v>
      </c>
      <c r="D235" s="57" t="s">
        <v>159</v>
      </c>
      <c r="E235" s="57" t="s">
        <v>22</v>
      </c>
      <c r="F235" s="53" t="s">
        <v>634</v>
      </c>
      <c r="G235" s="54">
        <f>40*5</f>
        <v>200</v>
      </c>
      <c r="H235" s="54"/>
      <c r="I235" s="54"/>
    </row>
    <row r="236" spans="2:9" ht="15.75" hidden="1" customHeight="1" x14ac:dyDescent="0.2">
      <c r="B236" s="50">
        <f t="shared" si="3"/>
        <v>230</v>
      </c>
      <c r="C236" s="51">
        <v>45592</v>
      </c>
      <c r="D236" s="57" t="s">
        <v>159</v>
      </c>
      <c r="E236" s="57" t="s">
        <v>4</v>
      </c>
      <c r="F236" s="53" t="s">
        <v>609</v>
      </c>
      <c r="G236" s="54">
        <v>1200</v>
      </c>
      <c r="H236" s="54"/>
      <c r="I236" s="54" t="s">
        <v>3</v>
      </c>
    </row>
    <row r="237" spans="2:9" ht="15.75" hidden="1" customHeight="1" x14ac:dyDescent="0.2">
      <c r="B237" s="50">
        <f t="shared" si="3"/>
        <v>231</v>
      </c>
      <c r="C237" s="51">
        <v>45592</v>
      </c>
      <c r="D237" s="57" t="s">
        <v>159</v>
      </c>
      <c r="E237" s="57" t="s">
        <v>7</v>
      </c>
      <c r="F237" s="53" t="s">
        <v>636</v>
      </c>
      <c r="G237" s="54"/>
      <c r="H237" s="54">
        <v>-1700</v>
      </c>
      <c r="I237" s="54" t="s">
        <v>699</v>
      </c>
    </row>
    <row r="238" spans="2:9" ht="15.75" hidden="1" customHeight="1" x14ac:dyDescent="0.2">
      <c r="B238" s="50">
        <f t="shared" si="3"/>
        <v>232</v>
      </c>
      <c r="C238" s="51">
        <v>45593</v>
      </c>
      <c r="D238" s="57" t="s">
        <v>159</v>
      </c>
      <c r="E238" s="57" t="s">
        <v>4</v>
      </c>
      <c r="F238" s="53" t="s">
        <v>620</v>
      </c>
      <c r="G238" s="54">
        <v>761.5</v>
      </c>
      <c r="H238" s="54"/>
      <c r="I238" s="54" t="s">
        <v>3</v>
      </c>
    </row>
    <row r="239" spans="2:9" ht="15.75" hidden="1" customHeight="1" x14ac:dyDescent="0.2">
      <c r="B239" s="50">
        <f t="shared" si="3"/>
        <v>233</v>
      </c>
      <c r="C239" s="51">
        <v>45593</v>
      </c>
      <c r="D239" s="57" t="s">
        <v>159</v>
      </c>
      <c r="E239" s="57" t="s">
        <v>4</v>
      </c>
      <c r="F239" s="53" t="s">
        <v>609</v>
      </c>
      <c r="G239" s="54">
        <v>250</v>
      </c>
      <c r="H239" s="54"/>
      <c r="I239" s="54" t="s">
        <v>3</v>
      </c>
    </row>
    <row r="240" spans="2:9" ht="15.75" hidden="1" customHeight="1" x14ac:dyDescent="0.2">
      <c r="B240" s="50">
        <f t="shared" si="3"/>
        <v>234</v>
      </c>
      <c r="C240" s="51">
        <v>45594</v>
      </c>
      <c r="D240" s="57" t="s">
        <v>159</v>
      </c>
      <c r="E240" s="57" t="s">
        <v>7</v>
      </c>
      <c r="F240" s="53" t="s">
        <v>637</v>
      </c>
      <c r="G240" s="54"/>
      <c r="H240" s="54">
        <v>-1850</v>
      </c>
      <c r="I240" s="54" t="s">
        <v>699</v>
      </c>
    </row>
    <row r="241" spans="2:9" ht="15.75" hidden="1" customHeight="1" x14ac:dyDescent="0.2">
      <c r="B241" s="50">
        <f t="shared" si="3"/>
        <v>235</v>
      </c>
      <c r="C241" s="51">
        <v>45594</v>
      </c>
      <c r="D241" s="57" t="s">
        <v>159</v>
      </c>
      <c r="E241" s="57" t="s">
        <v>7</v>
      </c>
      <c r="F241" s="53" t="s">
        <v>638</v>
      </c>
      <c r="G241" s="54"/>
      <c r="H241" s="54">
        <v>-1800</v>
      </c>
      <c r="I241" s="54" t="s">
        <v>699</v>
      </c>
    </row>
    <row r="242" spans="2:9" ht="15.75" hidden="1" customHeight="1" x14ac:dyDescent="0.2">
      <c r="B242" s="50">
        <f t="shared" si="3"/>
        <v>236</v>
      </c>
      <c r="C242" s="51">
        <v>45596</v>
      </c>
      <c r="D242" s="57" t="s">
        <v>159</v>
      </c>
      <c r="E242" s="57" t="s">
        <v>11</v>
      </c>
      <c r="F242" s="53" t="s">
        <v>272</v>
      </c>
      <c r="G242" s="54">
        <v>274</v>
      </c>
      <c r="H242" s="54"/>
      <c r="I242" s="54" t="s">
        <v>706</v>
      </c>
    </row>
    <row r="243" spans="2:9" ht="15.75" hidden="1" customHeight="1" x14ac:dyDescent="0.2">
      <c r="B243" s="50">
        <f t="shared" si="3"/>
        <v>237</v>
      </c>
      <c r="C243" s="51">
        <v>45597</v>
      </c>
      <c r="D243" s="170" t="s">
        <v>190</v>
      </c>
      <c r="E243" s="57" t="s">
        <v>14</v>
      </c>
      <c r="F243" s="53" t="s">
        <v>270</v>
      </c>
      <c r="G243" s="54"/>
      <c r="H243" s="54">
        <v>-2237.5</v>
      </c>
      <c r="I243" s="54" t="s">
        <v>710</v>
      </c>
    </row>
    <row r="244" spans="2:9" ht="15.75" hidden="1" customHeight="1" x14ac:dyDescent="0.2">
      <c r="B244" s="50">
        <f t="shared" si="3"/>
        <v>238</v>
      </c>
      <c r="C244" s="51">
        <v>45600</v>
      </c>
      <c r="D244" s="170" t="s">
        <v>190</v>
      </c>
      <c r="E244" s="57" t="s">
        <v>14</v>
      </c>
      <c r="F244" s="53" t="s">
        <v>641</v>
      </c>
      <c r="G244" s="54"/>
      <c r="H244" s="54">
        <v>-279</v>
      </c>
      <c r="I244" s="54" t="s">
        <v>689</v>
      </c>
    </row>
    <row r="245" spans="2:9" ht="15.75" hidden="1" customHeight="1" x14ac:dyDescent="0.2">
      <c r="B245" s="50">
        <f t="shared" si="3"/>
        <v>239</v>
      </c>
      <c r="C245" s="51">
        <v>45600</v>
      </c>
      <c r="D245" s="170" t="s">
        <v>190</v>
      </c>
      <c r="E245" s="57" t="s">
        <v>14</v>
      </c>
      <c r="F245" s="53" t="s">
        <v>266</v>
      </c>
      <c r="G245" s="54"/>
      <c r="H245" s="54">
        <v>-107.5</v>
      </c>
      <c r="I245" s="54" t="s">
        <v>697</v>
      </c>
    </row>
    <row r="246" spans="2:9" ht="15.75" customHeight="1" x14ac:dyDescent="0.2">
      <c r="B246" s="50">
        <f t="shared" si="3"/>
        <v>240</v>
      </c>
      <c r="C246" s="51">
        <v>45601</v>
      </c>
      <c r="D246" s="170" t="s">
        <v>190</v>
      </c>
      <c r="E246" s="57" t="s">
        <v>25</v>
      </c>
      <c r="F246" s="53" t="s">
        <v>643</v>
      </c>
      <c r="G246" s="54"/>
      <c r="H246" s="54">
        <v>-180</v>
      </c>
      <c r="I246" s="54"/>
    </row>
    <row r="247" spans="2:9" ht="15.75" hidden="1" customHeight="1" x14ac:dyDescent="0.2">
      <c r="B247" s="50">
        <f t="shared" si="3"/>
        <v>241</v>
      </c>
      <c r="C247" s="51">
        <v>45603</v>
      </c>
      <c r="D247" s="170" t="s">
        <v>190</v>
      </c>
      <c r="E247" s="57" t="s">
        <v>11</v>
      </c>
      <c r="F247" s="53" t="s">
        <v>642</v>
      </c>
      <c r="G247" s="54">
        <v>563</v>
      </c>
      <c r="H247" s="54"/>
      <c r="I247" s="54" t="s">
        <v>706</v>
      </c>
    </row>
    <row r="248" spans="2:9" ht="15.75" customHeight="1" x14ac:dyDescent="0.2">
      <c r="B248" s="50">
        <f t="shared" si="3"/>
        <v>242</v>
      </c>
      <c r="C248" s="51">
        <v>45604</v>
      </c>
      <c r="D248" s="170" t="s">
        <v>190</v>
      </c>
      <c r="E248" s="57" t="s">
        <v>25</v>
      </c>
      <c r="F248" s="53" t="s">
        <v>644</v>
      </c>
      <c r="G248" s="54"/>
      <c r="H248" s="54">
        <v>-342</v>
      </c>
      <c r="I248" s="54"/>
    </row>
    <row r="249" spans="2:9" ht="15.75" hidden="1" customHeight="1" x14ac:dyDescent="0.2">
      <c r="B249" s="50">
        <f t="shared" si="3"/>
        <v>243</v>
      </c>
      <c r="C249" s="51">
        <v>45606</v>
      </c>
      <c r="D249" s="170" t="s">
        <v>190</v>
      </c>
      <c r="E249" s="57" t="s">
        <v>4</v>
      </c>
      <c r="F249" s="53" t="s">
        <v>645</v>
      </c>
      <c r="G249" s="54">
        <f>50+60+10</f>
        <v>120</v>
      </c>
      <c r="H249" s="54"/>
      <c r="I249" s="54" t="s">
        <v>3</v>
      </c>
    </row>
    <row r="250" spans="2:9" ht="15.75" hidden="1" customHeight="1" x14ac:dyDescent="0.2">
      <c r="B250" s="50">
        <f t="shared" si="3"/>
        <v>244</v>
      </c>
      <c r="C250" s="51">
        <v>45606</v>
      </c>
      <c r="D250" s="170" t="s">
        <v>190</v>
      </c>
      <c r="E250" s="57" t="s">
        <v>22</v>
      </c>
      <c r="F250" s="53" t="s">
        <v>646</v>
      </c>
      <c r="G250" s="54">
        <v>2</v>
      </c>
      <c r="H250" s="54"/>
      <c r="I250" s="54"/>
    </row>
    <row r="251" spans="2:9" ht="15.75" hidden="1" customHeight="1" x14ac:dyDescent="0.2">
      <c r="B251" s="50">
        <f t="shared" si="3"/>
        <v>245</v>
      </c>
      <c r="C251" s="51">
        <v>45610</v>
      </c>
      <c r="D251" s="170" t="s">
        <v>190</v>
      </c>
      <c r="E251" s="57" t="s">
        <v>11</v>
      </c>
      <c r="F251" s="53" t="s">
        <v>647</v>
      </c>
      <c r="G251" s="54">
        <v>678</v>
      </c>
      <c r="H251" s="54"/>
      <c r="I251" s="54" t="s">
        <v>708</v>
      </c>
    </row>
    <row r="252" spans="2:9" ht="15.75" hidden="1" customHeight="1" x14ac:dyDescent="0.2">
      <c r="B252" s="50">
        <f t="shared" si="3"/>
        <v>246</v>
      </c>
      <c r="C252" s="51">
        <v>45611</v>
      </c>
      <c r="D252" s="170" t="s">
        <v>190</v>
      </c>
      <c r="E252" s="57" t="s">
        <v>14</v>
      </c>
      <c r="F252" s="53" t="s">
        <v>669</v>
      </c>
      <c r="G252" s="54"/>
      <c r="H252" s="54">
        <v>-62.5</v>
      </c>
      <c r="I252" s="54" t="s">
        <v>697</v>
      </c>
    </row>
    <row r="253" spans="2:9" ht="15.75" hidden="1" customHeight="1" x14ac:dyDescent="0.2">
      <c r="B253" s="50">
        <f t="shared" si="3"/>
        <v>247</v>
      </c>
      <c r="C253" s="51">
        <v>45617</v>
      </c>
      <c r="D253" s="170" t="s">
        <v>190</v>
      </c>
      <c r="E253" s="57" t="s">
        <v>4</v>
      </c>
      <c r="F253" s="53" t="s">
        <v>645</v>
      </c>
      <c r="G253" s="54">
        <v>220</v>
      </c>
      <c r="H253" s="54"/>
      <c r="I253" s="54" t="s">
        <v>3</v>
      </c>
    </row>
    <row r="254" spans="2:9" ht="15.75" hidden="1" customHeight="1" x14ac:dyDescent="0.2">
      <c r="B254" s="50">
        <f t="shared" si="3"/>
        <v>248</v>
      </c>
      <c r="C254" s="51">
        <v>45617</v>
      </c>
      <c r="D254" s="170" t="s">
        <v>190</v>
      </c>
      <c r="E254" s="57" t="s">
        <v>11</v>
      </c>
      <c r="F254" s="53" t="s">
        <v>668</v>
      </c>
      <c r="G254" s="54">
        <v>508</v>
      </c>
      <c r="H254" s="54"/>
      <c r="I254" s="54" t="s">
        <v>706</v>
      </c>
    </row>
    <row r="255" spans="2:9" ht="15.75" hidden="1" customHeight="1" x14ac:dyDescent="0.2">
      <c r="B255" s="50">
        <f t="shared" si="3"/>
        <v>249</v>
      </c>
      <c r="C255" s="51">
        <v>45620</v>
      </c>
      <c r="D255" s="170" t="s">
        <v>190</v>
      </c>
      <c r="E255" s="57" t="s">
        <v>4</v>
      </c>
      <c r="F255" s="53" t="s">
        <v>645</v>
      </c>
      <c r="G255" s="54">
        <v>146.5</v>
      </c>
      <c r="H255" s="54"/>
      <c r="I255" s="54" t="s">
        <v>3</v>
      </c>
    </row>
    <row r="256" spans="2:9" ht="15.75" hidden="1" customHeight="1" x14ac:dyDescent="0.2">
      <c r="B256" s="50">
        <f t="shared" si="3"/>
        <v>250</v>
      </c>
      <c r="C256" s="51">
        <v>45620</v>
      </c>
      <c r="D256" s="170" t="s">
        <v>190</v>
      </c>
      <c r="E256" s="57" t="s">
        <v>14</v>
      </c>
      <c r="F256" s="53" t="s">
        <v>627</v>
      </c>
      <c r="G256" s="54"/>
      <c r="H256" s="54">
        <v>-20</v>
      </c>
      <c r="I256" s="54" t="s">
        <v>689</v>
      </c>
    </row>
    <row r="257" spans="2:9" ht="15.75" hidden="1" customHeight="1" x14ac:dyDescent="0.2">
      <c r="B257" s="50">
        <f t="shared" si="3"/>
        <v>251</v>
      </c>
      <c r="C257" s="51">
        <v>45624</v>
      </c>
      <c r="D257" s="170" t="s">
        <v>190</v>
      </c>
      <c r="E257" s="57" t="s">
        <v>4</v>
      </c>
      <c r="F257" s="53" t="s">
        <v>645</v>
      </c>
      <c r="G257" s="54">
        <v>200</v>
      </c>
      <c r="H257" s="54"/>
      <c r="I257" s="54" t="s">
        <v>3</v>
      </c>
    </row>
    <row r="258" spans="2:9" ht="15.75" hidden="1" customHeight="1" x14ac:dyDescent="0.2">
      <c r="B258" s="50">
        <f t="shared" si="3"/>
        <v>252</v>
      </c>
      <c r="C258" s="51">
        <v>45624</v>
      </c>
      <c r="D258" s="170" t="s">
        <v>190</v>
      </c>
      <c r="E258" s="57" t="s">
        <v>11</v>
      </c>
      <c r="F258" s="53" t="s">
        <v>675</v>
      </c>
      <c r="G258" s="54">
        <v>248</v>
      </c>
      <c r="H258" s="54"/>
      <c r="I258" s="54" t="s">
        <v>706</v>
      </c>
    </row>
    <row r="259" spans="2:9" ht="15.75" hidden="1" customHeight="1" x14ac:dyDescent="0.2">
      <c r="B259" s="50">
        <f t="shared" si="3"/>
        <v>253</v>
      </c>
      <c r="C259" s="51">
        <v>45625</v>
      </c>
      <c r="D259" s="170" t="s">
        <v>190</v>
      </c>
      <c r="E259" s="57" t="s">
        <v>14</v>
      </c>
      <c r="F259" s="53" t="s">
        <v>676</v>
      </c>
      <c r="G259" s="54"/>
      <c r="H259" s="54">
        <v>-92</v>
      </c>
      <c r="I259" s="54" t="s">
        <v>697</v>
      </c>
    </row>
    <row r="260" spans="2:9" ht="15.75" hidden="1" customHeight="1" x14ac:dyDescent="0.2">
      <c r="B260" s="50">
        <f t="shared" si="3"/>
        <v>254</v>
      </c>
      <c r="C260" s="51">
        <v>45625</v>
      </c>
      <c r="D260" s="170" t="s">
        <v>190</v>
      </c>
      <c r="E260" s="57" t="s">
        <v>14</v>
      </c>
      <c r="F260" s="53" t="s">
        <v>623</v>
      </c>
      <c r="G260" s="54"/>
      <c r="H260" s="54">
        <v>-287</v>
      </c>
      <c r="I260" s="54" t="s">
        <v>689</v>
      </c>
    </row>
    <row r="261" spans="2:9" ht="15.75" hidden="1" customHeight="1" x14ac:dyDescent="0.2">
      <c r="B261" s="50">
        <f t="shared" si="3"/>
        <v>255</v>
      </c>
      <c r="C261" s="51">
        <v>45625</v>
      </c>
      <c r="D261" s="170" t="s">
        <v>190</v>
      </c>
      <c r="E261" s="57" t="s">
        <v>22</v>
      </c>
      <c r="F261" s="53" t="s">
        <v>672</v>
      </c>
      <c r="G261" s="54">
        <v>10</v>
      </c>
      <c r="H261" s="54"/>
      <c r="I261" s="54"/>
    </row>
    <row r="262" spans="2:9" ht="15.75" hidden="1" customHeight="1" x14ac:dyDescent="0.2">
      <c r="B262" s="50">
        <f t="shared" si="3"/>
        <v>256</v>
      </c>
      <c r="C262" s="51">
        <v>45625</v>
      </c>
      <c r="D262" s="170" t="s">
        <v>190</v>
      </c>
      <c r="E262" s="57" t="s">
        <v>22</v>
      </c>
      <c r="F262" s="53" t="s">
        <v>670</v>
      </c>
      <c r="G262" s="54">
        <f>62*5</f>
        <v>310</v>
      </c>
      <c r="H262" s="54"/>
      <c r="I262" s="54"/>
    </row>
    <row r="263" spans="2:9" ht="15.75" hidden="1" customHeight="1" x14ac:dyDescent="0.2">
      <c r="B263" s="50">
        <f t="shared" ref="B263:B291" si="4">B262+1</f>
        <v>257</v>
      </c>
      <c r="C263" s="51">
        <v>45625</v>
      </c>
      <c r="D263" s="170" t="s">
        <v>190</v>
      </c>
      <c r="E263" s="57" t="s">
        <v>22</v>
      </c>
      <c r="F263" s="53" t="s">
        <v>671</v>
      </c>
      <c r="G263" s="54">
        <f>66*5</f>
        <v>330</v>
      </c>
      <c r="H263" s="54"/>
      <c r="I263" s="54"/>
    </row>
    <row r="264" spans="2:9" ht="15.75" hidden="1" customHeight="1" x14ac:dyDescent="0.2">
      <c r="B264" s="50">
        <f t="shared" si="4"/>
        <v>258</v>
      </c>
      <c r="C264" s="51">
        <v>45626</v>
      </c>
      <c r="D264" s="170" t="s">
        <v>190</v>
      </c>
      <c r="E264" s="57" t="s">
        <v>14</v>
      </c>
      <c r="F264" s="53" t="s">
        <v>627</v>
      </c>
      <c r="G264" s="54"/>
      <c r="H264" s="54">
        <v>-10</v>
      </c>
      <c r="I264" s="54" t="s">
        <v>689</v>
      </c>
    </row>
    <row r="265" spans="2:9" ht="15.75" hidden="1" customHeight="1" x14ac:dyDescent="0.2">
      <c r="B265" s="50">
        <f t="shared" si="4"/>
        <v>259</v>
      </c>
      <c r="C265" s="51">
        <v>45626</v>
      </c>
      <c r="D265" s="170" t="s">
        <v>190</v>
      </c>
      <c r="E265" s="57" t="s">
        <v>14</v>
      </c>
      <c r="F265" s="53" t="s">
        <v>674</v>
      </c>
      <c r="G265" s="54"/>
      <c r="H265" s="54">
        <v>-455</v>
      </c>
      <c r="I265" s="54" t="s">
        <v>697</v>
      </c>
    </row>
    <row r="266" spans="2:9" ht="15.75" hidden="1" customHeight="1" x14ac:dyDescent="0.2">
      <c r="B266" s="50">
        <f t="shared" si="4"/>
        <v>260</v>
      </c>
      <c r="C266" s="51">
        <v>45627</v>
      </c>
      <c r="D266" s="170" t="s">
        <v>218</v>
      </c>
      <c r="E266" s="57" t="s">
        <v>4</v>
      </c>
      <c r="F266" s="53" t="s">
        <v>645</v>
      </c>
      <c r="G266" s="54">
        <v>60</v>
      </c>
      <c r="H266" s="54"/>
      <c r="I266" s="54" t="s">
        <v>3</v>
      </c>
    </row>
    <row r="267" spans="2:9" ht="15.75" hidden="1" customHeight="1" x14ac:dyDescent="0.2">
      <c r="B267" s="50">
        <f t="shared" si="4"/>
        <v>261</v>
      </c>
      <c r="C267" s="51">
        <v>45627</v>
      </c>
      <c r="D267" s="170" t="s">
        <v>218</v>
      </c>
      <c r="E267" s="57" t="s">
        <v>4</v>
      </c>
      <c r="F267" s="53" t="s">
        <v>686</v>
      </c>
      <c r="G267" s="54">
        <v>455</v>
      </c>
      <c r="H267" s="54"/>
      <c r="I267" s="54" t="s">
        <v>3</v>
      </c>
    </row>
    <row r="268" spans="2:9" ht="15.75" hidden="1" customHeight="1" x14ac:dyDescent="0.2">
      <c r="B268" s="50">
        <f t="shared" si="4"/>
        <v>262</v>
      </c>
      <c r="C268" s="51">
        <v>45629</v>
      </c>
      <c r="D268" s="170" t="s">
        <v>218</v>
      </c>
      <c r="E268" s="57" t="s">
        <v>14</v>
      </c>
      <c r="F268" s="53" t="s">
        <v>270</v>
      </c>
      <c r="G268" s="54"/>
      <c r="H268" s="54">
        <v>-684</v>
      </c>
      <c r="I268" s="54" t="s">
        <v>710</v>
      </c>
    </row>
    <row r="269" spans="2:9" ht="15.75" hidden="1" customHeight="1" x14ac:dyDescent="0.2">
      <c r="B269" s="50">
        <f t="shared" si="4"/>
        <v>263</v>
      </c>
      <c r="C269" s="51">
        <v>45630</v>
      </c>
      <c r="D269" s="170" t="s">
        <v>218</v>
      </c>
      <c r="E269" s="57" t="s">
        <v>14</v>
      </c>
      <c r="F269" s="53" t="s">
        <v>677</v>
      </c>
      <c r="G269" s="54"/>
      <c r="H269" s="54">
        <v>-80</v>
      </c>
      <c r="I269" s="54" t="s">
        <v>697</v>
      </c>
    </row>
    <row r="270" spans="2:9" ht="15.75" hidden="1" customHeight="1" x14ac:dyDescent="0.2">
      <c r="B270" s="50">
        <f t="shared" si="4"/>
        <v>264</v>
      </c>
      <c r="C270" s="51">
        <v>45631</v>
      </c>
      <c r="D270" s="170" t="s">
        <v>218</v>
      </c>
      <c r="E270" s="57" t="s">
        <v>4</v>
      </c>
      <c r="F270" s="53" t="s">
        <v>645</v>
      </c>
      <c r="G270" s="54">
        <v>50</v>
      </c>
      <c r="H270" s="54"/>
      <c r="I270" s="54" t="s">
        <v>3</v>
      </c>
    </row>
    <row r="271" spans="2:9" ht="15.75" hidden="1" customHeight="1" x14ac:dyDescent="0.2">
      <c r="B271" s="50">
        <f t="shared" si="4"/>
        <v>265</v>
      </c>
      <c r="C271" s="51">
        <v>45631</v>
      </c>
      <c r="D271" s="170" t="s">
        <v>218</v>
      </c>
      <c r="E271" s="57" t="s">
        <v>11</v>
      </c>
      <c r="F271" s="53" t="s">
        <v>675</v>
      </c>
      <c r="G271" s="54">
        <v>393</v>
      </c>
      <c r="H271" s="54"/>
      <c r="I271" s="54" t="s">
        <v>706</v>
      </c>
    </row>
    <row r="272" spans="2:9" ht="15.75" hidden="1" customHeight="1" x14ac:dyDescent="0.2">
      <c r="B272" s="50">
        <f t="shared" si="4"/>
        <v>266</v>
      </c>
      <c r="C272" s="51">
        <v>45634</v>
      </c>
      <c r="D272" s="170" t="s">
        <v>218</v>
      </c>
      <c r="E272" s="57" t="s">
        <v>4</v>
      </c>
      <c r="F272" s="53" t="s">
        <v>645</v>
      </c>
      <c r="G272" s="54">
        <v>20</v>
      </c>
      <c r="H272" s="54"/>
      <c r="I272" s="54" t="s">
        <v>3</v>
      </c>
    </row>
    <row r="273" spans="2:9" ht="15.75" hidden="1" customHeight="1" x14ac:dyDescent="0.2">
      <c r="B273" s="50">
        <f t="shared" si="4"/>
        <v>267</v>
      </c>
      <c r="C273" s="51">
        <v>45634</v>
      </c>
      <c r="D273" s="170" t="s">
        <v>218</v>
      </c>
      <c r="E273" s="57" t="s">
        <v>4</v>
      </c>
      <c r="F273" s="53" t="s">
        <v>692</v>
      </c>
      <c r="G273" s="54">
        <v>200</v>
      </c>
      <c r="H273" s="54"/>
      <c r="I273" s="54" t="s">
        <v>3</v>
      </c>
    </row>
    <row r="274" spans="2:9" ht="15.75" hidden="1" customHeight="1" x14ac:dyDescent="0.2">
      <c r="B274" s="50">
        <f t="shared" si="4"/>
        <v>268</v>
      </c>
      <c r="C274" s="51">
        <v>45634</v>
      </c>
      <c r="D274" s="170" t="s">
        <v>218</v>
      </c>
      <c r="E274" s="57" t="s">
        <v>14</v>
      </c>
      <c r="F274" s="53" t="s">
        <v>627</v>
      </c>
      <c r="G274" s="54"/>
      <c r="H274" s="54">
        <v>-5</v>
      </c>
      <c r="I274" s="54" t="s">
        <v>689</v>
      </c>
    </row>
    <row r="275" spans="2:9" ht="15.75" hidden="1" customHeight="1" x14ac:dyDescent="0.2">
      <c r="B275" s="50">
        <f t="shared" si="4"/>
        <v>269</v>
      </c>
      <c r="C275" s="51">
        <v>45635</v>
      </c>
      <c r="D275" s="170" t="s">
        <v>218</v>
      </c>
      <c r="E275" s="57" t="s">
        <v>4</v>
      </c>
      <c r="F275" s="53" t="s">
        <v>693</v>
      </c>
      <c r="G275" s="54">
        <v>100</v>
      </c>
      <c r="H275" s="54"/>
      <c r="I275" s="54" t="s">
        <v>3</v>
      </c>
    </row>
    <row r="276" spans="2:9" ht="15.75" hidden="1" customHeight="1" x14ac:dyDescent="0.2">
      <c r="B276" s="50">
        <f t="shared" si="4"/>
        <v>270</v>
      </c>
      <c r="C276" s="51">
        <v>45636</v>
      </c>
      <c r="D276" s="170" t="s">
        <v>218</v>
      </c>
      <c r="E276" s="57" t="s">
        <v>4</v>
      </c>
      <c r="F276" s="53" t="s">
        <v>694</v>
      </c>
      <c r="G276" s="54">
        <v>200</v>
      </c>
      <c r="H276" s="54"/>
      <c r="I276" s="54" t="s">
        <v>3</v>
      </c>
    </row>
    <row r="277" spans="2:9" ht="15.75" hidden="1" customHeight="1" x14ac:dyDescent="0.2">
      <c r="B277" s="50">
        <f t="shared" si="4"/>
        <v>271</v>
      </c>
      <c r="C277" s="51">
        <v>45636</v>
      </c>
      <c r="D277" s="170" t="s">
        <v>218</v>
      </c>
      <c r="E277" s="57" t="s">
        <v>4</v>
      </c>
      <c r="F277" s="53" t="s">
        <v>695</v>
      </c>
      <c r="G277" s="54">
        <v>100</v>
      </c>
      <c r="H277" s="54"/>
      <c r="I277" s="54" t="s">
        <v>3</v>
      </c>
    </row>
    <row r="278" spans="2:9" ht="15.75" customHeight="1" x14ac:dyDescent="0.2">
      <c r="B278" s="50">
        <f t="shared" si="4"/>
        <v>272</v>
      </c>
      <c r="C278" s="51">
        <v>45637</v>
      </c>
      <c r="D278" s="170" t="s">
        <v>218</v>
      </c>
      <c r="E278" s="57" t="s">
        <v>25</v>
      </c>
      <c r="F278" s="53" t="s">
        <v>629</v>
      </c>
      <c r="G278" s="54"/>
      <c r="H278" s="54">
        <v>-233</v>
      </c>
      <c r="I278" s="54"/>
    </row>
    <row r="279" spans="2:9" ht="15.75" customHeight="1" x14ac:dyDescent="0.2">
      <c r="B279" s="50">
        <f t="shared" si="4"/>
        <v>273</v>
      </c>
      <c r="C279" s="51">
        <v>45637</v>
      </c>
      <c r="D279" s="170" t="s">
        <v>218</v>
      </c>
      <c r="E279" s="57" t="s">
        <v>25</v>
      </c>
      <c r="F279" s="53" t="s">
        <v>643</v>
      </c>
      <c r="G279" s="54"/>
      <c r="H279" s="54">
        <v>-180</v>
      </c>
      <c r="I279" s="54"/>
    </row>
    <row r="280" spans="2:9" ht="15.75" hidden="1" customHeight="1" x14ac:dyDescent="0.2">
      <c r="B280" s="50">
        <f t="shared" si="4"/>
        <v>274</v>
      </c>
      <c r="C280" s="51">
        <v>45638</v>
      </c>
      <c r="D280" s="170" t="s">
        <v>218</v>
      </c>
      <c r="E280" s="57" t="s">
        <v>11</v>
      </c>
      <c r="F280" s="53" t="s">
        <v>682</v>
      </c>
      <c r="G280" s="54">
        <v>1265.5</v>
      </c>
      <c r="H280" s="54"/>
      <c r="I280" s="54" t="s">
        <v>708</v>
      </c>
    </row>
    <row r="281" spans="2:9" ht="15.75" hidden="1" customHeight="1" x14ac:dyDescent="0.2">
      <c r="B281" s="50">
        <f t="shared" si="4"/>
        <v>275</v>
      </c>
      <c r="C281" s="51">
        <v>45640</v>
      </c>
      <c r="D281" s="170" t="s">
        <v>218</v>
      </c>
      <c r="E281" s="57" t="s">
        <v>14</v>
      </c>
      <c r="F281" s="53" t="s">
        <v>684</v>
      </c>
      <c r="G281" s="54"/>
      <c r="H281" s="54">
        <v>-150</v>
      </c>
      <c r="I281" s="54" t="s">
        <v>689</v>
      </c>
    </row>
    <row r="282" spans="2:9" ht="15.75" hidden="1" customHeight="1" x14ac:dyDescent="0.2">
      <c r="B282" s="50">
        <f t="shared" si="4"/>
        <v>276</v>
      </c>
      <c r="C282" s="51">
        <v>45641</v>
      </c>
      <c r="D282" s="170" t="s">
        <v>218</v>
      </c>
      <c r="E282" s="57" t="s">
        <v>4</v>
      </c>
      <c r="F282" s="53" t="s">
        <v>645</v>
      </c>
      <c r="G282" s="54">
        <v>1090</v>
      </c>
      <c r="H282" s="54"/>
      <c r="I282" s="54" t="s">
        <v>3</v>
      </c>
    </row>
    <row r="283" spans="2:9" ht="15.75" hidden="1" customHeight="1" x14ac:dyDescent="0.2">
      <c r="B283" s="50">
        <f t="shared" si="4"/>
        <v>277</v>
      </c>
      <c r="C283" s="51">
        <v>45642</v>
      </c>
      <c r="D283" s="170" t="s">
        <v>218</v>
      </c>
      <c r="E283" s="57" t="s">
        <v>14</v>
      </c>
      <c r="F283" s="53" t="s">
        <v>685</v>
      </c>
      <c r="G283" s="54"/>
      <c r="H283" s="54">
        <v>-60</v>
      </c>
      <c r="I283" s="54" t="s">
        <v>689</v>
      </c>
    </row>
    <row r="284" spans="2:9" ht="15.75" hidden="1" customHeight="1" x14ac:dyDescent="0.2">
      <c r="B284" s="50">
        <f t="shared" si="4"/>
        <v>278</v>
      </c>
      <c r="C284" s="51">
        <v>45645</v>
      </c>
      <c r="D284" s="170" t="s">
        <v>218</v>
      </c>
      <c r="E284" s="57" t="s">
        <v>4</v>
      </c>
      <c r="F284" s="53" t="s">
        <v>645</v>
      </c>
      <c r="G284" s="54">
        <v>149</v>
      </c>
      <c r="H284" s="54"/>
      <c r="I284" s="54" t="s">
        <v>3</v>
      </c>
    </row>
    <row r="285" spans="2:9" ht="15.75" hidden="1" customHeight="1" x14ac:dyDescent="0.2">
      <c r="B285" s="50">
        <f t="shared" si="4"/>
        <v>279</v>
      </c>
      <c r="C285" s="51">
        <v>45645</v>
      </c>
      <c r="D285" s="170" t="s">
        <v>218</v>
      </c>
      <c r="E285" s="57" t="s">
        <v>11</v>
      </c>
      <c r="F285" s="53" t="s">
        <v>687</v>
      </c>
      <c r="G285" s="54">
        <v>211</v>
      </c>
      <c r="H285" s="54"/>
      <c r="I285" s="54" t="s">
        <v>706</v>
      </c>
    </row>
    <row r="286" spans="2:9" ht="15.75" hidden="1" customHeight="1" x14ac:dyDescent="0.2">
      <c r="B286" s="50">
        <f t="shared" si="4"/>
        <v>280</v>
      </c>
      <c r="C286" s="51">
        <v>45651</v>
      </c>
      <c r="D286" s="170" t="s">
        <v>218</v>
      </c>
      <c r="E286" s="57" t="s">
        <v>4</v>
      </c>
      <c r="F286" s="53" t="s">
        <v>645</v>
      </c>
      <c r="G286" s="54">
        <v>205</v>
      </c>
      <c r="H286" s="54"/>
      <c r="I286" s="54" t="s">
        <v>3</v>
      </c>
    </row>
    <row r="287" spans="2:9" ht="15.75" hidden="1" customHeight="1" x14ac:dyDescent="0.2">
      <c r="B287" s="50">
        <f t="shared" si="4"/>
        <v>281</v>
      </c>
      <c r="C287" s="51">
        <v>45652</v>
      </c>
      <c r="D287" s="170" t="s">
        <v>218</v>
      </c>
      <c r="E287" s="57" t="s">
        <v>14</v>
      </c>
      <c r="F287" s="53" t="s">
        <v>711</v>
      </c>
      <c r="G287" s="54"/>
      <c r="H287" s="54">
        <v>-450</v>
      </c>
      <c r="I287" s="54" t="s">
        <v>689</v>
      </c>
    </row>
    <row r="288" spans="2:9" ht="15.75" hidden="1" customHeight="1" x14ac:dyDescent="0.2">
      <c r="B288" s="50">
        <f t="shared" si="4"/>
        <v>282</v>
      </c>
      <c r="C288" s="51">
        <v>45655</v>
      </c>
      <c r="D288" s="170" t="s">
        <v>218</v>
      </c>
      <c r="E288" s="57" t="s">
        <v>4</v>
      </c>
      <c r="F288" s="53" t="s">
        <v>645</v>
      </c>
      <c r="G288" s="54">
        <v>40</v>
      </c>
      <c r="H288" s="54"/>
      <c r="I288" s="54" t="s">
        <v>3</v>
      </c>
    </row>
    <row r="289" spans="2:9" ht="15.75" hidden="1" customHeight="1" x14ac:dyDescent="0.2">
      <c r="B289" s="50">
        <f t="shared" si="4"/>
        <v>283</v>
      </c>
      <c r="C289" s="51">
        <v>45656</v>
      </c>
      <c r="D289" s="170" t="s">
        <v>218</v>
      </c>
      <c r="E289" s="57" t="s">
        <v>14</v>
      </c>
      <c r="F289" s="53" t="s">
        <v>717</v>
      </c>
      <c r="G289" s="54"/>
      <c r="H289" s="54">
        <v>-7.5</v>
      </c>
      <c r="I289" s="54" t="s">
        <v>689</v>
      </c>
    </row>
    <row r="290" spans="2:9" ht="15.75" hidden="1" customHeight="1" x14ac:dyDescent="0.2">
      <c r="B290" s="50">
        <f t="shared" si="4"/>
        <v>284</v>
      </c>
      <c r="C290" s="51">
        <v>45657</v>
      </c>
      <c r="D290" s="170" t="s">
        <v>218</v>
      </c>
      <c r="E290" s="57" t="s">
        <v>14</v>
      </c>
      <c r="F290" s="53" t="s">
        <v>270</v>
      </c>
      <c r="G290" s="54"/>
      <c r="H290" s="54">
        <v>-1117</v>
      </c>
      <c r="I290" s="54" t="s">
        <v>710</v>
      </c>
    </row>
    <row r="291" spans="2:9" ht="15.75" hidden="1" customHeight="1" x14ac:dyDescent="0.2">
      <c r="B291" s="50">
        <f t="shared" si="4"/>
        <v>285</v>
      </c>
      <c r="C291" s="51"/>
      <c r="D291" s="170"/>
      <c r="E291" s="57"/>
      <c r="F291" s="53"/>
      <c r="G291" s="54"/>
      <c r="H291" s="54"/>
      <c r="I291" s="54"/>
    </row>
    <row r="292" spans="2:9" ht="15.75" customHeight="1" x14ac:dyDescent="0.2">
      <c r="E292" s="86"/>
    </row>
    <row r="293" spans="2:9" ht="15.75" customHeight="1" x14ac:dyDescent="0.2">
      <c r="E293" s="86"/>
    </row>
    <row r="294" spans="2:9" ht="15.75" customHeight="1" x14ac:dyDescent="0.2">
      <c r="E294" s="86"/>
    </row>
    <row r="295" spans="2:9" ht="15.75" customHeight="1" x14ac:dyDescent="0.2">
      <c r="E295" s="86"/>
    </row>
    <row r="296" spans="2:9" ht="15.75" customHeight="1" x14ac:dyDescent="0.2">
      <c r="E296" s="86"/>
    </row>
    <row r="297" spans="2:9" ht="15.75" customHeight="1" x14ac:dyDescent="0.2">
      <c r="E297" s="86"/>
    </row>
    <row r="298" spans="2:9" ht="15.75" customHeight="1" x14ac:dyDescent="0.2">
      <c r="E298" s="86"/>
    </row>
    <row r="299" spans="2:9" ht="15.75" customHeight="1" x14ac:dyDescent="0.2">
      <c r="E299" s="86"/>
    </row>
    <row r="300" spans="2:9" ht="15.75" customHeight="1" x14ac:dyDescent="0.2">
      <c r="E300" s="86"/>
    </row>
    <row r="301" spans="2:9" ht="15.75" customHeight="1" x14ac:dyDescent="0.2">
      <c r="E301" s="86"/>
    </row>
    <row r="302" spans="2:9" ht="15.75" customHeight="1" x14ac:dyDescent="0.2">
      <c r="E302" s="86"/>
    </row>
    <row r="303" spans="2:9" ht="15.75" customHeight="1" x14ac:dyDescent="0.2">
      <c r="E303" s="86"/>
    </row>
    <row r="304" spans="2:9" ht="15.75" customHeight="1" x14ac:dyDescent="0.2">
      <c r="E304" s="86"/>
    </row>
    <row r="305" spans="5:5" ht="15.75" customHeight="1" x14ac:dyDescent="0.2">
      <c r="E305" s="86"/>
    </row>
    <row r="306" spans="5:5" ht="15.75" customHeight="1" x14ac:dyDescent="0.2">
      <c r="E306" s="86"/>
    </row>
    <row r="307" spans="5:5" ht="15.75" customHeight="1" x14ac:dyDescent="0.2">
      <c r="E307" s="86"/>
    </row>
    <row r="308" spans="5:5" ht="15.75" customHeight="1" x14ac:dyDescent="0.2">
      <c r="E308" s="86"/>
    </row>
    <row r="309" spans="5:5" ht="15.75" customHeight="1" x14ac:dyDescent="0.2">
      <c r="E309" s="86"/>
    </row>
    <row r="310" spans="5:5" ht="15.75" customHeight="1" x14ac:dyDescent="0.2"/>
    <row r="311" spans="5:5" ht="15.75" customHeight="1" x14ac:dyDescent="0.2"/>
    <row r="312" spans="5:5" ht="15.75" customHeight="1" x14ac:dyDescent="0.2"/>
    <row r="313" spans="5:5" ht="15.75" customHeight="1" x14ac:dyDescent="0.2"/>
    <row r="314" spans="5:5" ht="15.75" customHeight="1" x14ac:dyDescent="0.2"/>
    <row r="315" spans="5:5" ht="15.75" customHeight="1" x14ac:dyDescent="0.2"/>
    <row r="316" spans="5:5" ht="15.75" customHeight="1" x14ac:dyDescent="0.2"/>
    <row r="317" spans="5:5" ht="15.75" customHeight="1" x14ac:dyDescent="0.2"/>
    <row r="318" spans="5:5" ht="15.75" customHeight="1" x14ac:dyDescent="0.2"/>
    <row r="319" spans="5:5" ht="15.75" customHeight="1" x14ac:dyDescent="0.2"/>
    <row r="320" spans="5: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5">
    <mergeCell ref="K1:L1"/>
    <mergeCell ref="C2:I2"/>
    <mergeCell ref="C3:I3"/>
    <mergeCell ref="C4:I4"/>
    <mergeCell ref="B5:E5"/>
  </mergeCells>
  <dataValidations count="3">
    <dataValidation type="decimal" operator="lessThanOrEqual" allowBlank="1" showErrorMessage="1" sqref="H7:H10" xr:uid="{008B3333-3EC0-4EFD-ADEC-79EDD036BBD1}">
      <formula1>0</formula1>
    </dataValidation>
    <dataValidation type="decimal" operator="greaterThanOrEqual" allowBlank="1" showErrorMessage="1" sqref="G7:G10" xr:uid="{1A1D13EA-8725-43FC-812A-D3DE0E305EE3}">
      <formula1>0</formula1>
    </dataValidation>
    <dataValidation type="list" allowBlank="1" showInputMessage="1" showErrorMessage="1" sqref="E7:E292" xr:uid="{A07471FF-6296-47FC-A192-10CD1328EE4D}">
      <formula1>$AA$2:$AA$7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8AF7-56EE-4AFB-92AF-151928215633}">
  <sheetPr>
    <pageSetUpPr fitToPage="1"/>
  </sheetPr>
  <dimension ref="B1:AA985"/>
  <sheetViews>
    <sheetView showGridLines="0" tabSelected="1" zoomScaleNormal="100" workbookViewId="0">
      <pane ySplit="6" topLeftCell="A7" activePane="bottomLeft" state="frozen"/>
      <selection pane="bottomLeft" activeCell="C10" sqref="C10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34.109375" customWidth="1"/>
    <col min="7" max="8" width="12.77734375" customWidth="1"/>
    <col min="9" max="9" width="19.109375" bestFit="1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x14ac:dyDescent="0.25">
      <c r="B1" s="17"/>
      <c r="C1" s="68"/>
      <c r="D1" s="17"/>
      <c r="E1" s="17"/>
      <c r="F1" s="17"/>
      <c r="G1" s="17"/>
      <c r="H1" s="17"/>
      <c r="I1" s="17"/>
      <c r="J1" s="32"/>
      <c r="K1" s="215" t="s">
        <v>0</v>
      </c>
      <c r="L1" s="215"/>
      <c r="M1" s="17"/>
      <c r="AA1" s="48" t="s">
        <v>1</v>
      </c>
    </row>
    <row r="2" spans="2:27" ht="23.25" x14ac:dyDescent="0.35">
      <c r="B2" s="114"/>
      <c r="C2" s="216" t="s">
        <v>2</v>
      </c>
      <c r="D2" s="216"/>
      <c r="E2" s="216"/>
      <c r="F2" s="216"/>
      <c r="G2" s="216"/>
      <c r="H2" s="216"/>
      <c r="I2" s="216"/>
      <c r="J2" s="17"/>
      <c r="K2" s="37" t="s">
        <v>3</v>
      </c>
      <c r="L2" s="1">
        <f>SUMIF(DIAR_247[[#All],[CATEGORIA]],"1_USO_AP",DIAR_247[[#All],[EGRESO]])+SUMIF(DIAR_247[[#All],[CATEGORIA]],"0_APORTACION",DIAR_247[[#All],[INGRESO]])</f>
        <v>4466.43</v>
      </c>
      <c r="M2" s="1"/>
      <c r="AA2" s="49" t="s">
        <v>4</v>
      </c>
    </row>
    <row r="3" spans="2:27" ht="23.25" x14ac:dyDescent="0.35">
      <c r="B3" s="115"/>
      <c r="C3" s="207" t="s">
        <v>5</v>
      </c>
      <c r="D3" s="207"/>
      <c r="E3" s="207"/>
      <c r="F3" s="207"/>
      <c r="G3" s="207"/>
      <c r="H3" s="207"/>
      <c r="I3" s="207"/>
      <c r="J3" s="17"/>
      <c r="K3" s="17" t="s">
        <v>6</v>
      </c>
      <c r="L3" s="1">
        <f>SUMIF(DIAR_247[[#All],[CATEGORIA]],"4_VENTA",DIAR_247[[#All],[INGRESO]])+SUMIF(DIAR_247[[#All],[CATEGORIA]],"5_COMPRA",DIAR_247[[#All],[EGRESO]])</f>
        <v>0</v>
      </c>
      <c r="M3" s="1"/>
      <c r="AA3" s="49" t="s">
        <v>7</v>
      </c>
    </row>
    <row r="4" spans="2:27" ht="18" x14ac:dyDescent="0.25">
      <c r="B4" s="116"/>
      <c r="C4" s="217" t="s">
        <v>720</v>
      </c>
      <c r="D4" s="217"/>
      <c r="E4" s="217"/>
      <c r="F4" s="217"/>
      <c r="G4" s="217"/>
      <c r="H4" s="217"/>
      <c r="I4" s="217"/>
      <c r="J4" s="17"/>
      <c r="K4" s="17" t="s">
        <v>9</v>
      </c>
      <c r="L4" s="1">
        <f>SUMIF(DIAR_247[[#All],[CATEGORIA]],"2_INGRESO",DIAR_247[[#All],[INGRESO]])+SUMIF(DIAR_247[[#All],[CATEGORIA]],"3_EGRESO",DIAR_247[[#All],[EGRESO]])</f>
        <v>0</v>
      </c>
      <c r="M4" s="1"/>
      <c r="N4" s="85" t="s">
        <v>10</v>
      </c>
      <c r="O4" s="84">
        <v>45162</v>
      </c>
      <c r="P4" s="1">
        <v>6441.5</v>
      </c>
      <c r="AA4" s="49" t="s">
        <v>11</v>
      </c>
    </row>
    <row r="5" spans="2:27" ht="15.75" x14ac:dyDescent="0.25">
      <c r="B5" s="218">
        <f>MAX(DIAR_247[[#All],[FEC_MOV]])</f>
        <v>45705</v>
      </c>
      <c r="C5" s="219"/>
      <c r="D5" s="219"/>
      <c r="E5" s="219"/>
      <c r="F5" s="121" t="s">
        <v>12</v>
      </c>
      <c r="G5" s="1">
        <f>SUBTOTAL(9,$G$7:$G$3538)</f>
        <v>4466.43</v>
      </c>
      <c r="H5" s="1">
        <f>SUBTOTAL(9,$H$7:$H$3538)</f>
        <v>0</v>
      </c>
      <c r="I5" s="122">
        <f>G5+H5</f>
        <v>4466.43</v>
      </c>
      <c r="J5" s="17"/>
      <c r="K5" s="123" t="s">
        <v>13</v>
      </c>
      <c r="L5" s="122">
        <f>SUM(L2:L4)</f>
        <v>4466.43</v>
      </c>
      <c r="M5" s="17"/>
      <c r="AA5" s="49" t="s">
        <v>14</v>
      </c>
    </row>
    <row r="6" spans="2:27" x14ac:dyDescent="0.2">
      <c r="B6" s="113" t="s">
        <v>15</v>
      </c>
      <c r="C6" s="113" t="s">
        <v>16</v>
      </c>
      <c r="D6" s="113" t="s">
        <v>17</v>
      </c>
      <c r="E6" s="113" t="s">
        <v>1</v>
      </c>
      <c r="F6" s="113" t="s">
        <v>18</v>
      </c>
      <c r="G6" s="113" t="s">
        <v>19</v>
      </c>
      <c r="H6" s="113" t="s">
        <v>20</v>
      </c>
      <c r="I6" s="113" t="s">
        <v>21</v>
      </c>
      <c r="J6" s="17"/>
      <c r="K6" s="104"/>
      <c r="L6" s="104"/>
      <c r="M6" s="17"/>
      <c r="AA6" s="49" t="s">
        <v>22</v>
      </c>
    </row>
    <row r="7" spans="2:27" x14ac:dyDescent="0.2">
      <c r="B7" s="117">
        <f t="shared" ref="B7:B70" si="0">B6+1</f>
        <v>1</v>
      </c>
      <c r="C7" s="118">
        <v>45659</v>
      </c>
      <c r="D7" s="117" t="s">
        <v>718</v>
      </c>
      <c r="E7" s="157" t="s">
        <v>4</v>
      </c>
      <c r="F7" s="119" t="s">
        <v>719</v>
      </c>
      <c r="G7" s="120">
        <v>0</v>
      </c>
      <c r="H7" s="120"/>
      <c r="I7" s="120" t="s">
        <v>722</v>
      </c>
      <c r="AA7" s="49" t="s">
        <v>25</v>
      </c>
    </row>
    <row r="8" spans="2:27" x14ac:dyDescent="0.2">
      <c r="B8" s="50">
        <f t="shared" si="0"/>
        <v>2</v>
      </c>
      <c r="C8" s="51">
        <v>45674</v>
      </c>
      <c r="D8" s="117" t="s">
        <v>718</v>
      </c>
      <c r="E8" s="157" t="s">
        <v>4</v>
      </c>
      <c r="F8" s="53" t="s">
        <v>721</v>
      </c>
      <c r="G8" s="54">
        <v>4459</v>
      </c>
      <c r="H8" s="54"/>
      <c r="I8" s="54"/>
    </row>
    <row r="9" spans="2:27" x14ac:dyDescent="0.2">
      <c r="B9" s="50">
        <f t="shared" si="0"/>
        <v>3</v>
      </c>
      <c r="C9" s="51">
        <v>45705</v>
      </c>
      <c r="D9" s="52" t="s">
        <v>725</v>
      </c>
      <c r="E9" s="57" t="s">
        <v>4</v>
      </c>
      <c r="F9" s="53" t="s">
        <v>726</v>
      </c>
      <c r="G9" s="54">
        <v>7.43</v>
      </c>
      <c r="H9" s="54"/>
      <c r="I9" s="54" t="s">
        <v>727</v>
      </c>
    </row>
    <row r="10" spans="2:27" x14ac:dyDescent="0.2">
      <c r="B10" s="50">
        <f t="shared" si="0"/>
        <v>4</v>
      </c>
      <c r="C10" s="51"/>
      <c r="D10" s="52"/>
      <c r="E10" s="57"/>
      <c r="F10" s="53"/>
      <c r="G10" s="54"/>
      <c r="H10" s="54"/>
      <c r="I10" s="54"/>
    </row>
    <row r="11" spans="2:27" x14ac:dyDescent="0.2">
      <c r="B11" s="50">
        <f t="shared" si="0"/>
        <v>5</v>
      </c>
      <c r="C11" s="51"/>
      <c r="D11" s="52"/>
      <c r="E11" s="57"/>
      <c r="F11" s="53"/>
      <c r="G11" s="54"/>
      <c r="H11" s="54"/>
      <c r="I11" s="54"/>
    </row>
    <row r="12" spans="2:27" x14ac:dyDescent="0.2">
      <c r="B12" s="50">
        <f t="shared" si="0"/>
        <v>6</v>
      </c>
      <c r="C12" s="51"/>
      <c r="D12" s="52"/>
      <c r="E12" s="57"/>
      <c r="F12" s="53"/>
      <c r="G12" s="55"/>
      <c r="H12" s="54"/>
      <c r="I12" s="54"/>
    </row>
    <row r="13" spans="2:27" x14ac:dyDescent="0.2">
      <c r="B13" s="50">
        <f t="shared" si="0"/>
        <v>7</v>
      </c>
      <c r="C13" s="51"/>
      <c r="D13" s="52"/>
      <c r="E13" s="57"/>
      <c r="F13" s="53"/>
      <c r="G13" s="54"/>
      <c r="H13" s="54"/>
      <c r="I13" s="54"/>
    </row>
    <row r="14" spans="2:27" x14ac:dyDescent="0.2">
      <c r="B14" s="50">
        <f t="shared" si="0"/>
        <v>8</v>
      </c>
      <c r="C14" s="51"/>
      <c r="D14" s="52"/>
      <c r="E14" s="57"/>
      <c r="F14" s="53"/>
      <c r="G14" s="54"/>
      <c r="H14" s="54"/>
      <c r="I14" s="54"/>
    </row>
    <row r="15" spans="2:27" ht="15" customHeight="1" x14ac:dyDescent="0.2">
      <c r="B15" s="50">
        <f t="shared" si="0"/>
        <v>9</v>
      </c>
      <c r="C15" s="51"/>
      <c r="D15" s="52"/>
      <c r="E15" s="57"/>
      <c r="F15" s="53"/>
      <c r="G15" s="54"/>
      <c r="H15" s="54"/>
      <c r="I15" s="54"/>
    </row>
    <row r="16" spans="2:27" ht="15" customHeight="1" x14ac:dyDescent="0.2">
      <c r="B16" s="50">
        <f t="shared" si="0"/>
        <v>10</v>
      </c>
      <c r="C16" s="51"/>
      <c r="D16" s="52"/>
      <c r="E16" s="57"/>
      <c r="F16" s="53"/>
      <c r="G16" s="54"/>
      <c r="H16" s="54"/>
      <c r="I16" s="54"/>
    </row>
    <row r="17" spans="2:9" ht="15" customHeight="1" x14ac:dyDescent="0.2">
      <c r="B17" s="50">
        <f t="shared" si="0"/>
        <v>11</v>
      </c>
      <c r="C17" s="51"/>
      <c r="D17" s="52"/>
      <c r="E17" s="57"/>
      <c r="F17" s="53"/>
      <c r="G17" s="54"/>
      <c r="H17" s="54"/>
      <c r="I17" s="54"/>
    </row>
    <row r="18" spans="2:9" ht="15.75" customHeight="1" x14ac:dyDescent="0.2">
      <c r="B18" s="50">
        <f t="shared" si="0"/>
        <v>12</v>
      </c>
      <c r="C18" s="51"/>
      <c r="D18" s="52"/>
      <c r="E18" s="57"/>
      <c r="F18" s="53"/>
      <c r="G18" s="54"/>
      <c r="H18" s="54"/>
      <c r="I18" s="54"/>
    </row>
    <row r="19" spans="2:9" ht="15.75" customHeight="1" x14ac:dyDescent="0.2">
      <c r="B19" s="50">
        <f t="shared" si="0"/>
        <v>13</v>
      </c>
      <c r="C19" s="51"/>
      <c r="D19" s="52"/>
      <c r="E19" s="57"/>
      <c r="F19" s="53"/>
      <c r="G19" s="54"/>
      <c r="H19" s="54"/>
      <c r="I19" s="54"/>
    </row>
    <row r="20" spans="2:9" ht="15.75" customHeight="1" x14ac:dyDescent="0.2">
      <c r="B20" s="50">
        <f t="shared" si="0"/>
        <v>14</v>
      </c>
      <c r="C20" s="51"/>
      <c r="D20" s="52"/>
      <c r="E20" s="57"/>
      <c r="F20" s="53"/>
      <c r="G20" s="54"/>
      <c r="H20" s="54"/>
      <c r="I20" s="54"/>
    </row>
    <row r="21" spans="2:9" ht="15.75" customHeight="1" x14ac:dyDescent="0.2">
      <c r="B21" s="50">
        <f t="shared" si="0"/>
        <v>15</v>
      </c>
      <c r="C21" s="51"/>
      <c r="D21" s="52"/>
      <c r="E21" s="57"/>
      <c r="F21" s="53"/>
      <c r="G21" s="54"/>
      <c r="H21" s="54"/>
      <c r="I21" s="54"/>
    </row>
    <row r="22" spans="2:9" ht="15.75" customHeight="1" x14ac:dyDescent="0.2">
      <c r="B22" s="50">
        <f t="shared" si="0"/>
        <v>16</v>
      </c>
      <c r="C22" s="51"/>
      <c r="D22" s="57"/>
      <c r="E22" s="57"/>
      <c r="F22" s="53"/>
      <c r="G22" s="54"/>
      <c r="H22" s="54"/>
      <c r="I22" s="54"/>
    </row>
    <row r="23" spans="2:9" ht="15.75" customHeight="1" x14ac:dyDescent="0.2">
      <c r="B23" s="50">
        <f t="shared" si="0"/>
        <v>17</v>
      </c>
      <c r="C23" s="51"/>
      <c r="D23" s="57"/>
      <c r="E23" s="57"/>
      <c r="F23" s="53"/>
      <c r="G23" s="54"/>
      <c r="H23" s="54"/>
      <c r="I23" s="54"/>
    </row>
    <row r="24" spans="2:9" ht="15.75" customHeight="1" x14ac:dyDescent="0.2">
      <c r="B24" s="50">
        <f t="shared" si="0"/>
        <v>18</v>
      </c>
      <c r="C24" s="51"/>
      <c r="D24" s="57"/>
      <c r="E24" s="57"/>
      <c r="F24" s="53"/>
      <c r="G24" s="54"/>
      <c r="H24" s="54"/>
      <c r="I24" s="54"/>
    </row>
    <row r="25" spans="2:9" ht="15.75" customHeight="1" x14ac:dyDescent="0.2">
      <c r="B25" s="50">
        <f t="shared" si="0"/>
        <v>19</v>
      </c>
      <c r="C25" s="51"/>
      <c r="D25" s="57"/>
      <c r="E25" s="57"/>
      <c r="F25" s="53"/>
      <c r="G25" s="54"/>
      <c r="H25" s="54"/>
      <c r="I25" s="54"/>
    </row>
    <row r="26" spans="2:9" ht="15.75" customHeight="1" x14ac:dyDescent="0.2">
      <c r="B26" s="50">
        <f t="shared" si="0"/>
        <v>20</v>
      </c>
      <c r="C26" s="51"/>
      <c r="D26" s="57"/>
      <c r="E26" s="57"/>
      <c r="F26" s="53"/>
      <c r="G26" s="54"/>
      <c r="H26" s="54"/>
      <c r="I26" s="54"/>
    </row>
    <row r="27" spans="2:9" ht="15.75" customHeight="1" x14ac:dyDescent="0.2">
      <c r="B27" s="50">
        <f t="shared" si="0"/>
        <v>21</v>
      </c>
      <c r="C27" s="51"/>
      <c r="D27" s="57"/>
      <c r="E27" s="57"/>
      <c r="F27" s="53"/>
      <c r="G27" s="54"/>
      <c r="H27" s="54"/>
      <c r="I27" s="54"/>
    </row>
    <row r="28" spans="2:9" ht="15.75" customHeight="1" x14ac:dyDescent="0.2">
      <c r="B28" s="50">
        <f t="shared" si="0"/>
        <v>22</v>
      </c>
      <c r="C28" s="51"/>
      <c r="D28" s="57"/>
      <c r="E28" s="57"/>
      <c r="F28" s="53"/>
      <c r="G28" s="54"/>
      <c r="H28" s="54"/>
      <c r="I28" s="54"/>
    </row>
    <row r="29" spans="2:9" ht="15.75" customHeight="1" x14ac:dyDescent="0.2">
      <c r="B29" s="50">
        <f t="shared" si="0"/>
        <v>23</v>
      </c>
      <c r="C29" s="51"/>
      <c r="D29" s="57"/>
      <c r="E29" s="57"/>
      <c r="F29" s="53"/>
      <c r="G29" s="54"/>
      <c r="H29" s="54"/>
      <c r="I29" s="54"/>
    </row>
    <row r="30" spans="2:9" ht="15.75" customHeight="1" x14ac:dyDescent="0.2">
      <c r="B30" s="50">
        <f t="shared" si="0"/>
        <v>24</v>
      </c>
      <c r="C30" s="51"/>
      <c r="D30" s="57"/>
      <c r="E30" s="57"/>
      <c r="F30" s="53"/>
      <c r="G30" s="54"/>
      <c r="H30" s="54"/>
      <c r="I30" s="54"/>
    </row>
    <row r="31" spans="2:9" ht="15.75" customHeight="1" x14ac:dyDescent="0.2">
      <c r="B31" s="50">
        <f t="shared" si="0"/>
        <v>25</v>
      </c>
      <c r="C31" s="51"/>
      <c r="D31" s="57"/>
      <c r="E31" s="57"/>
      <c r="F31" s="53"/>
      <c r="G31" s="54"/>
      <c r="H31" s="54"/>
      <c r="I31" s="54"/>
    </row>
    <row r="32" spans="2:9" ht="15.75" customHeight="1" x14ac:dyDescent="0.2">
      <c r="B32" s="50">
        <f t="shared" si="0"/>
        <v>26</v>
      </c>
      <c r="C32" s="51"/>
      <c r="D32" s="57"/>
      <c r="E32" s="57"/>
      <c r="F32" s="53"/>
      <c r="G32" s="54"/>
      <c r="H32" s="54"/>
      <c r="I32" s="54"/>
    </row>
    <row r="33" spans="2:9" ht="15.75" customHeight="1" x14ac:dyDescent="0.2">
      <c r="B33" s="50">
        <f t="shared" si="0"/>
        <v>27</v>
      </c>
      <c r="C33" s="51"/>
      <c r="D33" s="57"/>
      <c r="E33" s="57"/>
      <c r="F33" s="53"/>
      <c r="G33" s="54"/>
      <c r="H33" s="54"/>
      <c r="I33" s="54"/>
    </row>
    <row r="34" spans="2:9" ht="15.75" customHeight="1" x14ac:dyDescent="0.2">
      <c r="B34" s="50">
        <f t="shared" si="0"/>
        <v>28</v>
      </c>
      <c r="C34" s="51"/>
      <c r="D34" s="57"/>
      <c r="E34" s="57"/>
      <c r="F34" s="53"/>
      <c r="G34" s="54"/>
      <c r="H34" s="54"/>
      <c r="I34" s="54"/>
    </row>
    <row r="35" spans="2:9" ht="15.75" customHeight="1" x14ac:dyDescent="0.2">
      <c r="B35" s="50">
        <f t="shared" si="0"/>
        <v>29</v>
      </c>
      <c r="C35" s="51"/>
      <c r="D35" s="57"/>
      <c r="E35" s="57"/>
      <c r="F35" s="53"/>
      <c r="G35" s="54"/>
      <c r="H35" s="54"/>
      <c r="I35" s="54"/>
    </row>
    <row r="36" spans="2:9" ht="15.75" customHeight="1" x14ac:dyDescent="0.2">
      <c r="B36" s="50">
        <f t="shared" si="0"/>
        <v>30</v>
      </c>
      <c r="C36" s="51"/>
      <c r="D36" s="57"/>
      <c r="E36" s="57"/>
      <c r="F36" s="53"/>
      <c r="G36" s="54"/>
      <c r="H36" s="54"/>
      <c r="I36" s="54"/>
    </row>
    <row r="37" spans="2:9" ht="15.75" customHeight="1" x14ac:dyDescent="0.2">
      <c r="B37" s="50">
        <f t="shared" si="0"/>
        <v>31</v>
      </c>
      <c r="C37" s="51"/>
      <c r="D37" s="57"/>
      <c r="E37" s="57"/>
      <c r="F37" s="53"/>
      <c r="G37" s="54"/>
      <c r="H37" s="54"/>
      <c r="I37" s="54"/>
    </row>
    <row r="38" spans="2:9" ht="15.75" customHeight="1" x14ac:dyDescent="0.2">
      <c r="B38" s="50">
        <f t="shared" si="0"/>
        <v>32</v>
      </c>
      <c r="C38" s="51"/>
      <c r="D38" s="57"/>
      <c r="E38" s="57"/>
      <c r="F38" s="53"/>
      <c r="G38" s="54"/>
      <c r="H38" s="54"/>
      <c r="I38" s="54"/>
    </row>
    <row r="39" spans="2:9" ht="15.75" customHeight="1" x14ac:dyDescent="0.2">
      <c r="B39" s="50">
        <f t="shared" si="0"/>
        <v>33</v>
      </c>
      <c r="C39" s="51"/>
      <c r="D39" s="57"/>
      <c r="E39" s="57"/>
      <c r="F39" s="53"/>
      <c r="G39" s="54"/>
      <c r="H39" s="54"/>
      <c r="I39" s="54"/>
    </row>
    <row r="40" spans="2:9" ht="15.75" customHeight="1" x14ac:dyDescent="0.2">
      <c r="B40" s="50">
        <f t="shared" si="0"/>
        <v>34</v>
      </c>
      <c r="C40" s="51"/>
      <c r="D40" s="57"/>
      <c r="E40" s="57"/>
      <c r="F40" s="53"/>
      <c r="G40" s="54"/>
      <c r="H40" s="54"/>
      <c r="I40" s="54"/>
    </row>
    <row r="41" spans="2:9" ht="15.75" customHeight="1" x14ac:dyDescent="0.2">
      <c r="B41" s="50">
        <f t="shared" si="0"/>
        <v>35</v>
      </c>
      <c r="C41" s="51"/>
      <c r="D41" s="57"/>
      <c r="E41" s="57"/>
      <c r="F41" s="53"/>
      <c r="G41" s="54"/>
      <c r="H41" s="54"/>
      <c r="I41" s="54"/>
    </row>
    <row r="42" spans="2:9" ht="15.75" customHeight="1" x14ac:dyDescent="0.2">
      <c r="B42" s="50">
        <f t="shared" si="0"/>
        <v>36</v>
      </c>
      <c r="C42" s="51"/>
      <c r="D42" s="57"/>
      <c r="E42" s="57"/>
      <c r="F42" s="53"/>
      <c r="G42" s="54"/>
      <c r="H42" s="54"/>
      <c r="I42" s="54"/>
    </row>
    <row r="43" spans="2:9" ht="15.75" customHeight="1" x14ac:dyDescent="0.2">
      <c r="B43" s="50">
        <f t="shared" si="0"/>
        <v>37</v>
      </c>
      <c r="C43" s="51"/>
      <c r="D43" s="57"/>
      <c r="E43" s="57"/>
      <c r="F43" s="53"/>
      <c r="G43" s="54"/>
      <c r="H43" s="54"/>
      <c r="I43" s="54"/>
    </row>
    <row r="44" spans="2:9" ht="15.75" customHeight="1" x14ac:dyDescent="0.2">
      <c r="B44" s="50">
        <f t="shared" si="0"/>
        <v>38</v>
      </c>
      <c r="C44" s="51"/>
      <c r="D44" s="57"/>
      <c r="E44" s="57"/>
      <c r="F44" s="53"/>
      <c r="G44" s="54"/>
      <c r="H44" s="54"/>
      <c r="I44" s="54"/>
    </row>
    <row r="45" spans="2:9" ht="15.75" customHeight="1" x14ac:dyDescent="0.2">
      <c r="B45" s="50">
        <f t="shared" si="0"/>
        <v>39</v>
      </c>
      <c r="C45" s="51"/>
      <c r="D45" s="57"/>
      <c r="E45" s="57"/>
      <c r="F45" s="53"/>
      <c r="G45" s="54"/>
      <c r="H45" s="54"/>
      <c r="I45" s="54"/>
    </row>
    <row r="46" spans="2:9" ht="15.75" customHeight="1" x14ac:dyDescent="0.2">
      <c r="B46" s="50">
        <f t="shared" si="0"/>
        <v>40</v>
      </c>
      <c r="C46" s="51"/>
      <c r="D46" s="57"/>
      <c r="E46" s="57"/>
      <c r="F46" s="53"/>
      <c r="G46" s="54"/>
      <c r="H46" s="54"/>
      <c r="I46" s="54"/>
    </row>
    <row r="47" spans="2:9" ht="15.75" customHeight="1" x14ac:dyDescent="0.2">
      <c r="B47" s="50">
        <f t="shared" si="0"/>
        <v>41</v>
      </c>
      <c r="C47" s="51"/>
      <c r="D47" s="57"/>
      <c r="E47" s="57"/>
      <c r="F47" s="53"/>
      <c r="G47" s="54"/>
      <c r="H47" s="54"/>
      <c r="I47" s="54"/>
    </row>
    <row r="48" spans="2:9" ht="15.75" customHeight="1" x14ac:dyDescent="0.2">
      <c r="B48" s="50">
        <f t="shared" si="0"/>
        <v>42</v>
      </c>
      <c r="C48" s="51"/>
      <c r="D48" s="57"/>
      <c r="E48" s="57"/>
      <c r="F48" s="53"/>
      <c r="G48" s="54"/>
      <c r="H48" s="54"/>
      <c r="I48" s="54"/>
    </row>
    <row r="49" spans="2:9" ht="15.75" customHeight="1" x14ac:dyDescent="0.2">
      <c r="B49" s="50">
        <f t="shared" si="0"/>
        <v>43</v>
      </c>
      <c r="C49" s="51"/>
      <c r="D49" s="57"/>
      <c r="E49" s="57"/>
      <c r="F49" s="53"/>
      <c r="G49" s="54"/>
      <c r="H49" s="54"/>
      <c r="I49" s="54"/>
    </row>
    <row r="50" spans="2:9" ht="15.75" customHeight="1" x14ac:dyDescent="0.2">
      <c r="B50" s="50">
        <f t="shared" si="0"/>
        <v>44</v>
      </c>
      <c r="C50" s="51"/>
      <c r="D50" s="57"/>
      <c r="E50" s="57"/>
      <c r="F50" s="53"/>
      <c r="G50" s="54"/>
      <c r="H50" s="54"/>
      <c r="I50" s="54"/>
    </row>
    <row r="51" spans="2:9" ht="15.75" customHeight="1" x14ac:dyDescent="0.2">
      <c r="B51" s="50">
        <f t="shared" si="0"/>
        <v>45</v>
      </c>
      <c r="C51" s="51"/>
      <c r="D51" s="57"/>
      <c r="E51" s="57"/>
      <c r="F51" s="53"/>
      <c r="G51" s="54"/>
      <c r="H51" s="54"/>
      <c r="I51" s="54"/>
    </row>
    <row r="52" spans="2:9" ht="15.75" customHeight="1" x14ac:dyDescent="0.2">
      <c r="B52" s="50">
        <f t="shared" si="0"/>
        <v>46</v>
      </c>
      <c r="C52" s="51"/>
      <c r="D52" s="57"/>
      <c r="E52" s="57"/>
      <c r="F52" s="53"/>
      <c r="G52" s="54"/>
      <c r="H52" s="54"/>
      <c r="I52" s="54"/>
    </row>
    <row r="53" spans="2:9" ht="15.75" customHeight="1" x14ac:dyDescent="0.2">
      <c r="B53" s="50">
        <f t="shared" si="0"/>
        <v>47</v>
      </c>
      <c r="C53" s="51"/>
      <c r="D53" s="57"/>
      <c r="E53" s="57"/>
      <c r="F53" s="53"/>
      <c r="G53" s="54"/>
      <c r="H53" s="54"/>
      <c r="I53" s="54"/>
    </row>
    <row r="54" spans="2:9" ht="15.75" customHeight="1" x14ac:dyDescent="0.2">
      <c r="B54" s="50">
        <f t="shared" si="0"/>
        <v>48</v>
      </c>
      <c r="C54" s="51"/>
      <c r="D54" s="57"/>
      <c r="E54" s="57"/>
      <c r="F54" s="53"/>
      <c r="G54" s="54"/>
      <c r="H54" s="54"/>
      <c r="I54" s="54"/>
    </row>
    <row r="55" spans="2:9" ht="15.75" customHeight="1" x14ac:dyDescent="0.2">
      <c r="B55" s="50">
        <f t="shared" si="0"/>
        <v>49</v>
      </c>
      <c r="C55" s="51"/>
      <c r="D55" s="57"/>
      <c r="E55" s="57"/>
      <c r="F55" s="53"/>
      <c r="G55" s="54"/>
      <c r="H55" s="54"/>
      <c r="I55" s="54"/>
    </row>
    <row r="56" spans="2:9" ht="15.75" customHeight="1" x14ac:dyDescent="0.2">
      <c r="B56" s="50">
        <f t="shared" si="0"/>
        <v>50</v>
      </c>
      <c r="C56" s="51"/>
      <c r="D56" s="57"/>
      <c r="E56" s="57"/>
      <c r="F56" s="53"/>
      <c r="G56" s="54"/>
      <c r="H56" s="54"/>
      <c r="I56" s="54"/>
    </row>
    <row r="57" spans="2:9" ht="15.75" customHeight="1" x14ac:dyDescent="0.2">
      <c r="B57" s="50">
        <f t="shared" si="0"/>
        <v>51</v>
      </c>
      <c r="C57" s="51"/>
      <c r="D57" s="57"/>
      <c r="E57" s="57"/>
      <c r="F57" s="53"/>
      <c r="G57" s="54"/>
      <c r="H57" s="54"/>
      <c r="I57" s="54"/>
    </row>
    <row r="58" spans="2:9" ht="15.75" customHeight="1" x14ac:dyDescent="0.2">
      <c r="B58" s="50">
        <f t="shared" si="0"/>
        <v>52</v>
      </c>
      <c r="C58" s="51"/>
      <c r="D58" s="57"/>
      <c r="E58" s="57"/>
      <c r="F58" s="53"/>
      <c r="G58" s="54"/>
      <c r="H58" s="54"/>
      <c r="I58" s="54"/>
    </row>
    <row r="59" spans="2:9" ht="15.75" customHeight="1" x14ac:dyDescent="0.2">
      <c r="B59" s="50">
        <f t="shared" si="0"/>
        <v>53</v>
      </c>
      <c r="C59" s="51"/>
      <c r="D59" s="57"/>
      <c r="E59" s="57"/>
      <c r="F59" s="53"/>
      <c r="G59" s="54"/>
      <c r="H59" s="54"/>
      <c r="I59" s="54"/>
    </row>
    <row r="60" spans="2:9" ht="15.75" customHeight="1" x14ac:dyDescent="0.2">
      <c r="B60" s="50">
        <f t="shared" si="0"/>
        <v>54</v>
      </c>
      <c r="C60" s="51"/>
      <c r="D60" s="57"/>
      <c r="E60" s="57"/>
      <c r="F60" s="53"/>
      <c r="G60" s="54"/>
      <c r="H60" s="54"/>
      <c r="I60" s="54"/>
    </row>
    <row r="61" spans="2:9" ht="15.75" customHeight="1" x14ac:dyDescent="0.2">
      <c r="B61" s="50">
        <f t="shared" si="0"/>
        <v>55</v>
      </c>
      <c r="C61" s="51"/>
      <c r="D61" s="57"/>
      <c r="E61" s="57"/>
      <c r="F61" s="53"/>
      <c r="G61" s="54"/>
      <c r="H61" s="54"/>
      <c r="I61" s="54"/>
    </row>
    <row r="62" spans="2:9" ht="15.75" customHeight="1" x14ac:dyDescent="0.2">
      <c r="B62" s="50">
        <f t="shared" si="0"/>
        <v>56</v>
      </c>
      <c r="C62" s="51"/>
      <c r="D62" s="57"/>
      <c r="E62" s="57"/>
      <c r="F62" s="53"/>
      <c r="G62" s="54"/>
      <c r="H62" s="54"/>
      <c r="I62" s="54"/>
    </row>
    <row r="63" spans="2:9" ht="15.75" customHeight="1" x14ac:dyDescent="0.2">
      <c r="B63" s="50">
        <f t="shared" si="0"/>
        <v>57</v>
      </c>
      <c r="C63" s="51"/>
      <c r="D63" s="57"/>
      <c r="E63" s="57"/>
      <c r="F63" s="53"/>
      <c r="G63" s="54"/>
      <c r="H63" s="54"/>
      <c r="I63" s="54"/>
    </row>
    <row r="64" spans="2:9" ht="15.75" customHeight="1" x14ac:dyDescent="0.2">
      <c r="B64" s="50">
        <f t="shared" si="0"/>
        <v>58</v>
      </c>
      <c r="C64" s="51"/>
      <c r="D64" s="57"/>
      <c r="E64" s="57"/>
      <c r="F64" s="53"/>
      <c r="G64" s="54"/>
      <c r="H64" s="54"/>
      <c r="I64" s="54"/>
    </row>
    <row r="65" spans="2:9" ht="15.75" customHeight="1" x14ac:dyDescent="0.2">
      <c r="B65" s="50">
        <f t="shared" si="0"/>
        <v>59</v>
      </c>
      <c r="C65" s="51"/>
      <c r="D65" s="57"/>
      <c r="E65" s="57"/>
      <c r="F65" s="53"/>
      <c r="G65" s="54"/>
      <c r="H65" s="54"/>
      <c r="I65" s="54"/>
    </row>
    <row r="66" spans="2:9" ht="15.75" customHeight="1" x14ac:dyDescent="0.2">
      <c r="B66" s="50">
        <f t="shared" si="0"/>
        <v>60</v>
      </c>
      <c r="C66" s="51"/>
      <c r="D66" s="57"/>
      <c r="E66" s="57"/>
      <c r="F66" s="53"/>
      <c r="G66" s="54"/>
      <c r="H66" s="54"/>
      <c r="I66" s="54"/>
    </row>
    <row r="67" spans="2:9" ht="15.75" customHeight="1" x14ac:dyDescent="0.2">
      <c r="B67" s="50">
        <f t="shared" si="0"/>
        <v>61</v>
      </c>
      <c r="C67" s="51"/>
      <c r="D67" s="57"/>
      <c r="E67" s="57"/>
      <c r="F67" s="53"/>
      <c r="G67" s="54"/>
      <c r="H67" s="54"/>
      <c r="I67" s="54"/>
    </row>
    <row r="68" spans="2:9" ht="15.75" customHeight="1" x14ac:dyDescent="0.2">
      <c r="B68" s="58">
        <f t="shared" si="0"/>
        <v>62</v>
      </c>
      <c r="C68" s="51"/>
      <c r="D68" s="57"/>
      <c r="E68" s="57"/>
      <c r="F68" s="60"/>
      <c r="G68" s="61"/>
      <c r="H68" s="61"/>
      <c r="I68" s="61"/>
    </row>
    <row r="69" spans="2:9" ht="15.75" customHeight="1" x14ac:dyDescent="0.2">
      <c r="B69" s="50">
        <f t="shared" si="0"/>
        <v>63</v>
      </c>
      <c r="C69" s="51"/>
      <c r="D69" s="57"/>
      <c r="E69" s="57"/>
      <c r="F69" s="53"/>
      <c r="G69" s="54"/>
      <c r="H69" s="54"/>
      <c r="I69" s="54"/>
    </row>
    <row r="70" spans="2:9" ht="15.75" customHeight="1" x14ac:dyDescent="0.2">
      <c r="B70" s="50">
        <f t="shared" si="0"/>
        <v>64</v>
      </c>
      <c r="C70" s="51"/>
      <c r="D70" s="57"/>
      <c r="E70" s="57"/>
      <c r="F70" s="53"/>
      <c r="G70" s="54"/>
      <c r="H70" s="54"/>
      <c r="I70" s="54"/>
    </row>
    <row r="71" spans="2:9" ht="15.75" customHeight="1" x14ac:dyDescent="0.2">
      <c r="B71" s="50">
        <f t="shared" ref="B71:B134" si="1">B70+1</f>
        <v>65</v>
      </c>
      <c r="C71" s="51"/>
      <c r="D71" s="57"/>
      <c r="E71" s="57"/>
      <c r="F71" s="53"/>
      <c r="G71" s="54"/>
      <c r="H71" s="54"/>
      <c r="I71" s="54"/>
    </row>
    <row r="72" spans="2:9" ht="15.75" customHeight="1" x14ac:dyDescent="0.2">
      <c r="B72" s="50">
        <f t="shared" si="1"/>
        <v>66</v>
      </c>
      <c r="C72" s="51"/>
      <c r="D72" s="57"/>
      <c r="E72" s="57"/>
      <c r="F72" s="53"/>
      <c r="G72" s="54"/>
      <c r="H72" s="54"/>
      <c r="I72" s="54"/>
    </row>
    <row r="73" spans="2:9" ht="15.75" customHeight="1" x14ac:dyDescent="0.2">
      <c r="B73" s="50">
        <f t="shared" si="1"/>
        <v>67</v>
      </c>
      <c r="C73" s="51"/>
      <c r="D73" s="57"/>
      <c r="E73" s="57"/>
      <c r="F73" s="53"/>
      <c r="G73" s="54"/>
      <c r="H73" s="54"/>
      <c r="I73" s="54"/>
    </row>
    <row r="74" spans="2:9" ht="15.75" customHeight="1" x14ac:dyDescent="0.2">
      <c r="B74" s="50">
        <f t="shared" si="1"/>
        <v>68</v>
      </c>
      <c r="C74" s="51"/>
      <c r="D74" s="57"/>
      <c r="E74" s="57"/>
      <c r="F74" s="53"/>
      <c r="G74" s="54"/>
      <c r="H74" s="54"/>
      <c r="I74" s="54"/>
    </row>
    <row r="75" spans="2:9" ht="15.75" customHeight="1" x14ac:dyDescent="0.2">
      <c r="B75" s="50">
        <f t="shared" si="1"/>
        <v>69</v>
      </c>
      <c r="C75" s="51"/>
      <c r="D75" s="57"/>
      <c r="E75" s="57"/>
      <c r="F75" s="53"/>
      <c r="G75" s="54"/>
      <c r="H75" s="54"/>
      <c r="I75" s="54"/>
    </row>
    <row r="76" spans="2:9" ht="15.75" customHeight="1" x14ac:dyDescent="0.2">
      <c r="B76" s="50">
        <f t="shared" si="1"/>
        <v>70</v>
      </c>
      <c r="C76" s="51"/>
      <c r="D76" s="57"/>
      <c r="E76" s="57"/>
      <c r="F76" s="53"/>
      <c r="G76" s="54"/>
      <c r="H76" s="54"/>
      <c r="I76" s="54"/>
    </row>
    <row r="77" spans="2:9" ht="15.75" customHeight="1" x14ac:dyDescent="0.2">
      <c r="B77" s="50">
        <f t="shared" si="1"/>
        <v>71</v>
      </c>
      <c r="C77" s="51"/>
      <c r="D77" s="57"/>
      <c r="E77" s="57"/>
      <c r="F77" s="53"/>
      <c r="G77" s="54"/>
      <c r="H77" s="54"/>
      <c r="I77" s="54"/>
    </row>
    <row r="78" spans="2:9" ht="15.75" customHeight="1" x14ac:dyDescent="0.2">
      <c r="B78" s="50">
        <f t="shared" si="1"/>
        <v>72</v>
      </c>
      <c r="C78" s="51"/>
      <c r="D78" s="57"/>
      <c r="E78" s="57"/>
      <c r="F78" s="53"/>
      <c r="G78" s="54"/>
      <c r="H78" s="54"/>
      <c r="I78" s="54"/>
    </row>
    <row r="79" spans="2:9" ht="15.75" customHeight="1" x14ac:dyDescent="0.2">
      <c r="B79" s="50">
        <f t="shared" si="1"/>
        <v>73</v>
      </c>
      <c r="C79" s="51"/>
      <c r="D79" s="57"/>
      <c r="E79" s="57"/>
      <c r="F79" s="53"/>
      <c r="G79" s="54"/>
      <c r="H79" s="54"/>
      <c r="I79" s="54"/>
    </row>
    <row r="80" spans="2:9" ht="15.75" customHeight="1" x14ac:dyDescent="0.2">
      <c r="B80" s="50">
        <f t="shared" si="1"/>
        <v>74</v>
      </c>
      <c r="C80" s="51"/>
      <c r="D80" s="57"/>
      <c r="E80" s="57"/>
      <c r="F80" s="53"/>
      <c r="G80" s="54"/>
      <c r="H80" s="54"/>
      <c r="I80" s="54"/>
    </row>
    <row r="81" spans="2:9" ht="15.75" customHeight="1" x14ac:dyDescent="0.2">
      <c r="B81" s="50">
        <f t="shared" si="1"/>
        <v>75</v>
      </c>
      <c r="C81" s="51"/>
      <c r="D81" s="57"/>
      <c r="E81" s="57"/>
      <c r="F81" s="53"/>
      <c r="G81" s="54"/>
      <c r="H81" s="54"/>
      <c r="I81" s="54"/>
    </row>
    <row r="82" spans="2:9" ht="15.75" customHeight="1" x14ac:dyDescent="0.2">
      <c r="B82" s="50">
        <f t="shared" si="1"/>
        <v>76</v>
      </c>
      <c r="C82" s="51"/>
      <c r="D82" s="57"/>
      <c r="E82" s="57"/>
      <c r="F82" s="53"/>
      <c r="G82" s="55"/>
      <c r="H82" s="54"/>
      <c r="I82" s="54"/>
    </row>
    <row r="83" spans="2:9" ht="15.75" customHeight="1" x14ac:dyDescent="0.2">
      <c r="B83" s="50">
        <f t="shared" si="1"/>
        <v>77</v>
      </c>
      <c r="C83" s="51"/>
      <c r="D83" s="57"/>
      <c r="E83" s="57"/>
      <c r="F83" s="53"/>
      <c r="G83" s="54"/>
      <c r="H83" s="54"/>
      <c r="I83" s="54"/>
    </row>
    <row r="84" spans="2:9" ht="15.75" customHeight="1" x14ac:dyDescent="0.2">
      <c r="B84" s="50">
        <f t="shared" si="1"/>
        <v>78</v>
      </c>
      <c r="C84" s="51"/>
      <c r="D84" s="57"/>
      <c r="E84" s="57"/>
      <c r="F84" s="53"/>
      <c r="G84" s="54"/>
      <c r="H84" s="54"/>
      <c r="I84" s="54"/>
    </row>
    <row r="85" spans="2:9" ht="15.75" customHeight="1" x14ac:dyDescent="0.2">
      <c r="B85" s="50">
        <f t="shared" si="1"/>
        <v>79</v>
      </c>
      <c r="C85" s="51"/>
      <c r="D85" s="57"/>
      <c r="E85" s="57"/>
      <c r="F85" s="53"/>
      <c r="G85" s="54"/>
      <c r="H85" s="54"/>
      <c r="I85" s="54"/>
    </row>
    <row r="86" spans="2:9" ht="15.75" customHeight="1" x14ac:dyDescent="0.2">
      <c r="B86" s="50">
        <f t="shared" si="1"/>
        <v>80</v>
      </c>
      <c r="C86" s="51"/>
      <c r="D86" s="57"/>
      <c r="E86" s="57"/>
      <c r="F86" s="53"/>
      <c r="G86" s="54"/>
      <c r="H86" s="54"/>
      <c r="I86" s="54"/>
    </row>
    <row r="87" spans="2:9" ht="15.75" customHeight="1" x14ac:dyDescent="0.2">
      <c r="B87" s="50">
        <f t="shared" si="1"/>
        <v>81</v>
      </c>
      <c r="C87" s="51"/>
      <c r="D87" s="57"/>
      <c r="E87" s="57"/>
      <c r="F87" s="53"/>
      <c r="G87" s="54"/>
      <c r="H87" s="54"/>
      <c r="I87" s="54"/>
    </row>
    <row r="88" spans="2:9" ht="15.75" customHeight="1" x14ac:dyDescent="0.2">
      <c r="B88" s="50">
        <f t="shared" si="1"/>
        <v>82</v>
      </c>
      <c r="C88" s="51"/>
      <c r="D88" s="57"/>
      <c r="E88" s="57"/>
      <c r="F88" s="53"/>
      <c r="G88" s="54"/>
      <c r="H88" s="54"/>
      <c r="I88" s="54"/>
    </row>
    <row r="89" spans="2:9" ht="15.75" customHeight="1" x14ac:dyDescent="0.2">
      <c r="B89" s="50">
        <f t="shared" si="1"/>
        <v>83</v>
      </c>
      <c r="C89" s="51"/>
      <c r="D89" s="57"/>
      <c r="E89" s="57"/>
      <c r="F89" s="53"/>
      <c r="G89" s="54"/>
      <c r="H89" s="54"/>
      <c r="I89" s="54"/>
    </row>
    <row r="90" spans="2:9" ht="15.75" customHeight="1" x14ac:dyDescent="0.2">
      <c r="B90" s="50">
        <f t="shared" si="1"/>
        <v>84</v>
      </c>
      <c r="C90" s="51"/>
      <c r="D90" s="57"/>
      <c r="E90" s="57"/>
      <c r="F90" s="53"/>
      <c r="G90" s="54"/>
      <c r="H90" s="54"/>
      <c r="I90" s="54"/>
    </row>
    <row r="91" spans="2:9" ht="15.75" customHeight="1" x14ac:dyDescent="0.2">
      <c r="B91" s="50">
        <f t="shared" si="1"/>
        <v>85</v>
      </c>
      <c r="C91" s="51"/>
      <c r="D91" s="57"/>
      <c r="E91" s="57"/>
      <c r="F91" s="53"/>
      <c r="G91" s="54"/>
      <c r="H91" s="54"/>
      <c r="I91" s="54"/>
    </row>
    <row r="92" spans="2:9" ht="15.75" customHeight="1" x14ac:dyDescent="0.2">
      <c r="B92" s="50">
        <f t="shared" si="1"/>
        <v>86</v>
      </c>
      <c r="C92" s="51"/>
      <c r="D92" s="57"/>
      <c r="E92" s="57"/>
      <c r="F92" s="53"/>
      <c r="G92" s="54"/>
      <c r="H92" s="54"/>
      <c r="I92" s="54"/>
    </row>
    <row r="93" spans="2:9" ht="15.75" customHeight="1" x14ac:dyDescent="0.2">
      <c r="B93" s="50">
        <f t="shared" si="1"/>
        <v>87</v>
      </c>
      <c r="C93" s="51"/>
      <c r="D93" s="57"/>
      <c r="E93" s="57"/>
      <c r="F93" s="53"/>
      <c r="G93" s="54"/>
      <c r="H93" s="54"/>
      <c r="I93" s="54"/>
    </row>
    <row r="94" spans="2:9" ht="15.75" customHeight="1" x14ac:dyDescent="0.2">
      <c r="B94" s="50">
        <f t="shared" si="1"/>
        <v>88</v>
      </c>
      <c r="C94" s="51"/>
      <c r="D94" s="57"/>
      <c r="E94" s="57"/>
      <c r="F94" s="53"/>
      <c r="G94" s="54"/>
      <c r="H94" s="54"/>
      <c r="I94" s="54"/>
    </row>
    <row r="95" spans="2:9" ht="15.75" customHeight="1" x14ac:dyDescent="0.2">
      <c r="B95" s="50">
        <f t="shared" si="1"/>
        <v>89</v>
      </c>
      <c r="C95" s="51"/>
      <c r="D95" s="57"/>
      <c r="E95" s="57"/>
      <c r="F95" s="53"/>
      <c r="G95" s="54"/>
      <c r="H95" s="54"/>
      <c r="I95" s="54"/>
    </row>
    <row r="96" spans="2:9" ht="15.75" customHeight="1" x14ac:dyDescent="0.2">
      <c r="B96" s="50">
        <f t="shared" si="1"/>
        <v>90</v>
      </c>
      <c r="C96" s="51"/>
      <c r="D96" s="57"/>
      <c r="E96" s="57"/>
      <c r="F96" s="53"/>
      <c r="G96" s="54"/>
      <c r="H96" s="54"/>
      <c r="I96" s="54"/>
    </row>
    <row r="97" spans="2:9" ht="15.75" customHeight="1" x14ac:dyDescent="0.2">
      <c r="B97" s="50">
        <f t="shared" si="1"/>
        <v>91</v>
      </c>
      <c r="C97" s="51"/>
      <c r="D97" s="57"/>
      <c r="E97" s="57"/>
      <c r="F97" s="53"/>
      <c r="G97" s="54"/>
      <c r="H97" s="54"/>
      <c r="I97" s="54"/>
    </row>
    <row r="98" spans="2:9" ht="15.75" customHeight="1" x14ac:dyDescent="0.2">
      <c r="B98" s="50">
        <f t="shared" si="1"/>
        <v>92</v>
      </c>
      <c r="C98" s="51"/>
      <c r="D98" s="57"/>
      <c r="E98" s="57"/>
      <c r="F98" s="53"/>
      <c r="G98" s="54"/>
      <c r="H98" s="54"/>
      <c r="I98" s="54"/>
    </row>
    <row r="99" spans="2:9" ht="15.75" customHeight="1" x14ac:dyDescent="0.2">
      <c r="B99" s="50">
        <f t="shared" si="1"/>
        <v>93</v>
      </c>
      <c r="C99" s="51"/>
      <c r="D99" s="57"/>
      <c r="E99" s="57"/>
      <c r="F99" s="53"/>
      <c r="G99" s="54"/>
      <c r="H99" s="54"/>
      <c r="I99" s="54"/>
    </row>
    <row r="100" spans="2:9" ht="15.75" customHeight="1" x14ac:dyDescent="0.2">
      <c r="B100" s="50">
        <f t="shared" si="1"/>
        <v>94</v>
      </c>
      <c r="C100" s="51"/>
      <c r="D100" s="57"/>
      <c r="E100" s="57"/>
      <c r="F100" s="53"/>
      <c r="G100" s="54"/>
      <c r="H100" s="54"/>
      <c r="I100" s="54"/>
    </row>
    <row r="101" spans="2:9" ht="15.75" customHeight="1" x14ac:dyDescent="0.2">
      <c r="B101" s="50">
        <f t="shared" si="1"/>
        <v>95</v>
      </c>
      <c r="C101" s="51"/>
      <c r="D101" s="57"/>
      <c r="E101" s="57"/>
      <c r="F101" s="53"/>
      <c r="G101" s="54"/>
      <c r="H101" s="54"/>
      <c r="I101" s="54"/>
    </row>
    <row r="102" spans="2:9" ht="15.75" customHeight="1" x14ac:dyDescent="0.2">
      <c r="B102" s="50">
        <f t="shared" si="1"/>
        <v>96</v>
      </c>
      <c r="C102" s="51"/>
      <c r="D102" s="57"/>
      <c r="E102" s="57"/>
      <c r="F102" s="53"/>
      <c r="G102" s="54"/>
      <c r="H102" s="54"/>
      <c r="I102" s="54"/>
    </row>
    <row r="103" spans="2:9" ht="15.75" customHeight="1" x14ac:dyDescent="0.2">
      <c r="B103" s="50">
        <f t="shared" si="1"/>
        <v>97</v>
      </c>
      <c r="C103" s="51"/>
      <c r="D103" s="57"/>
      <c r="E103" s="57"/>
      <c r="F103" s="53"/>
      <c r="G103" s="54"/>
      <c r="H103" s="54"/>
      <c r="I103" s="54"/>
    </row>
    <row r="104" spans="2:9" ht="15.75" customHeight="1" x14ac:dyDescent="0.2">
      <c r="B104" s="50">
        <f t="shared" si="1"/>
        <v>98</v>
      </c>
      <c r="C104" s="51"/>
      <c r="D104" s="57"/>
      <c r="E104" s="57"/>
      <c r="F104" s="53"/>
      <c r="G104" s="54"/>
      <c r="H104" s="54"/>
      <c r="I104" s="54"/>
    </row>
    <row r="105" spans="2:9" ht="15.75" customHeight="1" x14ac:dyDescent="0.2">
      <c r="B105" s="50">
        <f t="shared" si="1"/>
        <v>99</v>
      </c>
      <c r="C105" s="51"/>
      <c r="D105" s="57"/>
      <c r="E105" s="57"/>
      <c r="F105" s="53"/>
      <c r="G105" s="54"/>
      <c r="H105" s="54"/>
      <c r="I105" s="54"/>
    </row>
    <row r="106" spans="2:9" ht="15.75" customHeight="1" x14ac:dyDescent="0.2">
      <c r="B106" s="50">
        <f t="shared" si="1"/>
        <v>100</v>
      </c>
      <c r="C106" s="51"/>
      <c r="D106" s="57"/>
      <c r="E106" s="57"/>
      <c r="F106" s="53"/>
      <c r="G106" s="54"/>
      <c r="H106" s="54"/>
      <c r="I106" s="54"/>
    </row>
    <row r="107" spans="2:9" ht="15.75" customHeight="1" x14ac:dyDescent="0.2">
      <c r="B107" s="50">
        <f t="shared" si="1"/>
        <v>101</v>
      </c>
      <c r="C107" s="51"/>
      <c r="D107" s="57"/>
      <c r="E107" s="57"/>
      <c r="F107" s="53"/>
      <c r="G107" s="54"/>
      <c r="H107" s="54"/>
      <c r="I107" s="54"/>
    </row>
    <row r="108" spans="2:9" ht="15.75" customHeight="1" x14ac:dyDescent="0.2">
      <c r="B108" s="50">
        <f t="shared" si="1"/>
        <v>102</v>
      </c>
      <c r="C108" s="51"/>
      <c r="D108" s="57"/>
      <c r="E108" s="57"/>
      <c r="F108" s="53"/>
      <c r="G108" s="54"/>
      <c r="H108" s="54"/>
      <c r="I108" s="54"/>
    </row>
    <row r="109" spans="2:9" ht="15.75" customHeight="1" x14ac:dyDescent="0.2">
      <c r="B109" s="50">
        <f t="shared" si="1"/>
        <v>103</v>
      </c>
      <c r="C109" s="51"/>
      <c r="D109" s="57"/>
      <c r="E109" s="57"/>
      <c r="F109" s="53"/>
      <c r="G109" s="54"/>
      <c r="H109" s="54"/>
      <c r="I109" s="54"/>
    </row>
    <row r="110" spans="2:9" ht="15.75" customHeight="1" x14ac:dyDescent="0.2">
      <c r="B110" s="50">
        <f t="shared" si="1"/>
        <v>104</v>
      </c>
      <c r="C110" s="51"/>
      <c r="D110" s="57"/>
      <c r="E110" s="57"/>
      <c r="F110" s="53"/>
      <c r="G110" s="54"/>
      <c r="H110" s="54"/>
      <c r="I110" s="54"/>
    </row>
    <row r="111" spans="2:9" ht="15.75" customHeight="1" x14ac:dyDescent="0.2">
      <c r="B111" s="50">
        <f t="shared" si="1"/>
        <v>105</v>
      </c>
      <c r="C111" s="51"/>
      <c r="D111" s="57"/>
      <c r="E111" s="57"/>
      <c r="F111" s="53"/>
      <c r="G111" s="54"/>
      <c r="H111" s="54"/>
      <c r="I111" s="54"/>
    </row>
    <row r="112" spans="2:9" ht="15.75" customHeight="1" x14ac:dyDescent="0.2">
      <c r="B112" s="50">
        <f t="shared" si="1"/>
        <v>106</v>
      </c>
      <c r="C112" s="51"/>
      <c r="D112" s="57"/>
      <c r="E112" s="57"/>
      <c r="F112" s="53"/>
      <c r="G112" s="54"/>
      <c r="H112" s="54"/>
      <c r="I112" s="54"/>
    </row>
    <row r="113" spans="2:9" ht="16.5" customHeight="1" x14ac:dyDescent="0.2">
      <c r="B113" s="50">
        <f t="shared" si="1"/>
        <v>107</v>
      </c>
      <c r="C113" s="51"/>
      <c r="D113" s="57"/>
      <c r="E113" s="57"/>
      <c r="F113" s="53"/>
      <c r="G113" s="54"/>
      <c r="H113" s="54"/>
      <c r="I113" s="54"/>
    </row>
    <row r="114" spans="2:9" ht="15.75" customHeight="1" x14ac:dyDescent="0.2">
      <c r="B114" s="50">
        <f t="shared" si="1"/>
        <v>108</v>
      </c>
      <c r="C114" s="51"/>
      <c r="D114" s="57"/>
      <c r="E114" s="57"/>
      <c r="F114" s="53"/>
      <c r="G114" s="54"/>
      <c r="H114" s="54"/>
      <c r="I114" s="54"/>
    </row>
    <row r="115" spans="2:9" ht="15.75" customHeight="1" x14ac:dyDescent="0.2">
      <c r="B115" s="50">
        <f t="shared" si="1"/>
        <v>109</v>
      </c>
      <c r="C115" s="51"/>
      <c r="D115" s="57"/>
      <c r="E115" s="57"/>
      <c r="F115" s="53"/>
      <c r="G115" s="54"/>
      <c r="H115" s="54"/>
      <c r="I115" s="54"/>
    </row>
    <row r="116" spans="2:9" ht="15.75" customHeight="1" x14ac:dyDescent="0.2">
      <c r="B116" s="50">
        <f t="shared" si="1"/>
        <v>110</v>
      </c>
      <c r="C116" s="51"/>
      <c r="D116" s="57"/>
      <c r="E116" s="57"/>
      <c r="F116" s="53"/>
      <c r="G116" s="54"/>
      <c r="H116" s="54"/>
      <c r="I116" s="54"/>
    </row>
    <row r="117" spans="2:9" ht="15.75" customHeight="1" x14ac:dyDescent="0.2">
      <c r="B117" s="50">
        <f t="shared" si="1"/>
        <v>111</v>
      </c>
      <c r="C117" s="51"/>
      <c r="D117" s="57"/>
      <c r="E117" s="57"/>
      <c r="F117" s="53"/>
      <c r="G117" s="54"/>
      <c r="H117" s="54"/>
      <c r="I117" s="54"/>
    </row>
    <row r="118" spans="2:9" ht="15.75" customHeight="1" x14ac:dyDescent="0.2">
      <c r="B118" s="50">
        <f t="shared" si="1"/>
        <v>112</v>
      </c>
      <c r="C118" s="51"/>
      <c r="D118" s="57"/>
      <c r="E118" s="57"/>
      <c r="F118" s="53"/>
      <c r="G118" s="54"/>
      <c r="H118" s="54"/>
      <c r="I118" s="54"/>
    </row>
    <row r="119" spans="2:9" ht="15.75" customHeight="1" x14ac:dyDescent="0.2">
      <c r="B119" s="50">
        <f t="shared" si="1"/>
        <v>113</v>
      </c>
      <c r="C119" s="51"/>
      <c r="D119" s="57"/>
      <c r="E119" s="57"/>
      <c r="F119" s="53"/>
      <c r="G119" s="54"/>
      <c r="H119" s="54"/>
      <c r="I119" s="54"/>
    </row>
    <row r="120" spans="2:9" ht="15.75" customHeight="1" x14ac:dyDescent="0.2">
      <c r="B120" s="50">
        <f t="shared" si="1"/>
        <v>114</v>
      </c>
      <c r="C120" s="51"/>
      <c r="D120" s="57"/>
      <c r="E120" s="57"/>
      <c r="F120" s="53"/>
      <c r="G120" s="54"/>
      <c r="H120" s="54"/>
      <c r="I120" s="54"/>
    </row>
    <row r="121" spans="2:9" ht="15.75" customHeight="1" x14ac:dyDescent="0.2">
      <c r="B121" s="50">
        <f t="shared" si="1"/>
        <v>115</v>
      </c>
      <c r="C121" s="51"/>
      <c r="D121" s="57"/>
      <c r="E121" s="57"/>
      <c r="F121" s="53"/>
      <c r="G121" s="54"/>
      <c r="H121" s="54"/>
      <c r="I121" s="54"/>
    </row>
    <row r="122" spans="2:9" ht="15.75" customHeight="1" x14ac:dyDescent="0.2">
      <c r="B122" s="50">
        <f t="shared" si="1"/>
        <v>116</v>
      </c>
      <c r="C122" s="51"/>
      <c r="D122" s="57"/>
      <c r="E122" s="57"/>
      <c r="F122" s="53"/>
      <c r="G122" s="54"/>
      <c r="H122" s="54"/>
      <c r="I122" s="54"/>
    </row>
    <row r="123" spans="2:9" ht="15.75" customHeight="1" x14ac:dyDescent="0.2">
      <c r="B123" s="50">
        <f t="shared" si="1"/>
        <v>117</v>
      </c>
      <c r="C123" s="51"/>
      <c r="D123" s="57"/>
      <c r="E123" s="57"/>
      <c r="F123" s="53"/>
      <c r="G123" s="54"/>
      <c r="H123" s="54"/>
      <c r="I123" s="54"/>
    </row>
    <row r="124" spans="2:9" ht="15.75" customHeight="1" x14ac:dyDescent="0.2">
      <c r="B124" s="50">
        <f t="shared" si="1"/>
        <v>118</v>
      </c>
      <c r="C124" s="51"/>
      <c r="D124" s="57"/>
      <c r="E124" s="57"/>
      <c r="F124" s="53"/>
      <c r="G124" s="54"/>
      <c r="H124" s="54"/>
      <c r="I124" s="54"/>
    </row>
    <row r="125" spans="2:9" ht="15.75" customHeight="1" x14ac:dyDescent="0.2">
      <c r="B125" s="50">
        <f t="shared" si="1"/>
        <v>119</v>
      </c>
      <c r="C125" s="51"/>
      <c r="D125" s="57"/>
      <c r="E125" s="57"/>
      <c r="F125" s="53"/>
      <c r="G125" s="54"/>
      <c r="H125" s="54"/>
      <c r="I125" s="54"/>
    </row>
    <row r="126" spans="2:9" ht="15.75" customHeight="1" x14ac:dyDescent="0.2">
      <c r="B126" s="50">
        <f t="shared" si="1"/>
        <v>120</v>
      </c>
      <c r="C126" s="51"/>
      <c r="D126" s="57"/>
      <c r="E126" s="57"/>
      <c r="F126" s="53"/>
      <c r="G126" s="54"/>
      <c r="H126" s="54"/>
      <c r="I126" s="54"/>
    </row>
    <row r="127" spans="2:9" ht="15.75" customHeight="1" x14ac:dyDescent="0.2">
      <c r="B127" s="50">
        <f t="shared" si="1"/>
        <v>121</v>
      </c>
      <c r="C127" s="51"/>
      <c r="D127" s="57"/>
      <c r="E127" s="57"/>
      <c r="F127" s="53"/>
      <c r="G127" s="54"/>
      <c r="H127" s="54"/>
      <c r="I127" s="54"/>
    </row>
    <row r="128" spans="2:9" ht="15.75" customHeight="1" x14ac:dyDescent="0.2">
      <c r="B128" s="50">
        <f t="shared" si="1"/>
        <v>122</v>
      </c>
      <c r="C128" s="51"/>
      <c r="D128" s="57"/>
      <c r="E128" s="57"/>
      <c r="F128" s="53"/>
      <c r="G128" s="54"/>
      <c r="H128" s="54"/>
      <c r="I128" s="54"/>
    </row>
    <row r="129" spans="2:12" ht="15.75" customHeight="1" x14ac:dyDescent="0.2">
      <c r="B129" s="50">
        <f t="shared" si="1"/>
        <v>123</v>
      </c>
      <c r="C129" s="51"/>
      <c r="D129" s="57"/>
      <c r="E129" s="57"/>
      <c r="F129" s="53"/>
      <c r="G129" s="54"/>
      <c r="H129" s="54"/>
      <c r="I129" s="54"/>
    </row>
    <row r="130" spans="2:12" ht="15.75" customHeight="1" x14ac:dyDescent="0.2">
      <c r="B130" s="50">
        <f t="shared" si="1"/>
        <v>124</v>
      </c>
      <c r="C130" s="51"/>
      <c r="D130" s="57"/>
      <c r="E130" s="57"/>
      <c r="F130" s="53"/>
      <c r="G130" s="54"/>
      <c r="H130" s="54"/>
      <c r="I130" s="54"/>
    </row>
    <row r="131" spans="2:12" ht="15.75" customHeight="1" x14ac:dyDescent="0.2">
      <c r="B131" s="50">
        <f t="shared" si="1"/>
        <v>125</v>
      </c>
      <c r="C131" s="51"/>
      <c r="D131" s="57"/>
      <c r="E131" s="57"/>
      <c r="F131" s="53"/>
      <c r="G131" s="54"/>
      <c r="H131" s="54"/>
      <c r="I131" s="54"/>
    </row>
    <row r="132" spans="2:12" ht="15.75" customHeight="1" x14ac:dyDescent="0.2">
      <c r="B132" s="50">
        <f t="shared" si="1"/>
        <v>126</v>
      </c>
      <c r="C132" s="51"/>
      <c r="D132" s="57"/>
      <c r="E132" s="57"/>
      <c r="F132" s="53"/>
      <c r="G132" s="54"/>
      <c r="H132" s="54"/>
      <c r="I132" s="54"/>
    </row>
    <row r="133" spans="2:12" ht="15.75" customHeight="1" x14ac:dyDescent="0.2">
      <c r="B133" s="50">
        <f t="shared" si="1"/>
        <v>127</v>
      </c>
      <c r="C133" s="51"/>
      <c r="D133" s="57"/>
      <c r="E133" s="57"/>
      <c r="F133" s="53"/>
      <c r="G133" s="54"/>
      <c r="H133" s="54"/>
      <c r="I133" s="54"/>
    </row>
    <row r="134" spans="2:12" ht="15.75" customHeight="1" x14ac:dyDescent="0.2">
      <c r="B134" s="50">
        <f t="shared" si="1"/>
        <v>128</v>
      </c>
      <c r="C134" s="51"/>
      <c r="D134" s="57"/>
      <c r="E134" s="57"/>
      <c r="F134" s="53"/>
      <c r="G134" s="54"/>
      <c r="H134" s="54"/>
      <c r="I134" s="54"/>
    </row>
    <row r="135" spans="2:12" ht="15.75" customHeight="1" x14ac:dyDescent="0.2">
      <c r="B135" s="50">
        <f t="shared" ref="B135:B198" si="2">B134+1</f>
        <v>129</v>
      </c>
      <c r="C135" s="51"/>
      <c r="D135" s="57"/>
      <c r="E135" s="57"/>
      <c r="F135" s="53"/>
      <c r="G135" s="54"/>
      <c r="H135" s="54"/>
      <c r="I135" s="54"/>
    </row>
    <row r="136" spans="2:12" ht="15.75" customHeight="1" x14ac:dyDescent="0.2">
      <c r="B136" s="50">
        <f t="shared" si="2"/>
        <v>130</v>
      </c>
      <c r="C136" s="51"/>
      <c r="D136" s="57"/>
      <c r="E136" s="57"/>
      <c r="F136" s="53"/>
      <c r="G136" s="54"/>
      <c r="H136" s="54"/>
      <c r="I136" s="54"/>
    </row>
    <row r="137" spans="2:12" ht="15.75" customHeight="1" x14ac:dyDescent="0.2">
      <c r="B137" s="50">
        <f t="shared" si="2"/>
        <v>131</v>
      </c>
      <c r="C137" s="51"/>
      <c r="D137" s="57"/>
      <c r="E137" s="57"/>
      <c r="F137" s="53"/>
      <c r="G137" s="54"/>
      <c r="H137" s="54"/>
      <c r="I137" s="54"/>
    </row>
    <row r="138" spans="2:12" ht="15.75" customHeight="1" x14ac:dyDescent="0.2">
      <c r="B138" s="50">
        <f t="shared" si="2"/>
        <v>132</v>
      </c>
      <c r="C138" s="51"/>
      <c r="D138" s="57"/>
      <c r="E138" s="57"/>
      <c r="F138" s="53"/>
      <c r="G138" s="54"/>
      <c r="H138" s="54"/>
      <c r="I138" s="54"/>
    </row>
    <row r="139" spans="2:12" ht="15.75" customHeight="1" x14ac:dyDescent="0.2">
      <c r="B139" s="50">
        <f t="shared" si="2"/>
        <v>133</v>
      </c>
      <c r="C139" s="51"/>
      <c r="D139" s="57"/>
      <c r="E139" s="57"/>
      <c r="F139" s="53"/>
      <c r="G139" s="54"/>
      <c r="H139" s="54"/>
      <c r="I139" s="54"/>
      <c r="K139" s="84">
        <v>45209</v>
      </c>
      <c r="L139" t="s">
        <v>158</v>
      </c>
    </row>
    <row r="140" spans="2:12" ht="15.75" customHeight="1" x14ac:dyDescent="0.2">
      <c r="B140" s="50">
        <f t="shared" si="2"/>
        <v>134</v>
      </c>
      <c r="C140" s="51"/>
      <c r="D140" s="57"/>
      <c r="E140" s="57"/>
      <c r="F140" s="53"/>
      <c r="G140" s="54"/>
      <c r="H140" s="54"/>
      <c r="I140" s="54"/>
      <c r="K140" t="s">
        <v>161</v>
      </c>
    </row>
    <row r="141" spans="2:12" ht="15.75" customHeight="1" x14ac:dyDescent="0.2">
      <c r="B141" s="50">
        <f t="shared" si="2"/>
        <v>135</v>
      </c>
      <c r="C141" s="51"/>
      <c r="D141" s="57"/>
      <c r="E141" s="57"/>
      <c r="F141" s="53"/>
      <c r="G141" s="54"/>
      <c r="H141" s="54"/>
      <c r="I141" s="54"/>
      <c r="K141" t="s">
        <v>163</v>
      </c>
    </row>
    <row r="142" spans="2:12" ht="15.75" customHeight="1" x14ac:dyDescent="0.2">
      <c r="B142" s="50">
        <f t="shared" si="2"/>
        <v>136</v>
      </c>
      <c r="C142" s="51"/>
      <c r="D142" s="57"/>
      <c r="E142" s="57"/>
      <c r="F142" s="53"/>
      <c r="G142" s="54"/>
      <c r="H142" s="54"/>
      <c r="I142" s="54"/>
      <c r="K142" t="s">
        <v>165</v>
      </c>
    </row>
    <row r="143" spans="2:12" ht="15.75" customHeight="1" x14ac:dyDescent="0.2">
      <c r="B143" s="50">
        <f t="shared" si="2"/>
        <v>137</v>
      </c>
      <c r="C143" s="51"/>
      <c r="D143" s="57"/>
      <c r="E143" s="57"/>
      <c r="F143" s="53"/>
      <c r="G143" s="54"/>
      <c r="H143" s="54"/>
      <c r="I143" s="54"/>
      <c r="K143" t="s">
        <v>168</v>
      </c>
    </row>
    <row r="144" spans="2:12" ht="15.75" customHeight="1" x14ac:dyDescent="0.2">
      <c r="B144" s="50">
        <f t="shared" si="2"/>
        <v>138</v>
      </c>
      <c r="C144" s="51"/>
      <c r="D144" s="57"/>
      <c r="E144" s="57"/>
      <c r="F144" s="53"/>
      <c r="G144" s="54"/>
      <c r="H144" s="54"/>
      <c r="I144" s="54"/>
      <c r="K144" t="s">
        <v>171</v>
      </c>
    </row>
    <row r="145" spans="2:12" ht="15.75" customHeight="1" x14ac:dyDescent="0.2">
      <c r="B145" s="50">
        <f t="shared" si="2"/>
        <v>139</v>
      </c>
      <c r="C145" s="51"/>
      <c r="D145" s="57"/>
      <c r="E145" s="57"/>
      <c r="F145" s="53"/>
      <c r="G145" s="54"/>
      <c r="H145" s="54"/>
      <c r="I145" s="54"/>
      <c r="K145">
        <f>2150+450+1000+1400</f>
        <v>5000</v>
      </c>
      <c r="L145" t="s">
        <v>173</v>
      </c>
    </row>
    <row r="146" spans="2:12" ht="15.75" customHeight="1" x14ac:dyDescent="0.2">
      <c r="B146" s="50">
        <f t="shared" si="2"/>
        <v>140</v>
      </c>
      <c r="C146" s="51"/>
      <c r="D146" s="57"/>
      <c r="E146" s="57"/>
      <c r="F146" s="53"/>
      <c r="G146" s="54"/>
      <c r="H146" s="54"/>
      <c r="I146" s="54"/>
    </row>
    <row r="147" spans="2:12" ht="15.75" customHeight="1" x14ac:dyDescent="0.2">
      <c r="B147" s="50">
        <f t="shared" si="2"/>
        <v>141</v>
      </c>
      <c r="C147" s="51"/>
      <c r="D147" s="57"/>
      <c r="E147" s="57"/>
      <c r="F147" s="53"/>
      <c r="G147" s="54"/>
      <c r="H147" s="54"/>
      <c r="I147" s="54"/>
    </row>
    <row r="148" spans="2:12" ht="15.75" customHeight="1" x14ac:dyDescent="0.2">
      <c r="B148" s="50">
        <f t="shared" si="2"/>
        <v>142</v>
      </c>
      <c r="C148" s="51"/>
      <c r="D148" s="57"/>
      <c r="E148" s="57"/>
      <c r="F148" s="53"/>
      <c r="G148" s="54"/>
      <c r="H148" s="54"/>
      <c r="I148" s="54"/>
    </row>
    <row r="149" spans="2:12" ht="15.75" customHeight="1" x14ac:dyDescent="0.2">
      <c r="B149" s="50">
        <f t="shared" si="2"/>
        <v>143</v>
      </c>
      <c r="C149" s="51"/>
      <c r="D149" s="57"/>
      <c r="E149" s="57"/>
      <c r="F149" s="53"/>
      <c r="G149" s="54"/>
      <c r="H149" s="54"/>
      <c r="I149" s="54"/>
    </row>
    <row r="150" spans="2:12" ht="15.75" customHeight="1" x14ac:dyDescent="0.2">
      <c r="B150" s="50">
        <f t="shared" si="2"/>
        <v>144</v>
      </c>
      <c r="C150" s="51"/>
      <c r="D150" s="57"/>
      <c r="E150" s="57"/>
      <c r="F150" s="53"/>
      <c r="G150" s="54"/>
      <c r="H150" s="54"/>
      <c r="I150" s="54"/>
    </row>
    <row r="151" spans="2:12" ht="15.75" customHeight="1" x14ac:dyDescent="0.2">
      <c r="B151" s="50">
        <f t="shared" si="2"/>
        <v>145</v>
      </c>
      <c r="C151" s="51"/>
      <c r="D151" s="57"/>
      <c r="E151" s="57"/>
      <c r="F151" s="53"/>
      <c r="G151" s="54"/>
      <c r="H151" s="54"/>
      <c r="I151" s="54"/>
    </row>
    <row r="152" spans="2:12" ht="15.75" customHeight="1" x14ac:dyDescent="0.2">
      <c r="B152" s="50">
        <f t="shared" si="2"/>
        <v>146</v>
      </c>
      <c r="C152" s="51"/>
      <c r="D152" s="57"/>
      <c r="E152" s="57"/>
      <c r="F152" s="53"/>
      <c r="G152" s="54"/>
      <c r="H152" s="54"/>
      <c r="I152" s="54"/>
    </row>
    <row r="153" spans="2:12" ht="15.75" customHeight="1" x14ac:dyDescent="0.2">
      <c r="B153" s="50">
        <f t="shared" si="2"/>
        <v>147</v>
      </c>
      <c r="C153" s="51"/>
      <c r="D153" s="57"/>
      <c r="E153" s="57"/>
      <c r="F153" s="53"/>
      <c r="G153" s="54"/>
      <c r="H153" s="54"/>
      <c r="I153" s="54"/>
    </row>
    <row r="154" spans="2:12" ht="15.75" customHeight="1" x14ac:dyDescent="0.2">
      <c r="B154" s="50">
        <f t="shared" si="2"/>
        <v>148</v>
      </c>
      <c r="C154" s="51"/>
      <c r="D154" s="57"/>
      <c r="E154" s="57"/>
      <c r="F154" s="53"/>
      <c r="G154" s="54"/>
      <c r="H154" s="54"/>
      <c r="I154" s="54"/>
    </row>
    <row r="155" spans="2:12" ht="15.75" customHeight="1" x14ac:dyDescent="0.2">
      <c r="B155" s="50">
        <f t="shared" si="2"/>
        <v>149</v>
      </c>
      <c r="C155" s="51"/>
      <c r="D155" s="57"/>
      <c r="E155" s="57"/>
      <c r="F155" s="53"/>
      <c r="G155" s="54"/>
      <c r="H155" s="54"/>
      <c r="I155" s="54"/>
    </row>
    <row r="156" spans="2:12" ht="15.75" customHeight="1" x14ac:dyDescent="0.2">
      <c r="B156" s="50">
        <f t="shared" si="2"/>
        <v>150</v>
      </c>
      <c r="C156" s="51"/>
      <c r="D156" s="57"/>
      <c r="E156" s="57"/>
      <c r="F156" s="53"/>
      <c r="G156" s="54"/>
      <c r="H156" s="54"/>
      <c r="I156" s="54"/>
    </row>
    <row r="157" spans="2:12" ht="15.75" customHeight="1" x14ac:dyDescent="0.2">
      <c r="B157" s="50">
        <f t="shared" si="2"/>
        <v>151</v>
      </c>
      <c r="C157" s="51"/>
      <c r="D157" s="57"/>
      <c r="E157" s="57"/>
      <c r="F157" s="53"/>
      <c r="G157" s="54"/>
      <c r="H157" s="54"/>
      <c r="I157" s="54"/>
    </row>
    <row r="158" spans="2:12" ht="15.75" customHeight="1" x14ac:dyDescent="0.2">
      <c r="B158" s="50">
        <f t="shared" si="2"/>
        <v>152</v>
      </c>
      <c r="C158" s="51"/>
      <c r="D158" s="57"/>
      <c r="E158" s="57"/>
      <c r="F158" s="53"/>
      <c r="G158" s="54"/>
      <c r="H158" s="54"/>
      <c r="I158" s="54"/>
    </row>
    <row r="159" spans="2:12" ht="15.75" customHeight="1" x14ac:dyDescent="0.2">
      <c r="B159" s="50">
        <f t="shared" si="2"/>
        <v>153</v>
      </c>
      <c r="C159" s="51"/>
      <c r="D159" s="57"/>
      <c r="E159" s="57"/>
      <c r="F159" s="53"/>
      <c r="G159" s="54"/>
      <c r="H159" s="54"/>
      <c r="I159" s="54"/>
    </row>
    <row r="160" spans="2:12" ht="15.75" customHeight="1" x14ac:dyDescent="0.2">
      <c r="B160" s="50">
        <f t="shared" si="2"/>
        <v>154</v>
      </c>
      <c r="C160" s="51"/>
      <c r="D160" s="57"/>
      <c r="E160" s="57"/>
      <c r="F160" s="53"/>
      <c r="G160" s="54"/>
      <c r="H160" s="54"/>
      <c r="I160" s="54"/>
    </row>
    <row r="161" spans="2:9" ht="15.75" customHeight="1" x14ac:dyDescent="0.2">
      <c r="B161" s="50">
        <f t="shared" si="2"/>
        <v>155</v>
      </c>
      <c r="C161" s="51"/>
      <c r="D161" s="57"/>
      <c r="E161" s="57"/>
      <c r="F161" s="53"/>
      <c r="G161" s="54"/>
      <c r="H161" s="54"/>
      <c r="I161" s="54"/>
    </row>
    <row r="162" spans="2:9" ht="15.75" customHeight="1" x14ac:dyDescent="0.2">
      <c r="B162" s="50">
        <f t="shared" si="2"/>
        <v>156</v>
      </c>
      <c r="C162" s="51"/>
      <c r="D162" s="57"/>
      <c r="E162" s="57"/>
      <c r="F162" s="53"/>
      <c r="G162" s="54"/>
      <c r="H162" s="54"/>
      <c r="I162" s="54"/>
    </row>
    <row r="163" spans="2:9" ht="15.75" customHeight="1" x14ac:dyDescent="0.2">
      <c r="B163" s="50">
        <f t="shared" si="2"/>
        <v>157</v>
      </c>
      <c r="C163" s="51"/>
      <c r="D163" s="57"/>
      <c r="E163" s="57"/>
      <c r="F163" s="53"/>
      <c r="G163" s="54"/>
      <c r="H163" s="54"/>
      <c r="I163" s="54"/>
    </row>
    <row r="164" spans="2:9" ht="15.75" customHeight="1" x14ac:dyDescent="0.2">
      <c r="B164" s="50">
        <f t="shared" si="2"/>
        <v>158</v>
      </c>
      <c r="C164" s="51"/>
      <c r="D164" s="57"/>
      <c r="E164" s="57"/>
      <c r="F164" s="53"/>
      <c r="G164" s="54"/>
      <c r="H164" s="54"/>
      <c r="I164" s="54"/>
    </row>
    <row r="165" spans="2:9" ht="15.75" customHeight="1" x14ac:dyDescent="0.2">
      <c r="B165" s="50">
        <f t="shared" si="2"/>
        <v>159</v>
      </c>
      <c r="C165" s="51"/>
      <c r="D165" s="57"/>
      <c r="E165" s="57"/>
      <c r="F165" s="53"/>
      <c r="G165" s="54"/>
      <c r="H165" s="54"/>
      <c r="I165" s="54"/>
    </row>
    <row r="166" spans="2:9" ht="15.75" customHeight="1" x14ac:dyDescent="0.2">
      <c r="B166" s="50">
        <f t="shared" si="2"/>
        <v>160</v>
      </c>
      <c r="C166" s="51"/>
      <c r="D166" s="57"/>
      <c r="E166" s="57"/>
      <c r="F166" s="53"/>
      <c r="G166" s="54"/>
      <c r="H166" s="54"/>
      <c r="I166" s="54"/>
    </row>
    <row r="167" spans="2:9" ht="15.75" customHeight="1" x14ac:dyDescent="0.2">
      <c r="B167" s="50">
        <f t="shared" si="2"/>
        <v>161</v>
      </c>
      <c r="C167" s="51"/>
      <c r="D167" s="57"/>
      <c r="E167" s="57"/>
      <c r="F167" s="53"/>
      <c r="G167" s="54"/>
      <c r="H167" s="54"/>
      <c r="I167" s="54"/>
    </row>
    <row r="168" spans="2:9" ht="15.75" customHeight="1" x14ac:dyDescent="0.2">
      <c r="B168" s="50">
        <f t="shared" si="2"/>
        <v>162</v>
      </c>
      <c r="C168" s="51"/>
      <c r="D168" s="57"/>
      <c r="E168" s="57"/>
      <c r="F168" s="53"/>
      <c r="G168" s="54"/>
      <c r="H168" s="54"/>
      <c r="I168" s="54"/>
    </row>
    <row r="169" spans="2:9" ht="15.75" customHeight="1" x14ac:dyDescent="0.2">
      <c r="B169" s="50">
        <f t="shared" si="2"/>
        <v>163</v>
      </c>
      <c r="C169" s="51"/>
      <c r="D169" s="57"/>
      <c r="E169" s="57"/>
      <c r="F169" s="53"/>
      <c r="G169" s="54"/>
      <c r="H169" s="54"/>
      <c r="I169" s="54"/>
    </row>
    <row r="170" spans="2:9" ht="15.75" customHeight="1" x14ac:dyDescent="0.2">
      <c r="B170" s="50">
        <f t="shared" si="2"/>
        <v>164</v>
      </c>
      <c r="C170" s="51"/>
      <c r="D170" s="57"/>
      <c r="E170" s="57"/>
      <c r="F170" s="53"/>
      <c r="G170" s="54"/>
      <c r="H170" s="54"/>
      <c r="I170" s="54"/>
    </row>
    <row r="171" spans="2:9" ht="15.75" customHeight="1" x14ac:dyDescent="0.2">
      <c r="B171" s="50">
        <f t="shared" si="2"/>
        <v>165</v>
      </c>
      <c r="C171" s="51"/>
      <c r="D171" s="57"/>
      <c r="E171" s="57"/>
      <c r="F171" s="53"/>
      <c r="G171" s="54"/>
      <c r="H171" s="54"/>
      <c r="I171" s="54"/>
    </row>
    <row r="172" spans="2:9" ht="15.75" customHeight="1" x14ac:dyDescent="0.2">
      <c r="B172" s="50">
        <f t="shared" si="2"/>
        <v>166</v>
      </c>
      <c r="C172" s="51"/>
      <c r="D172" s="57"/>
      <c r="E172" s="57"/>
      <c r="F172" s="53"/>
      <c r="G172" s="54"/>
      <c r="H172" s="54"/>
      <c r="I172" s="54"/>
    </row>
    <row r="173" spans="2:9" ht="15.75" customHeight="1" x14ac:dyDescent="0.2">
      <c r="B173" s="50">
        <f t="shared" si="2"/>
        <v>167</v>
      </c>
      <c r="C173" s="51"/>
      <c r="D173" s="57"/>
      <c r="E173" s="57"/>
      <c r="F173" s="53"/>
      <c r="G173" s="54"/>
      <c r="H173" s="54"/>
      <c r="I173" s="54"/>
    </row>
    <row r="174" spans="2:9" ht="15.75" customHeight="1" x14ac:dyDescent="0.2">
      <c r="B174" s="50">
        <f t="shared" si="2"/>
        <v>168</v>
      </c>
      <c r="C174" s="51"/>
      <c r="D174" s="57"/>
      <c r="E174" s="57"/>
      <c r="F174" s="53"/>
      <c r="G174" s="54"/>
      <c r="H174" s="54"/>
      <c r="I174" s="54"/>
    </row>
    <row r="175" spans="2:9" ht="15.75" customHeight="1" x14ac:dyDescent="0.2">
      <c r="B175" s="50">
        <f t="shared" si="2"/>
        <v>169</v>
      </c>
      <c r="C175" s="51"/>
      <c r="D175" s="57"/>
      <c r="E175" s="57"/>
      <c r="F175" s="53"/>
      <c r="G175" s="54"/>
      <c r="H175" s="54"/>
      <c r="I175" s="54"/>
    </row>
    <row r="176" spans="2:9" ht="15.75" customHeight="1" x14ac:dyDescent="0.2">
      <c r="B176" s="50">
        <f t="shared" si="2"/>
        <v>170</v>
      </c>
      <c r="C176" s="51"/>
      <c r="D176" s="57"/>
      <c r="E176" s="57"/>
      <c r="F176" s="53"/>
      <c r="G176" s="54"/>
      <c r="H176" s="54"/>
      <c r="I176" s="54"/>
    </row>
    <row r="177" spans="2:9" ht="15.75" customHeight="1" x14ac:dyDescent="0.2">
      <c r="B177" s="50">
        <f t="shared" si="2"/>
        <v>171</v>
      </c>
      <c r="C177" s="51"/>
      <c r="D177" s="57"/>
      <c r="E177" s="57"/>
      <c r="F177" s="53"/>
      <c r="G177" s="54"/>
      <c r="H177" s="54"/>
      <c r="I177" s="54"/>
    </row>
    <row r="178" spans="2:9" ht="15.75" customHeight="1" x14ac:dyDescent="0.2">
      <c r="B178" s="50">
        <f t="shared" si="2"/>
        <v>172</v>
      </c>
      <c r="C178" s="51"/>
      <c r="D178" s="57"/>
      <c r="E178" s="57"/>
      <c r="F178" s="53"/>
      <c r="G178" s="54"/>
      <c r="H178" s="54"/>
      <c r="I178" s="54"/>
    </row>
    <row r="179" spans="2:9" ht="15.75" customHeight="1" x14ac:dyDescent="0.2">
      <c r="B179" s="50">
        <f t="shared" si="2"/>
        <v>173</v>
      </c>
      <c r="C179" s="51"/>
      <c r="D179" s="57"/>
      <c r="E179" s="57"/>
      <c r="F179" s="53"/>
      <c r="G179" s="54"/>
      <c r="H179" s="54"/>
      <c r="I179" s="54"/>
    </row>
    <row r="180" spans="2:9" ht="15.75" customHeight="1" x14ac:dyDescent="0.2">
      <c r="B180" s="50">
        <f t="shared" si="2"/>
        <v>174</v>
      </c>
      <c r="C180" s="51"/>
      <c r="D180" s="57"/>
      <c r="E180" s="57"/>
      <c r="F180" s="53"/>
      <c r="G180" s="54"/>
      <c r="H180" s="54"/>
      <c r="I180" s="54"/>
    </row>
    <row r="181" spans="2:9" ht="15.75" customHeight="1" x14ac:dyDescent="0.2">
      <c r="B181" s="50">
        <f t="shared" si="2"/>
        <v>175</v>
      </c>
      <c r="C181" s="51"/>
      <c r="D181" s="57"/>
      <c r="E181" s="57"/>
      <c r="F181" s="53"/>
      <c r="G181" s="54"/>
      <c r="H181" s="54"/>
      <c r="I181" s="54"/>
    </row>
    <row r="182" spans="2:9" ht="15.75" customHeight="1" x14ac:dyDescent="0.2">
      <c r="B182" s="50">
        <f t="shared" si="2"/>
        <v>176</v>
      </c>
      <c r="C182" s="51"/>
      <c r="D182" s="57"/>
      <c r="E182" s="57"/>
      <c r="F182" s="53"/>
      <c r="G182" s="54"/>
      <c r="H182" s="54"/>
      <c r="I182" s="54"/>
    </row>
    <row r="183" spans="2:9" ht="15.75" customHeight="1" x14ac:dyDescent="0.2">
      <c r="B183" s="50">
        <f t="shared" si="2"/>
        <v>177</v>
      </c>
      <c r="C183" s="51"/>
      <c r="D183" s="57"/>
      <c r="E183" s="57"/>
      <c r="F183" s="53"/>
      <c r="G183" s="54"/>
      <c r="H183" s="54"/>
      <c r="I183" s="54"/>
    </row>
    <row r="184" spans="2:9" ht="15.75" customHeight="1" x14ac:dyDescent="0.2">
      <c r="B184" s="50">
        <f t="shared" si="2"/>
        <v>178</v>
      </c>
      <c r="C184" s="51"/>
      <c r="D184" s="57"/>
      <c r="E184" s="57"/>
      <c r="F184" s="53"/>
      <c r="G184" s="54"/>
      <c r="H184" s="54"/>
      <c r="I184" s="54"/>
    </row>
    <row r="185" spans="2:9" ht="15.75" customHeight="1" x14ac:dyDescent="0.2">
      <c r="B185" s="50">
        <f t="shared" si="2"/>
        <v>179</v>
      </c>
      <c r="C185" s="51"/>
      <c r="D185" s="57"/>
      <c r="E185" s="57"/>
      <c r="F185" s="53"/>
      <c r="G185" s="54"/>
      <c r="H185" s="54"/>
      <c r="I185" s="54"/>
    </row>
    <row r="186" spans="2:9" ht="15.75" customHeight="1" x14ac:dyDescent="0.2">
      <c r="B186" s="50">
        <f t="shared" si="2"/>
        <v>180</v>
      </c>
      <c r="C186" s="51"/>
      <c r="D186" s="57"/>
      <c r="E186" s="57"/>
      <c r="F186" s="53"/>
      <c r="G186" s="54"/>
      <c r="H186" s="54"/>
      <c r="I186" s="54"/>
    </row>
    <row r="187" spans="2:9" ht="15.75" customHeight="1" x14ac:dyDescent="0.2">
      <c r="B187" s="50">
        <f t="shared" si="2"/>
        <v>181</v>
      </c>
      <c r="C187" s="51"/>
      <c r="D187" s="57"/>
      <c r="E187" s="57"/>
      <c r="F187" s="53"/>
      <c r="G187" s="54"/>
      <c r="H187" s="54"/>
      <c r="I187" s="54"/>
    </row>
    <row r="188" spans="2:9" ht="15.75" customHeight="1" x14ac:dyDescent="0.2">
      <c r="B188" s="50">
        <f t="shared" si="2"/>
        <v>182</v>
      </c>
      <c r="C188" s="51"/>
      <c r="D188" s="57"/>
      <c r="E188" s="57"/>
      <c r="F188" s="53"/>
      <c r="G188" s="54"/>
      <c r="H188" s="54"/>
      <c r="I188" s="54"/>
    </row>
    <row r="189" spans="2:9" ht="15.75" customHeight="1" x14ac:dyDescent="0.2">
      <c r="B189" s="50">
        <f t="shared" si="2"/>
        <v>183</v>
      </c>
      <c r="C189" s="51"/>
      <c r="D189" s="57"/>
      <c r="E189" s="57"/>
      <c r="F189" s="53"/>
      <c r="G189" s="54"/>
      <c r="H189" s="54"/>
      <c r="I189" s="54"/>
    </row>
    <row r="190" spans="2:9" ht="15.75" customHeight="1" x14ac:dyDescent="0.2">
      <c r="B190" s="50">
        <f t="shared" si="2"/>
        <v>184</v>
      </c>
      <c r="C190" s="51"/>
      <c r="D190" s="57"/>
      <c r="E190" s="57"/>
      <c r="F190" s="53"/>
      <c r="G190" s="54"/>
      <c r="H190" s="54"/>
      <c r="I190" s="54"/>
    </row>
    <row r="191" spans="2:9" ht="15.75" customHeight="1" x14ac:dyDescent="0.2">
      <c r="B191" s="50">
        <f t="shared" si="2"/>
        <v>185</v>
      </c>
      <c r="C191" s="51"/>
      <c r="D191" s="57"/>
      <c r="E191" s="57"/>
      <c r="F191" s="53"/>
      <c r="G191" s="54"/>
      <c r="H191" s="54"/>
      <c r="I191" s="54"/>
    </row>
    <row r="192" spans="2:9" ht="15.75" customHeight="1" x14ac:dyDescent="0.2">
      <c r="B192" s="50">
        <f t="shared" si="2"/>
        <v>186</v>
      </c>
      <c r="C192" s="51"/>
      <c r="D192" s="57"/>
      <c r="E192" s="57"/>
      <c r="F192" s="53"/>
      <c r="G192" s="54"/>
      <c r="H192" s="54"/>
      <c r="I192" s="54"/>
    </row>
    <row r="193" spans="2:9" ht="15.75" customHeight="1" x14ac:dyDescent="0.2">
      <c r="B193" s="50">
        <f t="shared" si="2"/>
        <v>187</v>
      </c>
      <c r="C193" s="51"/>
      <c r="D193" s="57"/>
      <c r="E193" s="57"/>
      <c r="F193" s="53"/>
      <c r="G193" s="54"/>
      <c r="H193" s="54"/>
      <c r="I193" s="54"/>
    </row>
    <row r="194" spans="2:9" ht="15.75" customHeight="1" x14ac:dyDescent="0.2">
      <c r="B194" s="50">
        <f t="shared" si="2"/>
        <v>188</v>
      </c>
      <c r="C194" s="51"/>
      <c r="D194" s="57"/>
      <c r="E194" s="57"/>
      <c r="F194" s="53"/>
      <c r="G194" s="54"/>
      <c r="H194" s="54"/>
      <c r="I194" s="54"/>
    </row>
    <row r="195" spans="2:9" ht="15.75" customHeight="1" x14ac:dyDescent="0.2">
      <c r="B195" s="50">
        <f t="shared" si="2"/>
        <v>189</v>
      </c>
      <c r="C195" s="51"/>
      <c r="D195" s="57"/>
      <c r="E195" s="57"/>
      <c r="F195" s="53"/>
      <c r="G195" s="54"/>
      <c r="H195" s="54"/>
      <c r="I195" s="54"/>
    </row>
    <row r="196" spans="2:9" ht="15.75" customHeight="1" x14ac:dyDescent="0.2">
      <c r="B196" s="50">
        <f t="shared" si="2"/>
        <v>190</v>
      </c>
      <c r="C196" s="51"/>
      <c r="D196" s="57"/>
      <c r="E196" s="57"/>
      <c r="F196" s="53"/>
      <c r="G196" s="54"/>
      <c r="H196" s="54"/>
      <c r="I196" s="54"/>
    </row>
    <row r="197" spans="2:9" ht="15.75" customHeight="1" x14ac:dyDescent="0.2">
      <c r="B197" s="50">
        <f t="shared" si="2"/>
        <v>191</v>
      </c>
      <c r="C197" s="51"/>
      <c r="D197" s="57"/>
      <c r="E197" s="57"/>
      <c r="F197" s="53"/>
      <c r="G197" s="54"/>
      <c r="H197" s="54"/>
      <c r="I197" s="54"/>
    </row>
    <row r="198" spans="2:9" ht="15.75" customHeight="1" x14ac:dyDescent="0.2">
      <c r="B198" s="50">
        <f t="shared" si="2"/>
        <v>192</v>
      </c>
      <c r="C198" s="51"/>
      <c r="D198" s="57"/>
      <c r="E198" s="57"/>
      <c r="F198" s="53"/>
      <c r="G198" s="54"/>
      <c r="H198" s="54"/>
      <c r="I198" s="54"/>
    </row>
    <row r="199" spans="2:9" ht="15.75" customHeight="1" x14ac:dyDescent="0.2">
      <c r="B199" s="50">
        <f t="shared" ref="B199:B262" si="3">B198+1</f>
        <v>193</v>
      </c>
      <c r="C199" s="51"/>
      <c r="D199" s="57"/>
      <c r="E199" s="57"/>
      <c r="F199" s="53"/>
      <c r="G199" s="54"/>
      <c r="H199" s="54"/>
      <c r="I199" s="54"/>
    </row>
    <row r="200" spans="2:9" ht="15.75" customHeight="1" x14ac:dyDescent="0.2">
      <c r="B200" s="50">
        <f t="shared" si="3"/>
        <v>194</v>
      </c>
      <c r="C200" s="51"/>
      <c r="D200" s="57"/>
      <c r="E200" s="57"/>
      <c r="F200" s="53"/>
      <c r="G200" s="54"/>
      <c r="H200" s="54"/>
      <c r="I200" s="54"/>
    </row>
    <row r="201" spans="2:9" ht="15.75" customHeight="1" x14ac:dyDescent="0.2">
      <c r="B201" s="50">
        <f t="shared" si="3"/>
        <v>195</v>
      </c>
      <c r="C201" s="51"/>
      <c r="D201" s="57"/>
      <c r="E201" s="57"/>
      <c r="F201" s="53"/>
      <c r="G201" s="54"/>
      <c r="H201" s="54"/>
      <c r="I201" s="54"/>
    </row>
    <row r="202" spans="2:9" ht="15.75" customHeight="1" x14ac:dyDescent="0.2">
      <c r="B202" s="50">
        <f t="shared" si="3"/>
        <v>196</v>
      </c>
      <c r="C202" s="51"/>
      <c r="D202" s="57"/>
      <c r="E202" s="57"/>
      <c r="F202" s="53"/>
      <c r="G202" s="54"/>
      <c r="H202" s="54"/>
      <c r="I202" s="54"/>
    </row>
    <row r="203" spans="2:9" ht="15.75" customHeight="1" x14ac:dyDescent="0.2">
      <c r="B203" s="50">
        <f t="shared" si="3"/>
        <v>197</v>
      </c>
      <c r="C203" s="51"/>
      <c r="D203" s="57"/>
      <c r="E203" s="57"/>
      <c r="F203" s="53"/>
      <c r="G203" s="54"/>
      <c r="H203" s="54"/>
      <c r="I203" s="54"/>
    </row>
    <row r="204" spans="2:9" ht="15.75" customHeight="1" x14ac:dyDescent="0.2">
      <c r="B204" s="50">
        <f t="shared" si="3"/>
        <v>198</v>
      </c>
      <c r="C204" s="51"/>
      <c r="D204" s="57"/>
      <c r="E204" s="57"/>
      <c r="F204" s="53"/>
      <c r="G204" s="54"/>
      <c r="H204" s="54"/>
      <c r="I204" s="54"/>
    </row>
    <row r="205" spans="2:9" ht="15.75" customHeight="1" x14ac:dyDescent="0.2">
      <c r="B205" s="50">
        <f t="shared" si="3"/>
        <v>199</v>
      </c>
      <c r="C205" s="51"/>
      <c r="D205" s="57"/>
      <c r="E205" s="57"/>
      <c r="F205" s="53"/>
      <c r="G205" s="54"/>
      <c r="H205" s="54"/>
      <c r="I205" s="54"/>
    </row>
    <row r="206" spans="2:9" ht="15.75" customHeight="1" x14ac:dyDescent="0.2">
      <c r="B206" s="50">
        <f t="shared" si="3"/>
        <v>200</v>
      </c>
      <c r="C206" s="51"/>
      <c r="D206" s="57"/>
      <c r="E206" s="57"/>
      <c r="F206" s="53"/>
      <c r="G206" s="54"/>
      <c r="H206" s="54"/>
      <c r="I206" s="54"/>
    </row>
    <row r="207" spans="2:9" ht="15.75" customHeight="1" x14ac:dyDescent="0.2">
      <c r="B207" s="50">
        <f t="shared" si="3"/>
        <v>201</v>
      </c>
      <c r="C207" s="51"/>
      <c r="D207" s="57"/>
      <c r="E207" s="57"/>
      <c r="F207" s="53"/>
      <c r="G207" s="54"/>
      <c r="H207" s="54"/>
      <c r="I207" s="54"/>
    </row>
    <row r="208" spans="2:9" ht="15.75" customHeight="1" x14ac:dyDescent="0.2">
      <c r="B208" s="50">
        <f t="shared" si="3"/>
        <v>202</v>
      </c>
      <c r="C208" s="51"/>
      <c r="D208" s="57"/>
      <c r="E208" s="57"/>
      <c r="F208" s="53"/>
      <c r="G208" s="54"/>
      <c r="H208" s="54"/>
      <c r="I208" s="54"/>
    </row>
    <row r="209" spans="2:9" ht="15.75" customHeight="1" x14ac:dyDescent="0.2">
      <c r="B209" s="50">
        <f t="shared" si="3"/>
        <v>203</v>
      </c>
      <c r="C209" s="51"/>
      <c r="D209" s="57"/>
      <c r="E209" s="57"/>
      <c r="F209" s="53"/>
      <c r="G209" s="54"/>
      <c r="H209" s="54"/>
      <c r="I209" s="54"/>
    </row>
    <row r="210" spans="2:9" ht="15.75" customHeight="1" x14ac:dyDescent="0.2">
      <c r="B210" s="50">
        <f t="shared" si="3"/>
        <v>204</v>
      </c>
      <c r="C210" s="51"/>
      <c r="D210" s="57"/>
      <c r="E210" s="57"/>
      <c r="F210" s="53"/>
      <c r="G210" s="54"/>
      <c r="H210" s="54"/>
      <c r="I210" s="54"/>
    </row>
    <row r="211" spans="2:9" ht="15.75" customHeight="1" x14ac:dyDescent="0.2">
      <c r="B211" s="50">
        <f t="shared" si="3"/>
        <v>205</v>
      </c>
      <c r="C211" s="51"/>
      <c r="D211" s="57"/>
      <c r="E211" s="57"/>
      <c r="F211" s="53"/>
      <c r="G211" s="54"/>
      <c r="H211" s="54"/>
      <c r="I211" s="54"/>
    </row>
    <row r="212" spans="2:9" ht="15.75" customHeight="1" x14ac:dyDescent="0.2">
      <c r="B212" s="50">
        <f t="shared" si="3"/>
        <v>206</v>
      </c>
      <c r="C212" s="51"/>
      <c r="D212" s="57"/>
      <c r="E212" s="57"/>
      <c r="F212" s="53"/>
      <c r="G212" s="54"/>
      <c r="H212" s="54"/>
      <c r="I212" s="54"/>
    </row>
    <row r="213" spans="2:9" ht="15.75" customHeight="1" x14ac:dyDescent="0.2">
      <c r="B213" s="50">
        <f t="shared" si="3"/>
        <v>207</v>
      </c>
      <c r="C213" s="51"/>
      <c r="D213" s="57"/>
      <c r="E213" s="57"/>
      <c r="F213" s="53"/>
      <c r="G213" s="54"/>
      <c r="H213" s="54"/>
      <c r="I213" s="54"/>
    </row>
    <row r="214" spans="2:9" ht="15.75" customHeight="1" x14ac:dyDescent="0.2">
      <c r="B214" s="50">
        <f t="shared" si="3"/>
        <v>208</v>
      </c>
      <c r="C214" s="51"/>
      <c r="D214" s="57"/>
      <c r="E214" s="57"/>
      <c r="F214" s="53"/>
      <c r="G214" s="54"/>
      <c r="H214" s="54"/>
      <c r="I214" s="54"/>
    </row>
    <row r="215" spans="2:9" ht="15.75" customHeight="1" x14ac:dyDescent="0.2">
      <c r="B215" s="50">
        <f t="shared" si="3"/>
        <v>209</v>
      </c>
      <c r="C215" s="51"/>
      <c r="D215" s="57"/>
      <c r="E215" s="57"/>
      <c r="F215" s="53"/>
      <c r="G215" s="54"/>
      <c r="H215" s="54"/>
      <c r="I215" s="54"/>
    </row>
    <row r="216" spans="2:9" ht="15.75" customHeight="1" x14ac:dyDescent="0.2">
      <c r="B216" s="50">
        <f t="shared" si="3"/>
        <v>210</v>
      </c>
      <c r="C216" s="51"/>
      <c r="D216" s="57"/>
      <c r="E216" s="57"/>
      <c r="F216" s="53"/>
      <c r="G216" s="54"/>
      <c r="H216" s="54"/>
      <c r="I216" s="54"/>
    </row>
    <row r="217" spans="2:9" ht="15.75" customHeight="1" x14ac:dyDescent="0.2">
      <c r="B217" s="50">
        <f t="shared" si="3"/>
        <v>211</v>
      </c>
      <c r="C217" s="51"/>
      <c r="D217" s="57"/>
      <c r="E217" s="57"/>
      <c r="F217" s="53"/>
      <c r="G217" s="54"/>
      <c r="H217" s="54"/>
      <c r="I217" s="54"/>
    </row>
    <row r="218" spans="2:9" ht="15.75" customHeight="1" x14ac:dyDescent="0.2">
      <c r="B218" s="50">
        <f t="shared" si="3"/>
        <v>212</v>
      </c>
      <c r="C218" s="51"/>
      <c r="D218" s="57"/>
      <c r="E218" s="57"/>
      <c r="F218" s="53"/>
      <c r="G218" s="54"/>
      <c r="H218" s="54"/>
      <c r="I218" s="54"/>
    </row>
    <row r="219" spans="2:9" ht="15.75" customHeight="1" x14ac:dyDescent="0.2">
      <c r="B219" s="50">
        <f t="shared" si="3"/>
        <v>213</v>
      </c>
      <c r="C219" s="51"/>
      <c r="D219" s="57"/>
      <c r="E219" s="57"/>
      <c r="F219" s="53"/>
      <c r="G219" s="54"/>
      <c r="H219" s="54"/>
      <c r="I219" s="54"/>
    </row>
    <row r="220" spans="2:9" ht="15.75" customHeight="1" x14ac:dyDescent="0.2">
      <c r="B220" s="50">
        <f t="shared" si="3"/>
        <v>214</v>
      </c>
      <c r="C220" s="51"/>
      <c r="D220" s="57"/>
      <c r="E220" s="57"/>
      <c r="F220" s="53"/>
      <c r="G220" s="54"/>
      <c r="H220" s="54"/>
      <c r="I220" s="54"/>
    </row>
    <row r="221" spans="2:9" ht="15.75" customHeight="1" x14ac:dyDescent="0.2">
      <c r="B221" s="50">
        <f t="shared" si="3"/>
        <v>215</v>
      </c>
      <c r="C221" s="51"/>
      <c r="D221" s="57"/>
      <c r="E221" s="57"/>
      <c r="F221" s="53"/>
      <c r="G221" s="54"/>
      <c r="H221" s="54"/>
      <c r="I221" s="54"/>
    </row>
    <row r="222" spans="2:9" ht="15.75" customHeight="1" x14ac:dyDescent="0.2">
      <c r="B222" s="50">
        <f t="shared" si="3"/>
        <v>216</v>
      </c>
      <c r="C222" s="51"/>
      <c r="D222" s="57"/>
      <c r="E222" s="57"/>
      <c r="F222" s="53"/>
      <c r="G222" s="54"/>
      <c r="H222" s="54"/>
      <c r="I222" s="54"/>
    </row>
    <row r="223" spans="2:9" ht="15.75" customHeight="1" x14ac:dyDescent="0.2">
      <c r="B223" s="50">
        <f t="shared" si="3"/>
        <v>217</v>
      </c>
      <c r="C223" s="51"/>
      <c r="D223" s="57"/>
      <c r="E223" s="57"/>
      <c r="F223" s="53"/>
      <c r="G223" s="54"/>
      <c r="H223" s="54"/>
      <c r="I223" s="54"/>
    </row>
    <row r="224" spans="2:9" ht="15.75" customHeight="1" x14ac:dyDescent="0.2">
      <c r="B224" s="50">
        <f t="shared" si="3"/>
        <v>218</v>
      </c>
      <c r="C224" s="51"/>
      <c r="D224" s="57"/>
      <c r="E224" s="57"/>
      <c r="F224" s="53"/>
      <c r="G224" s="54"/>
      <c r="H224" s="54"/>
      <c r="I224" s="54"/>
    </row>
    <row r="225" spans="2:9" ht="15.75" customHeight="1" x14ac:dyDescent="0.2">
      <c r="B225" s="50">
        <f t="shared" si="3"/>
        <v>219</v>
      </c>
      <c r="C225" s="51"/>
      <c r="D225" s="57"/>
      <c r="E225" s="57"/>
      <c r="F225" s="53"/>
      <c r="G225" s="54"/>
      <c r="H225" s="54"/>
      <c r="I225" s="54"/>
    </row>
    <row r="226" spans="2:9" ht="15.75" customHeight="1" x14ac:dyDescent="0.2">
      <c r="B226" s="50">
        <f t="shared" si="3"/>
        <v>220</v>
      </c>
      <c r="C226" s="51"/>
      <c r="D226" s="57"/>
      <c r="E226" s="57"/>
      <c r="F226" s="53"/>
      <c r="G226" s="54"/>
      <c r="H226" s="54"/>
      <c r="I226" s="54"/>
    </row>
    <row r="227" spans="2:9" ht="15.75" customHeight="1" x14ac:dyDescent="0.2">
      <c r="B227" s="50">
        <f t="shared" si="3"/>
        <v>221</v>
      </c>
      <c r="C227" s="51"/>
      <c r="D227" s="57"/>
      <c r="E227" s="57"/>
      <c r="F227" s="53"/>
      <c r="G227" s="54"/>
      <c r="H227" s="54"/>
      <c r="I227" s="54"/>
    </row>
    <row r="228" spans="2:9" ht="15.75" customHeight="1" x14ac:dyDescent="0.2">
      <c r="B228" s="50">
        <f t="shared" si="3"/>
        <v>222</v>
      </c>
      <c r="C228" s="51"/>
      <c r="D228" s="57"/>
      <c r="E228" s="57"/>
      <c r="F228" s="53"/>
      <c r="G228" s="54"/>
      <c r="H228" s="54"/>
      <c r="I228" s="54"/>
    </row>
    <row r="229" spans="2:9" ht="15.75" customHeight="1" x14ac:dyDescent="0.2">
      <c r="B229" s="50">
        <f t="shared" si="3"/>
        <v>223</v>
      </c>
      <c r="C229" s="51"/>
      <c r="D229" s="57"/>
      <c r="E229" s="57"/>
      <c r="F229" s="53"/>
      <c r="G229" s="54"/>
      <c r="H229" s="54"/>
      <c r="I229" s="54"/>
    </row>
    <row r="230" spans="2:9" ht="15.75" customHeight="1" x14ac:dyDescent="0.2">
      <c r="B230" s="50">
        <f t="shared" si="3"/>
        <v>224</v>
      </c>
      <c r="C230" s="51"/>
      <c r="D230" s="57"/>
      <c r="E230" s="57"/>
      <c r="F230" s="53"/>
      <c r="G230" s="54"/>
      <c r="H230" s="54"/>
      <c r="I230" s="54"/>
    </row>
    <row r="231" spans="2:9" ht="15.75" customHeight="1" x14ac:dyDescent="0.2">
      <c r="B231" s="50">
        <f t="shared" si="3"/>
        <v>225</v>
      </c>
      <c r="C231" s="51"/>
      <c r="D231" s="57"/>
      <c r="E231" s="57"/>
      <c r="F231" s="53"/>
      <c r="G231" s="54"/>
      <c r="H231" s="54"/>
      <c r="I231" s="54"/>
    </row>
    <row r="232" spans="2:9" ht="15.75" customHeight="1" x14ac:dyDescent="0.2">
      <c r="B232" s="50">
        <f t="shared" si="3"/>
        <v>226</v>
      </c>
      <c r="C232" s="51"/>
      <c r="D232" s="57"/>
      <c r="E232" s="57"/>
      <c r="F232" s="53"/>
      <c r="G232" s="54"/>
      <c r="H232" s="54"/>
      <c r="I232" s="54"/>
    </row>
    <row r="233" spans="2:9" ht="15.75" customHeight="1" x14ac:dyDescent="0.2">
      <c r="B233" s="50">
        <f t="shared" si="3"/>
        <v>227</v>
      </c>
      <c r="C233" s="51"/>
      <c r="D233" s="57"/>
      <c r="E233" s="57"/>
      <c r="F233" s="53"/>
      <c r="G233" s="54"/>
      <c r="H233" s="54"/>
      <c r="I233" s="54"/>
    </row>
    <row r="234" spans="2:9" ht="15.75" customHeight="1" x14ac:dyDescent="0.2">
      <c r="B234" s="50">
        <f t="shared" si="3"/>
        <v>228</v>
      </c>
      <c r="C234" s="51"/>
      <c r="D234" s="57"/>
      <c r="E234" s="57"/>
      <c r="F234" s="53"/>
      <c r="G234" s="54"/>
      <c r="H234" s="54"/>
      <c r="I234" s="54"/>
    </row>
    <row r="235" spans="2:9" ht="15.75" customHeight="1" x14ac:dyDescent="0.2">
      <c r="B235" s="50">
        <f t="shared" si="3"/>
        <v>229</v>
      </c>
      <c r="C235" s="51"/>
      <c r="D235" s="57"/>
      <c r="E235" s="57"/>
      <c r="F235" s="53"/>
      <c r="G235" s="54"/>
      <c r="H235" s="54"/>
      <c r="I235" s="54"/>
    </row>
    <row r="236" spans="2:9" ht="15.75" customHeight="1" x14ac:dyDescent="0.2">
      <c r="B236" s="50">
        <f t="shared" si="3"/>
        <v>230</v>
      </c>
      <c r="C236" s="51"/>
      <c r="D236" s="57"/>
      <c r="E236" s="57"/>
      <c r="F236" s="53"/>
      <c r="G236" s="54"/>
      <c r="H236" s="54"/>
      <c r="I236" s="54"/>
    </row>
    <row r="237" spans="2:9" ht="15.75" customHeight="1" x14ac:dyDescent="0.2">
      <c r="B237" s="50">
        <f t="shared" si="3"/>
        <v>231</v>
      </c>
      <c r="C237" s="51"/>
      <c r="D237" s="57"/>
      <c r="E237" s="57"/>
      <c r="F237" s="53"/>
      <c r="G237" s="54"/>
      <c r="H237" s="54"/>
      <c r="I237" s="54"/>
    </row>
    <row r="238" spans="2:9" ht="15.75" customHeight="1" x14ac:dyDescent="0.2">
      <c r="B238" s="50">
        <f t="shared" si="3"/>
        <v>232</v>
      </c>
      <c r="C238" s="51"/>
      <c r="D238" s="57"/>
      <c r="E238" s="57"/>
      <c r="F238" s="53"/>
      <c r="G238" s="54"/>
      <c r="H238" s="54"/>
      <c r="I238" s="54"/>
    </row>
    <row r="239" spans="2:9" ht="15.75" customHeight="1" x14ac:dyDescent="0.2">
      <c r="B239" s="50">
        <f t="shared" si="3"/>
        <v>233</v>
      </c>
      <c r="C239" s="51"/>
      <c r="D239" s="57"/>
      <c r="E239" s="57"/>
      <c r="F239" s="53"/>
      <c r="G239" s="54"/>
      <c r="H239" s="54"/>
      <c r="I239" s="54"/>
    </row>
    <row r="240" spans="2:9" ht="15.75" customHeight="1" x14ac:dyDescent="0.2">
      <c r="B240" s="50">
        <f t="shared" si="3"/>
        <v>234</v>
      </c>
      <c r="C240" s="51"/>
      <c r="D240" s="57"/>
      <c r="E240" s="57"/>
      <c r="F240" s="53"/>
      <c r="G240" s="54"/>
      <c r="H240" s="54"/>
      <c r="I240" s="54"/>
    </row>
    <row r="241" spans="2:9" ht="15.75" customHeight="1" x14ac:dyDescent="0.2">
      <c r="B241" s="50">
        <f t="shared" si="3"/>
        <v>235</v>
      </c>
      <c r="C241" s="51"/>
      <c r="D241" s="57"/>
      <c r="E241" s="57"/>
      <c r="F241" s="53"/>
      <c r="G241" s="54"/>
      <c r="H241" s="54"/>
      <c r="I241" s="54"/>
    </row>
    <row r="242" spans="2:9" ht="15.75" customHeight="1" x14ac:dyDescent="0.2">
      <c r="B242" s="50">
        <f t="shared" si="3"/>
        <v>236</v>
      </c>
      <c r="C242" s="51"/>
      <c r="D242" s="57"/>
      <c r="E242" s="57"/>
      <c r="F242" s="53"/>
      <c r="G242" s="54"/>
      <c r="H242" s="54"/>
      <c r="I242" s="54"/>
    </row>
    <row r="243" spans="2:9" ht="15.75" customHeight="1" x14ac:dyDescent="0.2">
      <c r="B243" s="50">
        <f t="shared" si="3"/>
        <v>237</v>
      </c>
      <c r="C243" s="51"/>
      <c r="D243" s="170"/>
      <c r="E243" s="57"/>
      <c r="F243" s="53"/>
      <c r="G243" s="54"/>
      <c r="H243" s="54"/>
      <c r="I243" s="54"/>
    </row>
    <row r="244" spans="2:9" ht="15.75" customHeight="1" x14ac:dyDescent="0.2">
      <c r="B244" s="50">
        <f t="shared" si="3"/>
        <v>238</v>
      </c>
      <c r="C244" s="51"/>
      <c r="D244" s="170"/>
      <c r="E244" s="57"/>
      <c r="F244" s="53"/>
      <c r="G244" s="54"/>
      <c r="H244" s="54"/>
      <c r="I244" s="54"/>
    </row>
    <row r="245" spans="2:9" ht="15.75" customHeight="1" x14ac:dyDescent="0.2">
      <c r="B245" s="50">
        <f t="shared" si="3"/>
        <v>239</v>
      </c>
      <c r="C245" s="51"/>
      <c r="D245" s="170"/>
      <c r="E245" s="57"/>
      <c r="F245" s="53"/>
      <c r="G245" s="54"/>
      <c r="H245" s="54"/>
      <c r="I245" s="54"/>
    </row>
    <row r="246" spans="2:9" ht="15.75" customHeight="1" x14ac:dyDescent="0.2">
      <c r="B246" s="50">
        <f t="shared" si="3"/>
        <v>240</v>
      </c>
      <c r="C246" s="51"/>
      <c r="D246" s="170"/>
      <c r="E246" s="57"/>
      <c r="F246" s="53"/>
      <c r="G246" s="54"/>
      <c r="H246" s="54"/>
      <c r="I246" s="54"/>
    </row>
    <row r="247" spans="2:9" ht="15.75" customHeight="1" x14ac:dyDescent="0.2">
      <c r="B247" s="50">
        <f t="shared" si="3"/>
        <v>241</v>
      </c>
      <c r="C247" s="51"/>
      <c r="D247" s="170"/>
      <c r="E247" s="57"/>
      <c r="F247" s="53"/>
      <c r="G247" s="54"/>
      <c r="H247" s="54"/>
      <c r="I247" s="54"/>
    </row>
    <row r="248" spans="2:9" ht="15.75" customHeight="1" x14ac:dyDescent="0.2">
      <c r="B248" s="50">
        <f t="shared" si="3"/>
        <v>242</v>
      </c>
      <c r="C248" s="51"/>
      <c r="D248" s="170"/>
      <c r="E248" s="57"/>
      <c r="F248" s="53"/>
      <c r="G248" s="54"/>
      <c r="H248" s="54"/>
      <c r="I248" s="54"/>
    </row>
    <row r="249" spans="2:9" ht="15.75" customHeight="1" x14ac:dyDescent="0.2">
      <c r="B249" s="50">
        <f t="shared" si="3"/>
        <v>243</v>
      </c>
      <c r="C249" s="51"/>
      <c r="D249" s="170"/>
      <c r="E249" s="57"/>
      <c r="F249" s="53"/>
      <c r="G249" s="54"/>
      <c r="H249" s="54"/>
      <c r="I249" s="54"/>
    </row>
    <row r="250" spans="2:9" ht="15.75" customHeight="1" x14ac:dyDescent="0.2">
      <c r="B250" s="50">
        <f t="shared" si="3"/>
        <v>244</v>
      </c>
      <c r="C250" s="51"/>
      <c r="D250" s="170"/>
      <c r="E250" s="57"/>
      <c r="F250" s="53"/>
      <c r="G250" s="54"/>
      <c r="H250" s="54"/>
      <c r="I250" s="54"/>
    </row>
    <row r="251" spans="2:9" ht="15.75" customHeight="1" x14ac:dyDescent="0.2">
      <c r="B251" s="50">
        <f t="shared" si="3"/>
        <v>245</v>
      </c>
      <c r="C251" s="51"/>
      <c r="D251" s="170"/>
      <c r="E251" s="57"/>
      <c r="F251" s="53"/>
      <c r="G251" s="54"/>
      <c r="H251" s="54"/>
      <c r="I251" s="54"/>
    </row>
    <row r="252" spans="2:9" ht="15.75" customHeight="1" x14ac:dyDescent="0.2">
      <c r="B252" s="50">
        <f t="shared" si="3"/>
        <v>246</v>
      </c>
      <c r="C252" s="51"/>
      <c r="D252" s="170"/>
      <c r="E252" s="57"/>
      <c r="F252" s="53"/>
      <c r="G252" s="54"/>
      <c r="H252" s="54"/>
      <c r="I252" s="54"/>
    </row>
    <row r="253" spans="2:9" ht="15.75" customHeight="1" x14ac:dyDescent="0.2">
      <c r="B253" s="50">
        <f t="shared" si="3"/>
        <v>247</v>
      </c>
      <c r="C253" s="51"/>
      <c r="D253" s="170"/>
      <c r="E253" s="57"/>
      <c r="F253" s="53"/>
      <c r="G253" s="54"/>
      <c r="H253" s="54"/>
      <c r="I253" s="54"/>
    </row>
    <row r="254" spans="2:9" ht="15.75" customHeight="1" x14ac:dyDescent="0.2">
      <c r="B254" s="50">
        <f t="shared" si="3"/>
        <v>248</v>
      </c>
      <c r="C254" s="51"/>
      <c r="D254" s="170"/>
      <c r="E254" s="57"/>
      <c r="F254" s="53"/>
      <c r="G254" s="54"/>
      <c r="H254" s="54"/>
      <c r="I254" s="54"/>
    </row>
    <row r="255" spans="2:9" ht="15.75" customHeight="1" x14ac:dyDescent="0.2">
      <c r="B255" s="50">
        <f t="shared" si="3"/>
        <v>249</v>
      </c>
      <c r="C255" s="51"/>
      <c r="D255" s="170"/>
      <c r="E255" s="57"/>
      <c r="F255" s="53"/>
      <c r="G255" s="54"/>
      <c r="H255" s="54"/>
      <c r="I255" s="54"/>
    </row>
    <row r="256" spans="2:9" ht="15.75" customHeight="1" x14ac:dyDescent="0.2">
      <c r="B256" s="50">
        <f t="shared" si="3"/>
        <v>250</v>
      </c>
      <c r="C256" s="51"/>
      <c r="D256" s="170"/>
      <c r="E256" s="57"/>
      <c r="F256" s="53"/>
      <c r="G256" s="54"/>
      <c r="H256" s="54"/>
      <c r="I256" s="54"/>
    </row>
    <row r="257" spans="2:9" ht="15.75" customHeight="1" x14ac:dyDescent="0.2">
      <c r="B257" s="50">
        <f t="shared" si="3"/>
        <v>251</v>
      </c>
      <c r="C257" s="51"/>
      <c r="D257" s="170"/>
      <c r="E257" s="57"/>
      <c r="F257" s="53"/>
      <c r="G257" s="54"/>
      <c r="H257" s="54"/>
      <c r="I257" s="54"/>
    </row>
    <row r="258" spans="2:9" ht="15.75" customHeight="1" x14ac:dyDescent="0.2">
      <c r="B258" s="50">
        <f t="shared" si="3"/>
        <v>252</v>
      </c>
      <c r="C258" s="51"/>
      <c r="D258" s="170"/>
      <c r="E258" s="57"/>
      <c r="F258" s="53"/>
      <c r="G258" s="54"/>
      <c r="H258" s="54"/>
      <c r="I258" s="54"/>
    </row>
    <row r="259" spans="2:9" ht="15.75" customHeight="1" x14ac:dyDescent="0.2">
      <c r="B259" s="50">
        <f t="shared" si="3"/>
        <v>253</v>
      </c>
      <c r="C259" s="51"/>
      <c r="D259" s="170"/>
      <c r="E259" s="57"/>
      <c r="F259" s="53"/>
      <c r="G259" s="54"/>
      <c r="H259" s="54"/>
      <c r="I259" s="54"/>
    </row>
    <row r="260" spans="2:9" ht="15.75" customHeight="1" x14ac:dyDescent="0.2">
      <c r="B260" s="50">
        <f t="shared" si="3"/>
        <v>254</v>
      </c>
      <c r="C260" s="51"/>
      <c r="D260" s="170"/>
      <c r="E260" s="57"/>
      <c r="F260" s="53"/>
      <c r="G260" s="54"/>
      <c r="H260" s="54"/>
      <c r="I260" s="54"/>
    </row>
    <row r="261" spans="2:9" ht="15.75" customHeight="1" x14ac:dyDescent="0.2">
      <c r="B261" s="50">
        <f t="shared" si="3"/>
        <v>255</v>
      </c>
      <c r="C261" s="51"/>
      <c r="D261" s="170"/>
      <c r="E261" s="57"/>
      <c r="F261" s="53"/>
      <c r="G261" s="54"/>
      <c r="H261" s="54"/>
      <c r="I261" s="54"/>
    </row>
    <row r="262" spans="2:9" ht="15.75" customHeight="1" x14ac:dyDescent="0.2">
      <c r="B262" s="50">
        <f t="shared" si="3"/>
        <v>256</v>
      </c>
      <c r="C262" s="51"/>
      <c r="D262" s="170"/>
      <c r="E262" s="57"/>
      <c r="F262" s="53"/>
      <c r="G262" s="54"/>
      <c r="H262" s="54"/>
      <c r="I262" s="54"/>
    </row>
    <row r="263" spans="2:9" ht="15.75" customHeight="1" x14ac:dyDescent="0.2">
      <c r="B263" s="50">
        <f t="shared" ref="B263:B291" si="4">B262+1</f>
        <v>257</v>
      </c>
      <c r="C263" s="51"/>
      <c r="D263" s="170"/>
      <c r="E263" s="57"/>
      <c r="F263" s="53"/>
      <c r="G263" s="54"/>
      <c r="H263" s="54"/>
      <c r="I263" s="54"/>
    </row>
    <row r="264" spans="2:9" ht="15.75" customHeight="1" x14ac:dyDescent="0.2">
      <c r="B264" s="50">
        <f t="shared" si="4"/>
        <v>258</v>
      </c>
      <c r="C264" s="51"/>
      <c r="D264" s="170"/>
      <c r="E264" s="57"/>
      <c r="F264" s="53"/>
      <c r="G264" s="54"/>
      <c r="H264" s="54"/>
      <c r="I264" s="54"/>
    </row>
    <row r="265" spans="2:9" ht="15.75" customHeight="1" x14ac:dyDescent="0.2">
      <c r="B265" s="50">
        <f t="shared" si="4"/>
        <v>259</v>
      </c>
      <c r="C265" s="51"/>
      <c r="D265" s="170"/>
      <c r="E265" s="57"/>
      <c r="F265" s="53"/>
      <c r="G265" s="54"/>
      <c r="H265" s="54"/>
      <c r="I265" s="54"/>
    </row>
    <row r="266" spans="2:9" ht="15.75" customHeight="1" x14ac:dyDescent="0.2">
      <c r="B266" s="50">
        <f t="shared" si="4"/>
        <v>260</v>
      </c>
      <c r="C266" s="51"/>
      <c r="D266" s="170"/>
      <c r="E266" s="57"/>
      <c r="F266" s="53"/>
      <c r="G266" s="54"/>
      <c r="H266" s="54"/>
      <c r="I266" s="54"/>
    </row>
    <row r="267" spans="2:9" ht="15.75" customHeight="1" x14ac:dyDescent="0.2">
      <c r="B267" s="50">
        <f t="shared" si="4"/>
        <v>261</v>
      </c>
      <c r="C267" s="51"/>
      <c r="D267" s="170"/>
      <c r="E267" s="57"/>
      <c r="F267" s="53"/>
      <c r="G267" s="54"/>
      <c r="H267" s="54"/>
      <c r="I267" s="54"/>
    </row>
    <row r="268" spans="2:9" ht="15.75" customHeight="1" x14ac:dyDescent="0.2">
      <c r="B268" s="50">
        <f t="shared" si="4"/>
        <v>262</v>
      </c>
      <c r="C268" s="51"/>
      <c r="D268" s="170"/>
      <c r="E268" s="57"/>
      <c r="F268" s="53"/>
      <c r="G268" s="54"/>
      <c r="H268" s="54"/>
      <c r="I268" s="54"/>
    </row>
    <row r="269" spans="2:9" ht="15.75" customHeight="1" x14ac:dyDescent="0.2">
      <c r="B269" s="50">
        <f t="shared" si="4"/>
        <v>263</v>
      </c>
      <c r="C269" s="51"/>
      <c r="D269" s="170"/>
      <c r="E269" s="57"/>
      <c r="F269" s="53"/>
      <c r="G269" s="54"/>
      <c r="H269" s="54"/>
      <c r="I269" s="54"/>
    </row>
    <row r="270" spans="2:9" ht="15.75" customHeight="1" x14ac:dyDescent="0.2">
      <c r="B270" s="50">
        <f t="shared" si="4"/>
        <v>264</v>
      </c>
      <c r="C270" s="51"/>
      <c r="D270" s="170"/>
      <c r="E270" s="57"/>
      <c r="F270" s="53"/>
      <c r="G270" s="54"/>
      <c r="H270" s="54"/>
      <c r="I270" s="54"/>
    </row>
    <row r="271" spans="2:9" ht="15.75" customHeight="1" x14ac:dyDescent="0.2">
      <c r="B271" s="50">
        <f t="shared" si="4"/>
        <v>265</v>
      </c>
      <c r="C271" s="51"/>
      <c r="D271" s="170"/>
      <c r="E271" s="57"/>
      <c r="F271" s="53"/>
      <c r="G271" s="54"/>
      <c r="H271" s="54"/>
      <c r="I271" s="54"/>
    </row>
    <row r="272" spans="2:9" ht="15.75" customHeight="1" x14ac:dyDescent="0.2">
      <c r="B272" s="50">
        <f t="shared" si="4"/>
        <v>266</v>
      </c>
      <c r="C272" s="51"/>
      <c r="D272" s="170"/>
      <c r="E272" s="57"/>
      <c r="F272" s="53"/>
      <c r="G272" s="54"/>
      <c r="H272" s="54"/>
      <c r="I272" s="54"/>
    </row>
    <row r="273" spans="2:9" ht="15.75" customHeight="1" x14ac:dyDescent="0.2">
      <c r="B273" s="50">
        <f t="shared" si="4"/>
        <v>267</v>
      </c>
      <c r="C273" s="51"/>
      <c r="D273" s="170"/>
      <c r="E273" s="57"/>
      <c r="F273" s="53"/>
      <c r="G273" s="54"/>
      <c r="H273" s="54"/>
      <c r="I273" s="54"/>
    </row>
    <row r="274" spans="2:9" ht="15.75" customHeight="1" x14ac:dyDescent="0.2">
      <c r="B274" s="50">
        <f t="shared" si="4"/>
        <v>268</v>
      </c>
      <c r="C274" s="51"/>
      <c r="D274" s="170"/>
      <c r="E274" s="57"/>
      <c r="F274" s="53"/>
      <c r="G274" s="54"/>
      <c r="H274" s="54"/>
      <c r="I274" s="54"/>
    </row>
    <row r="275" spans="2:9" ht="15.75" customHeight="1" x14ac:dyDescent="0.2">
      <c r="B275" s="50">
        <f t="shared" si="4"/>
        <v>269</v>
      </c>
      <c r="C275" s="51"/>
      <c r="D275" s="170"/>
      <c r="E275" s="57"/>
      <c r="F275" s="53"/>
      <c r="G275" s="54"/>
      <c r="H275" s="54"/>
      <c r="I275" s="54"/>
    </row>
    <row r="276" spans="2:9" ht="15.75" customHeight="1" x14ac:dyDescent="0.2">
      <c r="B276" s="50">
        <f t="shared" si="4"/>
        <v>270</v>
      </c>
      <c r="C276" s="51"/>
      <c r="D276" s="170"/>
      <c r="E276" s="57"/>
      <c r="F276" s="53"/>
      <c r="G276" s="54"/>
      <c r="H276" s="54"/>
      <c r="I276" s="54"/>
    </row>
    <row r="277" spans="2:9" ht="15.75" customHeight="1" x14ac:dyDescent="0.2">
      <c r="B277" s="50">
        <f t="shared" si="4"/>
        <v>271</v>
      </c>
      <c r="C277" s="51"/>
      <c r="D277" s="170"/>
      <c r="E277" s="57"/>
      <c r="F277" s="53"/>
      <c r="G277" s="54"/>
      <c r="H277" s="54"/>
      <c r="I277" s="54"/>
    </row>
    <row r="278" spans="2:9" ht="15.75" customHeight="1" x14ac:dyDescent="0.2">
      <c r="B278" s="50">
        <f t="shared" si="4"/>
        <v>272</v>
      </c>
      <c r="C278" s="51"/>
      <c r="D278" s="170"/>
      <c r="E278" s="57"/>
      <c r="F278" s="53"/>
      <c r="G278" s="54"/>
      <c r="H278" s="54"/>
      <c r="I278" s="54"/>
    </row>
    <row r="279" spans="2:9" ht="15.75" customHeight="1" x14ac:dyDescent="0.2">
      <c r="B279" s="50">
        <f t="shared" si="4"/>
        <v>273</v>
      </c>
      <c r="C279" s="51"/>
      <c r="D279" s="170"/>
      <c r="E279" s="57"/>
      <c r="F279" s="53"/>
      <c r="G279" s="54"/>
      <c r="H279" s="54"/>
      <c r="I279" s="54"/>
    </row>
    <row r="280" spans="2:9" ht="15.75" customHeight="1" x14ac:dyDescent="0.2">
      <c r="B280" s="50">
        <f t="shared" si="4"/>
        <v>274</v>
      </c>
      <c r="C280" s="51"/>
      <c r="D280" s="170"/>
      <c r="E280" s="57"/>
      <c r="F280" s="53"/>
      <c r="G280" s="54"/>
      <c r="H280" s="54"/>
      <c r="I280" s="54"/>
    </row>
    <row r="281" spans="2:9" ht="15.75" customHeight="1" x14ac:dyDescent="0.2">
      <c r="B281" s="50">
        <f t="shared" si="4"/>
        <v>275</v>
      </c>
      <c r="C281" s="51"/>
      <c r="D281" s="170"/>
      <c r="E281" s="57"/>
      <c r="F281" s="53"/>
      <c r="G281" s="54"/>
      <c r="H281" s="54"/>
      <c r="I281" s="54"/>
    </row>
    <row r="282" spans="2:9" ht="15.75" customHeight="1" x14ac:dyDescent="0.2">
      <c r="B282" s="50">
        <f t="shared" si="4"/>
        <v>276</v>
      </c>
      <c r="C282" s="51"/>
      <c r="D282" s="170"/>
      <c r="E282" s="57"/>
      <c r="F282" s="53"/>
      <c r="G282" s="54"/>
      <c r="H282" s="54"/>
      <c r="I282" s="54"/>
    </row>
    <row r="283" spans="2:9" ht="15.75" customHeight="1" x14ac:dyDescent="0.2">
      <c r="B283" s="50">
        <f t="shared" si="4"/>
        <v>277</v>
      </c>
      <c r="C283" s="51"/>
      <c r="D283" s="170"/>
      <c r="E283" s="57"/>
      <c r="F283" s="53"/>
      <c r="G283" s="54"/>
      <c r="H283" s="54"/>
      <c r="I283" s="54"/>
    </row>
    <row r="284" spans="2:9" ht="15.75" customHeight="1" x14ac:dyDescent="0.2">
      <c r="B284" s="50">
        <f t="shared" si="4"/>
        <v>278</v>
      </c>
      <c r="C284" s="51"/>
      <c r="D284" s="170"/>
      <c r="E284" s="57"/>
      <c r="F284" s="53"/>
      <c r="G284" s="54"/>
      <c r="H284" s="54"/>
      <c r="I284" s="54"/>
    </row>
    <row r="285" spans="2:9" ht="15.75" customHeight="1" x14ac:dyDescent="0.2">
      <c r="B285" s="50">
        <f t="shared" si="4"/>
        <v>279</v>
      </c>
      <c r="C285" s="51"/>
      <c r="D285" s="170"/>
      <c r="E285" s="57"/>
      <c r="F285" s="53"/>
      <c r="G285" s="54"/>
      <c r="H285" s="54"/>
      <c r="I285" s="54"/>
    </row>
    <row r="286" spans="2:9" ht="15.75" customHeight="1" x14ac:dyDescent="0.2">
      <c r="B286" s="50">
        <f t="shared" si="4"/>
        <v>280</v>
      </c>
      <c r="C286" s="51"/>
      <c r="D286" s="170"/>
      <c r="E286" s="57"/>
      <c r="F286" s="53"/>
      <c r="G286" s="54"/>
      <c r="H286" s="54"/>
      <c r="I286" s="54"/>
    </row>
    <row r="287" spans="2:9" ht="15.75" customHeight="1" x14ac:dyDescent="0.2">
      <c r="B287" s="50">
        <f t="shared" si="4"/>
        <v>281</v>
      </c>
      <c r="C287" s="51"/>
      <c r="D287" s="170"/>
      <c r="E287" s="57"/>
      <c r="F287" s="53"/>
      <c r="G287" s="54"/>
      <c r="H287" s="54"/>
      <c r="I287" s="54"/>
    </row>
    <row r="288" spans="2:9" ht="15.75" customHeight="1" x14ac:dyDescent="0.2">
      <c r="B288" s="50">
        <f t="shared" si="4"/>
        <v>282</v>
      </c>
      <c r="C288" s="51"/>
      <c r="D288" s="170"/>
      <c r="E288" s="57"/>
      <c r="F288" s="53"/>
      <c r="G288" s="54"/>
      <c r="H288" s="54"/>
      <c r="I288" s="54"/>
    </row>
    <row r="289" spans="2:9" ht="15.75" customHeight="1" x14ac:dyDescent="0.2">
      <c r="B289" s="50">
        <f t="shared" si="4"/>
        <v>283</v>
      </c>
      <c r="C289" s="51"/>
      <c r="D289" s="170"/>
      <c r="E289" s="57"/>
      <c r="F289" s="53"/>
      <c r="G289" s="54"/>
      <c r="H289" s="54"/>
      <c r="I289" s="54"/>
    </row>
    <row r="290" spans="2:9" ht="15.75" customHeight="1" x14ac:dyDescent="0.2">
      <c r="B290" s="50">
        <f t="shared" si="4"/>
        <v>284</v>
      </c>
      <c r="C290" s="51"/>
      <c r="D290" s="170"/>
      <c r="E290" s="57"/>
      <c r="F290" s="53"/>
      <c r="G290" s="54"/>
      <c r="H290" s="54"/>
      <c r="I290" s="54"/>
    </row>
    <row r="291" spans="2:9" ht="15.75" customHeight="1" x14ac:dyDescent="0.2">
      <c r="B291" s="50">
        <f t="shared" si="4"/>
        <v>285</v>
      </c>
      <c r="C291" s="51"/>
      <c r="D291" s="170"/>
      <c r="E291" s="57"/>
      <c r="F291" s="53"/>
      <c r="G291" s="54"/>
      <c r="H291" s="54"/>
      <c r="I291" s="54"/>
    </row>
    <row r="292" spans="2:9" ht="15.75" customHeight="1" x14ac:dyDescent="0.2">
      <c r="E292" s="86"/>
    </row>
    <row r="293" spans="2:9" ht="15.75" customHeight="1" x14ac:dyDescent="0.2">
      <c r="E293" s="86"/>
    </row>
    <row r="294" spans="2:9" ht="15.75" customHeight="1" x14ac:dyDescent="0.2">
      <c r="E294" s="86"/>
    </row>
    <row r="295" spans="2:9" ht="15.75" customHeight="1" x14ac:dyDescent="0.2">
      <c r="E295" s="86"/>
    </row>
    <row r="296" spans="2:9" ht="15.75" customHeight="1" x14ac:dyDescent="0.2">
      <c r="E296" s="86"/>
    </row>
    <row r="297" spans="2:9" ht="15.75" customHeight="1" x14ac:dyDescent="0.2">
      <c r="E297" s="86"/>
    </row>
    <row r="298" spans="2:9" ht="15.75" customHeight="1" x14ac:dyDescent="0.2">
      <c r="E298" s="86"/>
    </row>
    <row r="299" spans="2:9" ht="15.75" customHeight="1" x14ac:dyDescent="0.2">
      <c r="E299" s="86"/>
    </row>
    <row r="300" spans="2:9" ht="15.75" customHeight="1" x14ac:dyDescent="0.2">
      <c r="E300" s="86"/>
    </row>
    <row r="301" spans="2:9" ht="15.75" customHeight="1" x14ac:dyDescent="0.2">
      <c r="E301" s="86"/>
    </row>
    <row r="302" spans="2:9" ht="15.75" customHeight="1" x14ac:dyDescent="0.2">
      <c r="E302" s="86"/>
    </row>
    <row r="303" spans="2:9" ht="15.75" customHeight="1" x14ac:dyDescent="0.2">
      <c r="E303" s="86"/>
    </row>
    <row r="304" spans="2:9" ht="15.75" customHeight="1" x14ac:dyDescent="0.2">
      <c r="E304" s="86"/>
    </row>
    <row r="305" spans="5:5" ht="15.75" customHeight="1" x14ac:dyDescent="0.2">
      <c r="E305" s="86"/>
    </row>
    <row r="306" spans="5:5" ht="15.75" customHeight="1" x14ac:dyDescent="0.2">
      <c r="E306" s="86"/>
    </row>
    <row r="307" spans="5:5" ht="15.75" customHeight="1" x14ac:dyDescent="0.2">
      <c r="E307" s="86"/>
    </row>
    <row r="308" spans="5:5" ht="15.75" customHeight="1" x14ac:dyDescent="0.2">
      <c r="E308" s="86"/>
    </row>
    <row r="309" spans="5:5" ht="15.75" customHeight="1" x14ac:dyDescent="0.2">
      <c r="E309" s="86"/>
    </row>
    <row r="310" spans="5:5" ht="15.75" customHeight="1" x14ac:dyDescent="0.2"/>
    <row r="311" spans="5:5" ht="15.75" customHeight="1" x14ac:dyDescent="0.2"/>
    <row r="312" spans="5:5" ht="15.75" customHeight="1" x14ac:dyDescent="0.2"/>
    <row r="313" spans="5:5" ht="15.75" customHeight="1" x14ac:dyDescent="0.2"/>
    <row r="314" spans="5:5" ht="15.75" customHeight="1" x14ac:dyDescent="0.2"/>
    <row r="315" spans="5:5" ht="15.75" customHeight="1" x14ac:dyDescent="0.2"/>
    <row r="316" spans="5:5" ht="15.75" customHeight="1" x14ac:dyDescent="0.2"/>
    <row r="317" spans="5:5" ht="15.75" customHeight="1" x14ac:dyDescent="0.2"/>
    <row r="318" spans="5:5" ht="15.75" customHeight="1" x14ac:dyDescent="0.2"/>
    <row r="319" spans="5:5" ht="15.75" customHeight="1" x14ac:dyDescent="0.2"/>
    <row r="320" spans="5: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5">
    <mergeCell ref="K1:L1"/>
    <mergeCell ref="C2:I2"/>
    <mergeCell ref="C3:I3"/>
    <mergeCell ref="C4:I4"/>
    <mergeCell ref="B5:E5"/>
  </mergeCells>
  <dataValidations count="3">
    <dataValidation type="list" allowBlank="1" showInputMessage="1" showErrorMessage="1" sqref="E7:E292" xr:uid="{ADDE8A31-7D9A-40ED-B442-ADCD7E6E5EB9}">
      <formula1>$AA$2:$AA$7</formula1>
    </dataValidation>
    <dataValidation type="decimal" operator="greaterThanOrEqual" allowBlank="1" showErrorMessage="1" sqref="G7:G10" xr:uid="{42CB292E-614E-4D9A-B2D6-4E6F862AD16E}">
      <formula1>0</formula1>
    </dataValidation>
    <dataValidation type="decimal" operator="lessThanOrEqual" allowBlank="1" showErrorMessage="1" sqref="H7:H10" xr:uid="{5BF84FBA-C871-4629-8705-C2E6B3D12AF0}">
      <formula1>0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4EA-0AC1-4181-9C8A-47DA59D29CCF}">
  <dimension ref="A1:J40"/>
  <sheetViews>
    <sheetView workbookViewId="0">
      <selection activeCell="C7" sqref="C7"/>
    </sheetView>
  </sheetViews>
  <sheetFormatPr baseColWidth="10" defaultColWidth="11.5546875" defaultRowHeight="15" x14ac:dyDescent="0.2"/>
  <cols>
    <col min="1" max="1" width="15.33203125" bestFit="1" customWidth="1"/>
    <col min="2" max="3" width="11.77734375" customWidth="1"/>
    <col min="4" max="5" width="10.5546875" customWidth="1"/>
    <col min="6" max="6" width="15.33203125" customWidth="1"/>
    <col min="7" max="8" width="11.77734375" customWidth="1"/>
    <col min="9" max="11" width="10.5546875" customWidth="1"/>
    <col min="12" max="12" width="16.44140625" bestFit="1" customWidth="1"/>
    <col min="13" max="13" width="16.109375" bestFit="1" customWidth="1"/>
    <col min="14" max="14" width="20.6640625" bestFit="1" customWidth="1"/>
    <col min="15" max="15" width="20.33203125" bestFit="1" customWidth="1"/>
  </cols>
  <sheetData>
    <row r="1" spans="1:6" ht="15.75" x14ac:dyDescent="0.25">
      <c r="A1" s="127" t="s">
        <v>5</v>
      </c>
      <c r="F1" s="127"/>
    </row>
    <row r="2" spans="1:6" ht="15.75" x14ac:dyDescent="0.25">
      <c r="A2" s="90" t="s">
        <v>374</v>
      </c>
      <c r="F2" s="127"/>
    </row>
    <row r="3" spans="1:6" ht="15.75" x14ac:dyDescent="0.25">
      <c r="A3" s="212">
        <f>MAX(DIARIO_2025!$C$7:$C$435)</f>
        <v>45705</v>
      </c>
      <c r="B3" s="212"/>
      <c r="C3" s="212"/>
      <c r="D3" s="89"/>
      <c r="F3" s="127"/>
    </row>
    <row r="4" spans="1:6" ht="15.75" x14ac:dyDescent="0.25">
      <c r="A4" s="98" t="s">
        <v>1</v>
      </c>
      <c r="B4" t="s">
        <v>4</v>
      </c>
      <c r="C4" s="17"/>
      <c r="D4" s="17"/>
      <c r="F4" s="127"/>
    </row>
    <row r="5" spans="1:6" ht="15.75" x14ac:dyDescent="0.25">
      <c r="B5" s="14" t="s">
        <v>236</v>
      </c>
      <c r="C5" s="13">
        <f>GETPIVOTDATA("INGRESOS",$A$6)+GETPIVOTDATA("EGRESOS",$A$6)</f>
        <v>4466.43</v>
      </c>
      <c r="F5" s="127"/>
    </row>
    <row r="6" spans="1:6" ht="15.75" x14ac:dyDescent="0.25">
      <c r="A6" s="88" t="s">
        <v>237</v>
      </c>
      <c r="B6" s="87" t="s">
        <v>238</v>
      </c>
      <c r="C6" s="87" t="s">
        <v>239</v>
      </c>
      <c r="F6" s="127"/>
    </row>
    <row r="7" spans="1:6" ht="15.75" x14ac:dyDescent="0.25">
      <c r="A7" s="12" t="s">
        <v>718</v>
      </c>
      <c r="B7" s="13">
        <v>4459</v>
      </c>
      <c r="C7" s="13"/>
      <c r="F7" s="127"/>
    </row>
    <row r="8" spans="1:6" ht="15.75" x14ac:dyDescent="0.25">
      <c r="A8" s="12" t="s">
        <v>725</v>
      </c>
      <c r="B8" s="13">
        <v>7.43</v>
      </c>
      <c r="C8" s="13"/>
      <c r="F8" s="127"/>
    </row>
    <row r="9" spans="1:6" ht="15.75" x14ac:dyDescent="0.25">
      <c r="A9" s="12" t="s">
        <v>240</v>
      </c>
      <c r="B9" s="13">
        <v>4466.43</v>
      </c>
      <c r="C9" s="13"/>
      <c r="D9" s="81"/>
      <c r="F9" s="127"/>
    </row>
    <row r="10" spans="1:6" ht="15.75" x14ac:dyDescent="0.25">
      <c r="F10" s="127"/>
    </row>
    <row r="11" spans="1:6" ht="15.75" x14ac:dyDescent="0.25">
      <c r="F11" s="127"/>
    </row>
    <row r="12" spans="1:6" ht="15.75" x14ac:dyDescent="0.25">
      <c r="F12" s="127"/>
    </row>
    <row r="13" spans="1:6" ht="15.75" x14ac:dyDescent="0.25">
      <c r="F13" s="127"/>
    </row>
    <row r="14" spans="1:6" ht="15.75" x14ac:dyDescent="0.25">
      <c r="F14" s="127"/>
    </row>
    <row r="15" spans="1:6" ht="15.75" x14ac:dyDescent="0.25">
      <c r="F15" s="127"/>
    </row>
    <row r="16" spans="1:6" ht="15.75" x14ac:dyDescent="0.25">
      <c r="F16" s="127"/>
    </row>
    <row r="17" spans="1:10" ht="15.75" x14ac:dyDescent="0.25">
      <c r="F17" s="127"/>
    </row>
    <row r="18" spans="1:10" ht="15.75" x14ac:dyDescent="0.25">
      <c r="F18" s="127"/>
    </row>
    <row r="19" spans="1:10" ht="15.75" x14ac:dyDescent="0.25">
      <c r="F19" s="127"/>
    </row>
    <row r="20" spans="1:10" ht="15.75" x14ac:dyDescent="0.25">
      <c r="A20" s="213" t="s">
        <v>728</v>
      </c>
      <c r="B20" s="213"/>
      <c r="C20" s="213"/>
      <c r="F20" s="127"/>
    </row>
    <row r="21" spans="1:10" ht="15.75" x14ac:dyDescent="0.25">
      <c r="F21" s="127"/>
    </row>
    <row r="22" spans="1:10" ht="15.75" x14ac:dyDescent="0.25">
      <c r="A22" s="12" t="s">
        <v>375</v>
      </c>
      <c r="B22" s="13">
        <v>4459</v>
      </c>
      <c r="C22" s="13"/>
      <c r="F22" s="127"/>
    </row>
    <row r="23" spans="1:10" ht="15.75" x14ac:dyDescent="0.25">
      <c r="A23" s="12" t="s">
        <v>723</v>
      </c>
      <c r="B23" s="13">
        <v>7.43</v>
      </c>
      <c r="F23" s="127"/>
    </row>
    <row r="24" spans="1:10" ht="15.75" x14ac:dyDescent="0.25">
      <c r="A24" s="12"/>
      <c r="B24" s="13"/>
      <c r="C24" s="13"/>
      <c r="F24" s="127"/>
    </row>
    <row r="25" spans="1:10" ht="15.75" x14ac:dyDescent="0.25">
      <c r="A25" s="12"/>
      <c r="B25" s="13"/>
      <c r="C25" s="13"/>
      <c r="F25" s="127"/>
      <c r="J25" s="81"/>
    </row>
    <row r="26" spans="1:10" ht="15.75" x14ac:dyDescent="0.25">
      <c r="A26" s="126" t="s">
        <v>724</v>
      </c>
      <c r="B26" s="81"/>
      <c r="C26" s="13">
        <v>0</v>
      </c>
      <c r="F26" s="127"/>
    </row>
    <row r="27" spans="1:10" ht="15.75" x14ac:dyDescent="0.25">
      <c r="A27" s="126"/>
      <c r="B27" s="81"/>
      <c r="C27" s="13"/>
      <c r="F27" s="127"/>
    </row>
    <row r="28" spans="1:10" ht="15.75" x14ac:dyDescent="0.25">
      <c r="A28" s="126"/>
      <c r="B28" s="81"/>
      <c r="C28" s="13"/>
      <c r="F28" s="127"/>
    </row>
    <row r="29" spans="1:10" ht="15.75" x14ac:dyDescent="0.25">
      <c r="A29" s="126"/>
      <c r="B29" s="81"/>
      <c r="C29" s="131"/>
      <c r="F29" s="127"/>
    </row>
    <row r="30" spans="1:10" ht="16.5" thickBot="1" x14ac:dyDescent="0.3">
      <c r="A30" s="85" t="s">
        <v>376</v>
      </c>
      <c r="B30" s="111">
        <f>SUM(B22:B29)</f>
        <v>4466.43</v>
      </c>
      <c r="C30" s="111">
        <f>SUM(C22:C29)</f>
        <v>0</v>
      </c>
      <c r="F30" s="127"/>
    </row>
    <row r="31" spans="1:10" ht="17.25" thickTop="1" thickBot="1" x14ac:dyDescent="0.3">
      <c r="A31" s="85" t="s">
        <v>377</v>
      </c>
      <c r="B31" s="81"/>
      <c r="C31" s="125">
        <f>B30+C30</f>
        <v>4466.43</v>
      </c>
      <c r="F31" s="127"/>
    </row>
    <row r="32" spans="1:10" ht="15.75" x14ac:dyDescent="0.25">
      <c r="A32" s="112"/>
      <c r="B32" s="112"/>
      <c r="C32" s="112"/>
      <c r="F32" s="127"/>
    </row>
    <row r="33" spans="1:6" ht="15.75" x14ac:dyDescent="0.25">
      <c r="F33" s="127"/>
    </row>
    <row r="34" spans="1:6" ht="15.75" x14ac:dyDescent="0.25">
      <c r="F34" s="127"/>
    </row>
    <row r="35" spans="1:6" ht="15.75" x14ac:dyDescent="0.25">
      <c r="A35" s="81"/>
      <c r="C35" s="13"/>
      <c r="F35" s="127"/>
    </row>
    <row r="36" spans="1:6" ht="15.75" x14ac:dyDescent="0.25">
      <c r="A36" s="81"/>
      <c r="C36" s="13"/>
      <c r="F36" s="127"/>
    </row>
    <row r="37" spans="1:6" ht="15.75" x14ac:dyDescent="0.25">
      <c r="C37" s="13"/>
      <c r="F37" s="127"/>
    </row>
    <row r="38" spans="1:6" ht="15.75" x14ac:dyDescent="0.25">
      <c r="C38" s="13"/>
      <c r="F38" s="127"/>
    </row>
    <row r="39" spans="1:6" ht="15.75" x14ac:dyDescent="0.25">
      <c r="C39" s="13"/>
      <c r="F39" s="127"/>
    </row>
    <row r="40" spans="1:6" ht="15.75" x14ac:dyDescent="0.25">
      <c r="F40" s="127"/>
    </row>
  </sheetData>
  <mergeCells count="2">
    <mergeCell ref="A3:C3"/>
    <mergeCell ref="A20:C20"/>
  </mergeCells>
  <pageMargins left="0.23622047244094491" right="0.23622047244094491" top="0.74803149606299213" bottom="0.74803149606299213" header="0.31496062992125984" footer="0.31496062992125984"/>
  <pageSetup paperSize="2833" scale="7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4C74-8AD0-42FF-9293-31E95DFB4257}">
  <dimension ref="A1:W34"/>
  <sheetViews>
    <sheetView zoomScaleNormal="100" workbookViewId="0">
      <selection activeCell="B1" sqref="B1:D34"/>
    </sheetView>
  </sheetViews>
  <sheetFormatPr baseColWidth="10" defaultColWidth="11.5546875" defaultRowHeight="15" x14ac:dyDescent="0.2"/>
  <cols>
    <col min="1" max="1" width="2.88671875" customWidth="1"/>
    <col min="2" max="2" width="8.109375" customWidth="1"/>
    <col min="5" max="5" width="2.88671875" customWidth="1"/>
    <col min="6" max="6" width="22.88671875" customWidth="1"/>
    <col min="7" max="7" width="15.33203125" customWidth="1"/>
    <col min="8" max="8" width="2.88671875" customWidth="1"/>
    <col min="9" max="9" width="14.33203125" customWidth="1"/>
    <col min="10" max="11" width="10.77734375" customWidth="1"/>
    <col min="12" max="12" width="3.109375" customWidth="1"/>
    <col min="13" max="13" width="8.77734375" bestFit="1" customWidth="1"/>
    <col min="14" max="16" width="5.77734375" customWidth="1"/>
    <col min="17" max="17" width="10" bestFit="1" customWidth="1"/>
  </cols>
  <sheetData>
    <row r="1" spans="1:23" ht="15.75" thickBot="1" x14ac:dyDescent="0.25"/>
    <row r="2" spans="1:23" ht="15.75" x14ac:dyDescent="0.25">
      <c r="B2" s="220" t="s">
        <v>378</v>
      </c>
      <c r="C2" s="220"/>
      <c r="D2" s="220"/>
      <c r="F2" s="202" t="s">
        <v>0</v>
      </c>
      <c r="G2" s="202"/>
      <c r="I2" s="223" t="s">
        <v>379</v>
      </c>
      <c r="J2" s="223"/>
      <c r="K2" s="223"/>
      <c r="M2" s="223" t="s">
        <v>379</v>
      </c>
      <c r="N2" s="223"/>
      <c r="O2" s="223"/>
      <c r="P2" s="223"/>
      <c r="Q2" s="223"/>
      <c r="S2" s="223" t="s">
        <v>379</v>
      </c>
      <c r="T2" s="223"/>
      <c r="U2" s="223"/>
      <c r="V2" s="223"/>
      <c r="W2" s="223"/>
    </row>
    <row r="3" spans="1:23" ht="15.75" x14ac:dyDescent="0.25">
      <c r="A3" s="81"/>
      <c r="B3" s="221" t="s">
        <v>639</v>
      </c>
      <c r="C3" s="221"/>
      <c r="D3" s="221"/>
      <c r="F3" s="37" t="s">
        <v>3</v>
      </c>
      <c r="G3" s="1">
        <f>SUMIF(DIAR_24[[#All],[CATEGORIA]],"1_USO_AP",DIAR_24[[#All],[EGRESO]])+SUMIF(DIAR_24[[#All],[CATEGORIA]],"0_APORTACION",DIAR_24[[#All],[INGRESO]])</f>
        <v>4459</v>
      </c>
      <c r="I3" s="224" t="s">
        <v>380</v>
      </c>
      <c r="J3" s="224"/>
      <c r="K3" s="224"/>
      <c r="M3" s="225" t="s">
        <v>658</v>
      </c>
      <c r="N3" s="225"/>
      <c r="O3" s="225"/>
      <c r="P3" s="225"/>
      <c r="Q3" s="225"/>
      <c r="S3" s="225" t="s">
        <v>658</v>
      </c>
      <c r="T3" s="225"/>
      <c r="U3" s="225"/>
      <c r="V3" s="225"/>
      <c r="W3" s="225"/>
    </row>
    <row r="4" spans="1:23" x14ac:dyDescent="0.2">
      <c r="B4" s="222">
        <v>45659</v>
      </c>
      <c r="C4" s="222"/>
      <c r="D4" s="222"/>
      <c r="F4" s="17" t="s">
        <v>6</v>
      </c>
      <c r="G4" s="1">
        <f>SUMIF(DIAR_24[[#All],[CATEGORIA]],"4_VENTA",DIAR_24[[#All],[INGRESO]])+SUMIF(DIAR_24[[#All],[CATEGORIA]],"5_COMPRA",DIAR_24[[#All],[EGRESO]])</f>
        <v>2856.5</v>
      </c>
      <c r="I4" s="222">
        <v>45625</v>
      </c>
      <c r="J4" s="222"/>
      <c r="K4" s="222"/>
      <c r="M4" s="222">
        <v>45659</v>
      </c>
      <c r="N4" s="222"/>
      <c r="O4" s="222"/>
      <c r="P4" s="222"/>
      <c r="Q4" s="222"/>
      <c r="S4" s="222">
        <v>45629</v>
      </c>
      <c r="T4" s="222"/>
      <c r="U4" s="222"/>
      <c r="V4" s="222"/>
      <c r="W4" s="222"/>
    </row>
    <row r="5" spans="1:23" ht="25.5" x14ac:dyDescent="0.25">
      <c r="B5" s="45" t="s">
        <v>381</v>
      </c>
      <c r="C5" s="45" t="s">
        <v>382</v>
      </c>
      <c r="D5" s="45" t="s">
        <v>383</v>
      </c>
      <c r="F5" s="17" t="s">
        <v>9</v>
      </c>
      <c r="G5" s="1">
        <f>SUMIF(DIAR_24[[#All],[CATEGORIA]],"2_INGRESO",DIAR_24[[#All],[INGRESO]])+SUMIF(DIAR_24[[#All],[CATEGORIA]],"3_EGRESO",DIAR_24[[#All],[EGRESO]])</f>
        <v>0</v>
      </c>
      <c r="I5" s="167" t="s">
        <v>18</v>
      </c>
      <c r="J5" s="168" t="s">
        <v>19</v>
      </c>
      <c r="K5" s="168" t="s">
        <v>20</v>
      </c>
      <c r="M5" s="168" t="s">
        <v>18</v>
      </c>
      <c r="N5" s="168" t="s">
        <v>656</v>
      </c>
      <c r="O5" s="168" t="s">
        <v>384</v>
      </c>
      <c r="P5" s="168" t="s">
        <v>657</v>
      </c>
      <c r="Q5" s="173" t="s">
        <v>405</v>
      </c>
      <c r="S5" s="168" t="s">
        <v>18</v>
      </c>
      <c r="T5" s="168" t="s">
        <v>656</v>
      </c>
      <c r="U5" s="168" t="s">
        <v>384</v>
      </c>
      <c r="V5" s="168" t="s">
        <v>657</v>
      </c>
      <c r="W5" s="173" t="s">
        <v>405</v>
      </c>
    </row>
    <row r="6" spans="1:23" ht="16.5" thickBot="1" x14ac:dyDescent="0.25">
      <c r="A6" s="105"/>
      <c r="B6" s="47">
        <v>1</v>
      </c>
      <c r="C6" s="46">
        <v>0.5</v>
      </c>
      <c r="D6" s="46">
        <f>B6*C6</f>
        <v>0.5</v>
      </c>
      <c r="E6" s="105"/>
      <c r="F6" s="165" t="s">
        <v>13</v>
      </c>
      <c r="G6" s="166">
        <f>SUM(G3:G5)</f>
        <v>7315.5</v>
      </c>
      <c r="I6" s="95" t="s">
        <v>673</v>
      </c>
      <c r="J6" s="96">
        <v>1650</v>
      </c>
      <c r="K6" s="96"/>
      <c r="M6" s="171" t="s">
        <v>653</v>
      </c>
      <c r="N6" s="132"/>
      <c r="O6" s="132"/>
      <c r="P6" s="132"/>
      <c r="Q6" s="133"/>
      <c r="S6" s="171" t="s">
        <v>653</v>
      </c>
      <c r="T6" s="132"/>
      <c r="U6" s="132"/>
      <c r="V6" s="132"/>
      <c r="W6" s="133"/>
    </row>
    <row r="7" spans="1:23" ht="15.75" thickTop="1" x14ac:dyDescent="0.2">
      <c r="A7" s="105"/>
      <c r="B7" s="47"/>
      <c r="C7" s="46">
        <v>1</v>
      </c>
      <c r="D7" s="46">
        <f t="shared" ref="D7:D16" si="0">B7*C7</f>
        <v>0</v>
      </c>
      <c r="E7" s="105"/>
      <c r="I7" s="95" t="s">
        <v>386</v>
      </c>
      <c r="J7" s="96">
        <f>1300+950+31-30</f>
        <v>2251</v>
      </c>
      <c r="K7" s="96"/>
      <c r="M7" s="95" t="s">
        <v>654</v>
      </c>
      <c r="N7" s="132">
        <v>7</v>
      </c>
      <c r="O7" s="132">
        <v>1</v>
      </c>
      <c r="P7" s="132">
        <f t="shared" ref="P7:P11" si="1">N7-O7</f>
        <v>6</v>
      </c>
      <c r="Q7" s="133">
        <v>40</v>
      </c>
      <c r="S7" s="95" t="s">
        <v>654</v>
      </c>
      <c r="T7" s="132">
        <v>12</v>
      </c>
      <c r="U7" s="132">
        <f>2+3</f>
        <v>5</v>
      </c>
      <c r="V7" s="132">
        <f t="shared" ref="V7" si="2">T7-U7</f>
        <v>7</v>
      </c>
      <c r="W7" s="133">
        <v>40</v>
      </c>
    </row>
    <row r="8" spans="1:23" x14ac:dyDescent="0.2">
      <c r="A8" s="105"/>
      <c r="B8" s="47"/>
      <c r="C8" s="46">
        <v>2</v>
      </c>
      <c r="D8" s="46">
        <f t="shared" si="0"/>
        <v>0</v>
      </c>
      <c r="E8" s="105"/>
      <c r="I8" s="95"/>
      <c r="J8" s="96"/>
      <c r="K8" s="96"/>
      <c r="M8" s="95"/>
      <c r="N8" s="132"/>
      <c r="O8" s="132"/>
      <c r="P8" s="132"/>
      <c r="Q8" s="133"/>
      <c r="S8" s="95"/>
      <c r="T8" s="132"/>
      <c r="U8" s="132"/>
      <c r="V8" s="132"/>
      <c r="W8" s="133"/>
    </row>
    <row r="9" spans="1:23" x14ac:dyDescent="0.2">
      <c r="A9" s="105"/>
      <c r="B9" s="47">
        <v>1</v>
      </c>
      <c r="C9" s="46">
        <v>5</v>
      </c>
      <c r="D9" s="46">
        <f t="shared" si="0"/>
        <v>5</v>
      </c>
      <c r="E9" s="105"/>
      <c r="I9" s="95" t="s">
        <v>615</v>
      </c>
      <c r="J9" s="96"/>
      <c r="K9" s="96">
        <v>-300</v>
      </c>
      <c r="M9" s="171" t="s">
        <v>655</v>
      </c>
      <c r="N9" s="132"/>
      <c r="O9" s="132"/>
      <c r="P9" s="132"/>
      <c r="Q9" s="133"/>
      <c r="S9" s="171" t="s">
        <v>655</v>
      </c>
      <c r="T9" s="132"/>
      <c r="U9" s="132"/>
      <c r="V9" s="132"/>
      <c r="W9" s="133"/>
    </row>
    <row r="10" spans="1:23" x14ac:dyDescent="0.2">
      <c r="A10" s="105"/>
      <c r="B10" s="47">
        <v>1</v>
      </c>
      <c r="C10" s="46">
        <v>10</v>
      </c>
      <c r="D10" s="46">
        <f t="shared" si="0"/>
        <v>10</v>
      </c>
      <c r="E10" s="105"/>
      <c r="I10" s="95" t="s">
        <v>388</v>
      </c>
      <c r="J10" s="96"/>
      <c r="K10" s="96">
        <v>-500</v>
      </c>
      <c r="M10" s="95" t="s">
        <v>660</v>
      </c>
      <c r="N10" s="132">
        <v>4</v>
      </c>
      <c r="O10" s="132">
        <v>1</v>
      </c>
      <c r="P10" s="132">
        <f t="shared" si="1"/>
        <v>3</v>
      </c>
      <c r="Q10" s="133">
        <v>120</v>
      </c>
      <c r="S10" s="95" t="s">
        <v>660</v>
      </c>
      <c r="T10" s="132">
        <v>4</v>
      </c>
      <c r="U10" s="132"/>
      <c r="V10" s="132">
        <f t="shared" ref="V10:V13" si="3">T10-U10</f>
        <v>4</v>
      </c>
      <c r="W10" s="133">
        <v>120</v>
      </c>
    </row>
    <row r="11" spans="1:23" x14ac:dyDescent="0.2">
      <c r="B11" s="47"/>
      <c r="C11" s="46">
        <v>20</v>
      </c>
      <c r="D11" s="46">
        <f t="shared" si="0"/>
        <v>0</v>
      </c>
      <c r="I11" s="95" t="s">
        <v>389</v>
      </c>
      <c r="J11" s="96"/>
      <c r="K11" s="96">
        <v>-500</v>
      </c>
      <c r="M11" s="95" t="s">
        <v>659</v>
      </c>
      <c r="N11" s="132">
        <v>4</v>
      </c>
      <c r="O11" s="132"/>
      <c r="P11" s="132">
        <f t="shared" si="1"/>
        <v>4</v>
      </c>
      <c r="Q11" s="133">
        <v>120</v>
      </c>
      <c r="S11" s="95" t="s">
        <v>659</v>
      </c>
      <c r="T11" s="132">
        <v>4</v>
      </c>
      <c r="U11" s="132"/>
      <c r="V11" s="132">
        <f t="shared" si="3"/>
        <v>4</v>
      </c>
      <c r="W11" s="133">
        <v>120</v>
      </c>
    </row>
    <row r="12" spans="1:23" x14ac:dyDescent="0.2">
      <c r="B12" s="47"/>
      <c r="C12" s="46">
        <v>50</v>
      </c>
      <c r="D12" s="46">
        <f t="shared" si="0"/>
        <v>0</v>
      </c>
      <c r="I12" s="95"/>
      <c r="J12" s="96"/>
      <c r="K12" s="96"/>
      <c r="M12" s="95" t="s">
        <v>662</v>
      </c>
      <c r="N12" s="132">
        <v>24</v>
      </c>
      <c r="O12" s="132">
        <f>1+1</f>
        <v>2</v>
      </c>
      <c r="P12" s="132">
        <f t="shared" ref="P12:P17" si="4">N12-O12</f>
        <v>22</v>
      </c>
      <c r="Q12" s="133">
        <v>40</v>
      </c>
      <c r="S12" s="95" t="s">
        <v>662</v>
      </c>
      <c r="T12" s="132">
        <v>30</v>
      </c>
      <c r="U12" s="132">
        <f>2+3+1</f>
        <v>6</v>
      </c>
      <c r="V12" s="132">
        <f t="shared" si="3"/>
        <v>24</v>
      </c>
      <c r="W12" s="133">
        <v>40</v>
      </c>
    </row>
    <row r="13" spans="1:23" x14ac:dyDescent="0.2">
      <c r="B13" s="47">
        <v>1</v>
      </c>
      <c r="C13" s="46">
        <v>100</v>
      </c>
      <c r="D13" s="46">
        <f t="shared" si="0"/>
        <v>100</v>
      </c>
      <c r="I13" s="97" t="s">
        <v>13</v>
      </c>
      <c r="J13" s="96">
        <f>SUM(J6:J12)</f>
        <v>3901</v>
      </c>
      <c r="K13" s="96">
        <f>SUM(K6:K12)</f>
        <v>-1300</v>
      </c>
      <c r="M13" s="95" t="s">
        <v>661</v>
      </c>
      <c r="N13" s="132">
        <v>14</v>
      </c>
      <c r="O13" s="132">
        <f>1+1</f>
        <v>2</v>
      </c>
      <c r="P13" s="132">
        <f t="shared" si="4"/>
        <v>12</v>
      </c>
      <c r="Q13" s="133">
        <v>35</v>
      </c>
      <c r="S13" s="95" t="s">
        <v>661</v>
      </c>
      <c r="T13" s="132">
        <v>20</v>
      </c>
      <c r="U13" s="132">
        <f>1+3+2</f>
        <v>6</v>
      </c>
      <c r="V13" s="132">
        <f t="shared" si="3"/>
        <v>14</v>
      </c>
      <c r="W13" s="133">
        <v>35</v>
      </c>
    </row>
    <row r="14" spans="1:23" ht="15.75" x14ac:dyDescent="0.2">
      <c r="B14" s="47">
        <v>11</v>
      </c>
      <c r="C14" s="46">
        <v>200</v>
      </c>
      <c r="D14" s="46">
        <f t="shared" si="0"/>
        <v>2200</v>
      </c>
      <c r="I14" s="97"/>
      <c r="J14" s="108" t="s">
        <v>377</v>
      </c>
      <c r="K14" s="96">
        <f>+J13+K13</f>
        <v>2601</v>
      </c>
      <c r="M14" s="95"/>
      <c r="N14" s="132"/>
      <c r="O14" s="132"/>
      <c r="P14" s="132"/>
      <c r="Q14" s="133"/>
      <c r="S14" s="95"/>
      <c r="T14" s="132"/>
      <c r="U14" s="132"/>
      <c r="V14" s="132"/>
      <c r="W14" s="133"/>
    </row>
    <row r="15" spans="1:23" x14ac:dyDescent="0.2">
      <c r="B15" s="47">
        <v>10</v>
      </c>
      <c r="C15" s="46">
        <v>500</v>
      </c>
      <c r="D15" s="46">
        <f t="shared" si="0"/>
        <v>5000</v>
      </c>
      <c r="M15" s="171" t="s">
        <v>663</v>
      </c>
      <c r="N15" s="132"/>
      <c r="O15" s="132"/>
      <c r="P15" s="132"/>
      <c r="Q15" s="133"/>
      <c r="S15" s="171" t="s">
        <v>663</v>
      </c>
      <c r="T15" s="132"/>
      <c r="U15" s="132"/>
      <c r="V15" s="132"/>
      <c r="W15" s="133"/>
    </row>
    <row r="16" spans="1:23" x14ac:dyDescent="0.2">
      <c r="B16" s="47"/>
      <c r="C16" s="46">
        <v>1000</v>
      </c>
      <c r="D16" s="46">
        <f t="shared" si="0"/>
        <v>0</v>
      </c>
      <c r="I16" s="81" t="s">
        <v>390</v>
      </c>
      <c r="M16" s="95" t="s">
        <v>664</v>
      </c>
      <c r="N16" s="132">
        <v>10</v>
      </c>
      <c r="O16" s="132">
        <f>1+1</f>
        <v>2</v>
      </c>
      <c r="P16" s="132">
        <f t="shared" si="4"/>
        <v>8</v>
      </c>
      <c r="Q16" s="133">
        <v>75</v>
      </c>
      <c r="S16" s="95" t="s">
        <v>664</v>
      </c>
      <c r="T16" s="132">
        <v>12</v>
      </c>
      <c r="U16" s="132">
        <f>2</f>
        <v>2</v>
      </c>
      <c r="V16" s="132">
        <f t="shared" ref="V16:V17" si="5">T16-U16</f>
        <v>10</v>
      </c>
      <c r="W16" s="133">
        <v>75</v>
      </c>
    </row>
    <row r="17" spans="2:23" ht="15.75" x14ac:dyDescent="0.25">
      <c r="C17" s="91" t="s">
        <v>13</v>
      </c>
      <c r="D17" s="46">
        <f>SUM(D6:D16)</f>
        <v>7315.5</v>
      </c>
      <c r="I17" s="37" t="s">
        <v>619</v>
      </c>
      <c r="M17" s="95" t="s">
        <v>665</v>
      </c>
      <c r="N17" s="132">
        <v>23</v>
      </c>
      <c r="O17" s="132"/>
      <c r="P17" s="132">
        <f t="shared" si="4"/>
        <v>23</v>
      </c>
      <c r="Q17" s="133">
        <v>45</v>
      </c>
      <c r="S17" s="95" t="s">
        <v>665</v>
      </c>
      <c r="T17" s="132">
        <v>25</v>
      </c>
      <c r="U17" s="132">
        <f>1+1</f>
        <v>2</v>
      </c>
      <c r="V17" s="132">
        <f t="shared" si="5"/>
        <v>23</v>
      </c>
      <c r="W17" s="133">
        <v>45</v>
      </c>
    </row>
    <row r="18" spans="2:23" ht="15.75" x14ac:dyDescent="0.25">
      <c r="B18" s="81"/>
      <c r="C18" s="103"/>
      <c r="D18" s="104"/>
      <c r="F18" s="81" t="s">
        <v>680</v>
      </c>
      <c r="I18" s="37"/>
      <c r="M18" s="95"/>
      <c r="N18" s="132"/>
      <c r="O18" s="132"/>
      <c r="P18" s="132"/>
      <c r="Q18" s="96"/>
      <c r="S18" s="95"/>
      <c r="T18" s="132"/>
      <c r="U18" s="132"/>
      <c r="V18" s="132"/>
      <c r="W18" s="96"/>
    </row>
    <row r="19" spans="2:23" ht="15.75" x14ac:dyDescent="0.2">
      <c r="B19" s="81"/>
      <c r="D19" s="104"/>
      <c r="F19" s="81" t="s">
        <v>681</v>
      </c>
      <c r="I19" s="92" t="s">
        <v>391</v>
      </c>
      <c r="J19" s="92" t="s">
        <v>391</v>
      </c>
      <c r="K19" s="92" t="s">
        <v>391</v>
      </c>
      <c r="M19" s="172" t="s">
        <v>650</v>
      </c>
      <c r="N19" s="132"/>
      <c r="O19" s="132"/>
      <c r="P19" s="132"/>
      <c r="Q19" s="174">
        <f>SUMPRODUCT(N6:N17,Q6:Q17)</f>
        <v>4475</v>
      </c>
      <c r="S19" s="172" t="s">
        <v>650</v>
      </c>
      <c r="T19" s="132"/>
      <c r="U19" s="132"/>
      <c r="V19" s="132"/>
      <c r="W19" s="174">
        <f>SUMPRODUCT(T6:T17,W6:W17)</f>
        <v>5365</v>
      </c>
    </row>
    <row r="20" spans="2:23" ht="15.75" x14ac:dyDescent="0.2">
      <c r="B20" s="81"/>
      <c r="C20" s="124"/>
      <c r="D20" s="104"/>
      <c r="F20" s="81"/>
      <c r="M20" s="172" t="s">
        <v>651</v>
      </c>
      <c r="N20" s="108"/>
      <c r="O20" s="108"/>
      <c r="P20" s="108"/>
      <c r="Q20" s="174">
        <f>SUMPRODUCT(O6:O17,Q6:Q17)</f>
        <v>460</v>
      </c>
      <c r="S20" s="172" t="s">
        <v>651</v>
      </c>
      <c r="T20" s="108"/>
      <c r="U20" s="108"/>
      <c r="V20" s="108"/>
      <c r="W20" s="174">
        <f>SUMPRODUCT(U6:U17,W6:W17)</f>
        <v>890</v>
      </c>
    </row>
    <row r="21" spans="2:23" ht="15.75" x14ac:dyDescent="0.2">
      <c r="B21" s="162"/>
      <c r="C21" s="169" t="s">
        <v>640</v>
      </c>
      <c r="D21" s="104">
        <f>B21*10</f>
        <v>0</v>
      </c>
      <c r="F21" s="126"/>
      <c r="M21" s="172" t="s">
        <v>652</v>
      </c>
      <c r="N21" s="108"/>
      <c r="O21" s="108"/>
      <c r="P21" s="108"/>
      <c r="Q21" s="174">
        <f>SUMPRODUCT(P6:P17,Q6:Q17)</f>
        <v>4015</v>
      </c>
      <c r="S21" s="172" t="s">
        <v>652</v>
      </c>
      <c r="T21" s="108"/>
      <c r="U21" s="108"/>
      <c r="V21" s="108"/>
      <c r="W21" s="174">
        <f>SUMPRODUCT(V6:V17,W6:W17)</f>
        <v>4475</v>
      </c>
    </row>
    <row r="22" spans="2:23" ht="15.75" x14ac:dyDescent="0.2">
      <c r="B22" s="164"/>
      <c r="C22" s="128" t="s">
        <v>386</v>
      </c>
      <c r="D22" s="104"/>
      <c r="F22" s="128"/>
      <c r="M22" s="175"/>
      <c r="N22" s="176"/>
      <c r="O22" s="176"/>
      <c r="P22" s="176"/>
      <c r="Q22" s="177"/>
      <c r="W22" s="179">
        <v>45629</v>
      </c>
    </row>
    <row r="23" spans="2:23" ht="15.75" x14ac:dyDescent="0.25">
      <c r="D23" s="109">
        <f>SUM(D21:D22)</f>
        <v>0</v>
      </c>
      <c r="F23" s="162"/>
      <c r="G23" s="163"/>
      <c r="H23" s="104"/>
      <c r="M23" s="172" t="s">
        <v>679</v>
      </c>
      <c r="N23" s="108"/>
      <c r="O23" s="108"/>
      <c r="P23" s="108"/>
      <c r="Q23" s="174">
        <v>5365</v>
      </c>
      <c r="S23" s="172" t="s">
        <v>666</v>
      </c>
      <c r="T23" s="108"/>
      <c r="U23" s="108"/>
      <c r="V23" s="108"/>
      <c r="W23" s="174">
        <v>890</v>
      </c>
    </row>
    <row r="24" spans="2:23" ht="16.5" thickBot="1" x14ac:dyDescent="0.3">
      <c r="B24" s="158"/>
      <c r="C24" s="160" t="s">
        <v>688</v>
      </c>
      <c r="D24" s="159"/>
      <c r="F24" s="127"/>
      <c r="M24" s="172" t="s">
        <v>678</v>
      </c>
      <c r="N24" s="108"/>
      <c r="O24" s="226">
        <v>45629</v>
      </c>
      <c r="P24" s="227"/>
      <c r="Q24" s="174">
        <v>-890</v>
      </c>
      <c r="S24" s="172" t="s">
        <v>667</v>
      </c>
      <c r="T24" s="108"/>
      <c r="U24" s="108"/>
      <c r="V24" s="108"/>
      <c r="W24" s="174">
        <f>W19-W23</f>
        <v>4475</v>
      </c>
    </row>
    <row r="25" spans="2:23" ht="15.75" x14ac:dyDescent="0.25">
      <c r="B25" s="127"/>
      <c r="C25" s="103"/>
      <c r="D25" s="109"/>
      <c r="M25" s="172" t="s">
        <v>678</v>
      </c>
      <c r="N25" s="108"/>
      <c r="O25" s="226">
        <v>45659</v>
      </c>
      <c r="P25" s="227"/>
      <c r="Q25" s="174"/>
      <c r="S25" s="175"/>
      <c r="T25" s="176"/>
      <c r="U25" s="176"/>
      <c r="V25" s="176"/>
      <c r="W25" s="177"/>
    </row>
    <row r="26" spans="2:23" ht="15.75" x14ac:dyDescent="0.25">
      <c r="B26" s="127"/>
      <c r="C26" s="103"/>
      <c r="D26" s="109"/>
      <c r="F26" s="127"/>
      <c r="M26" s="172" t="s">
        <v>667</v>
      </c>
      <c r="N26" s="108"/>
      <c r="O26" s="108"/>
      <c r="P26" s="108"/>
      <c r="Q26" s="174">
        <f>SUM(Q23:Q25)</f>
        <v>4475</v>
      </c>
      <c r="S26" s="175"/>
      <c r="T26" s="176"/>
      <c r="U26" s="176"/>
      <c r="V26" s="176"/>
      <c r="W26" s="177"/>
    </row>
    <row r="27" spans="2:23" ht="16.5" thickBot="1" x14ac:dyDescent="0.25">
      <c r="C27" s="162"/>
      <c r="M27" s="175"/>
      <c r="N27" s="176"/>
      <c r="O27" s="176"/>
      <c r="P27" s="176"/>
      <c r="Q27" s="177"/>
      <c r="S27" s="175"/>
      <c r="T27" s="176"/>
      <c r="U27" s="176"/>
      <c r="V27" s="176"/>
      <c r="W27" s="177"/>
    </row>
    <row r="28" spans="2:23" ht="15.75" x14ac:dyDescent="0.25">
      <c r="B28" s="129"/>
      <c r="C28" s="129" t="s">
        <v>0</v>
      </c>
      <c r="D28" s="129"/>
      <c r="M28" s="175"/>
      <c r="N28" s="176"/>
      <c r="O28" s="176"/>
      <c r="P28" s="176"/>
      <c r="Q28" s="177"/>
    </row>
    <row r="29" spans="2:23" ht="15.75" x14ac:dyDescent="0.2">
      <c r="C29" s="37" t="s">
        <v>392</v>
      </c>
      <c r="D29" s="1">
        <f>SUMIF(DIAR_24[[#All],[CATEGORIA]],"1_USO_AP",DIAR_24[[#All],[EGRESO]])+SUMIF(DIAR_24[[#All],[CATEGORIA]],"0_APORTACION",DIAR_24[[#All],[INGRESO]])</f>
        <v>4459</v>
      </c>
      <c r="M29" s="175"/>
      <c r="N29" s="176"/>
      <c r="O29" s="176"/>
      <c r="P29" s="176"/>
      <c r="Q29" s="177"/>
      <c r="S29" s="92" t="s">
        <v>391</v>
      </c>
      <c r="T29" s="92" t="s">
        <v>391</v>
      </c>
      <c r="U29" s="92"/>
      <c r="V29" s="92"/>
      <c r="W29" s="92" t="s">
        <v>391</v>
      </c>
    </row>
    <row r="30" spans="2:23" x14ac:dyDescent="0.2">
      <c r="C30" s="17" t="s">
        <v>6</v>
      </c>
      <c r="D30" s="1">
        <f>SUMIF(DIAR_24[[#All],[CATEGORIA]],"4_VENTA",DIAR_24[[#All],[INGRESO]])+SUMIF(DIAR_24[[#All],[CATEGORIA]],"5_COMPRA",DIAR_24[[#All],[EGRESO]])</f>
        <v>2856.5</v>
      </c>
    </row>
    <row r="31" spans="2:23" x14ac:dyDescent="0.2">
      <c r="C31" s="17" t="s">
        <v>9</v>
      </c>
      <c r="D31" s="1">
        <f>SUMIF(DIAR_24[[#All],[CATEGORIA]],"2_INGRESO",DIAR_24[[#All],[INGRESO]])+SUMIF(DIAR_24[[#All],[CATEGORIA]],"3_EGRESO",DIAR_24[[#All],[EGRESO]])</f>
        <v>0</v>
      </c>
      <c r="M31" s="92" t="s">
        <v>391</v>
      </c>
      <c r="N31" s="92" t="s">
        <v>391</v>
      </c>
      <c r="O31" s="92"/>
      <c r="P31" s="92"/>
      <c r="Q31" s="92" t="s">
        <v>391</v>
      </c>
    </row>
    <row r="32" spans="2:23" ht="16.5" thickBot="1" x14ac:dyDescent="0.3">
      <c r="C32" s="15" t="s">
        <v>13</v>
      </c>
      <c r="D32" s="16">
        <f>SUM(D29:D31)</f>
        <v>7315.5</v>
      </c>
    </row>
    <row r="33" spans="2:4" ht="15.75" thickTop="1" x14ac:dyDescent="0.2"/>
    <row r="34" spans="2:4" x14ac:dyDescent="0.2">
      <c r="B34" s="92" t="s">
        <v>391</v>
      </c>
      <c r="C34" s="92" t="s">
        <v>391</v>
      </c>
      <c r="D34" s="92" t="s">
        <v>391</v>
      </c>
    </row>
  </sheetData>
  <sortState xmlns:xlrd2="http://schemas.microsoft.com/office/spreadsheetml/2017/richdata2" ref="F7:G13">
    <sortCondition ref="F7:F13"/>
  </sortState>
  <mergeCells count="15">
    <mergeCell ref="S2:W2"/>
    <mergeCell ref="S3:W3"/>
    <mergeCell ref="S4:W4"/>
    <mergeCell ref="O24:P24"/>
    <mergeCell ref="O25:P25"/>
    <mergeCell ref="M2:Q2"/>
    <mergeCell ref="M3:Q3"/>
    <mergeCell ref="M4:Q4"/>
    <mergeCell ref="F2:G2"/>
    <mergeCell ref="B2:D2"/>
    <mergeCell ref="B3:D3"/>
    <mergeCell ref="B4:D4"/>
    <mergeCell ref="I2:K2"/>
    <mergeCell ref="I4:K4"/>
    <mergeCell ref="I3:K3"/>
  </mergeCells>
  <pageMargins left="0.27559055118110237" right="0.27559055118110237" top="0.74803149606299213" bottom="0.74803149606299213" header="0.31496062992125984" footer="0.31496062992125984"/>
  <pageSetup paperSize="2833" scale="75" fitToHeight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7"/>
  <sheetViews>
    <sheetView workbookViewId="0">
      <pane ySplit="6" topLeftCell="A33" activePane="bottomLeft" state="frozen"/>
      <selection activeCell="B1" sqref="B1"/>
      <selection pane="bottomLeft" activeCell="C38" sqref="C38"/>
    </sheetView>
  </sheetViews>
  <sheetFormatPr baseColWidth="10" defaultColWidth="10.109375" defaultRowHeight="15" customHeight="1" x14ac:dyDescent="0.2"/>
  <cols>
    <col min="1" max="1" width="6.109375" customWidth="1"/>
    <col min="2" max="2" width="6.77734375" customWidth="1"/>
    <col min="3" max="3" width="11.6640625" customWidth="1"/>
    <col min="4" max="4" width="9.88671875" customWidth="1"/>
    <col min="5" max="5" width="13" customWidth="1"/>
    <col min="6" max="6" width="24.6640625" customWidth="1"/>
    <col min="7" max="7" width="10" bestFit="1" customWidth="1"/>
    <col min="8" max="8" width="12.77734375" customWidth="1"/>
    <col min="9" max="9" width="17.77734375" customWidth="1"/>
    <col min="10" max="10" width="12.77734375" customWidth="1"/>
    <col min="11" max="11" width="10.44140625" customWidth="1"/>
    <col min="12" max="12" width="14.21875" customWidth="1"/>
    <col min="13" max="18" width="10.44140625" customWidth="1"/>
  </cols>
  <sheetData>
    <row r="1" spans="2:27" ht="15" customHeight="1" x14ac:dyDescent="0.2">
      <c r="B1" s="17"/>
      <c r="C1" s="68"/>
      <c r="D1" s="17"/>
      <c r="E1" s="17"/>
      <c r="F1" s="17"/>
      <c r="G1" s="17"/>
      <c r="H1" s="17"/>
      <c r="I1" s="17"/>
      <c r="AA1" s="48" t="s">
        <v>1</v>
      </c>
    </row>
    <row r="2" spans="2:27" ht="23.25" x14ac:dyDescent="0.35">
      <c r="B2" s="114"/>
      <c r="C2" s="216" t="s">
        <v>2</v>
      </c>
      <c r="D2" s="216"/>
      <c r="E2" s="216"/>
      <c r="F2" s="216"/>
      <c r="G2" s="216"/>
      <c r="H2" s="216"/>
      <c r="I2" s="216"/>
      <c r="AA2" s="49" t="s">
        <v>4</v>
      </c>
    </row>
    <row r="3" spans="2:27" ht="23.25" x14ac:dyDescent="0.35">
      <c r="B3" s="115"/>
      <c r="C3" s="207" t="s">
        <v>5</v>
      </c>
      <c r="D3" s="207"/>
      <c r="E3" s="207"/>
      <c r="F3" s="207"/>
      <c r="G3" s="207"/>
      <c r="H3" s="207"/>
      <c r="I3" s="207"/>
      <c r="AA3" s="49" t="s">
        <v>7</v>
      </c>
    </row>
    <row r="4" spans="2:27" ht="18" x14ac:dyDescent="0.25">
      <c r="B4" s="116"/>
      <c r="C4" s="217" t="s">
        <v>649</v>
      </c>
      <c r="D4" s="217"/>
      <c r="E4" s="217"/>
      <c r="F4" s="217"/>
      <c r="G4" s="217"/>
      <c r="H4" s="217"/>
      <c r="I4" s="217"/>
      <c r="AA4" s="49" t="s">
        <v>11</v>
      </c>
    </row>
    <row r="5" spans="2:27" ht="15.75" x14ac:dyDescent="0.25">
      <c r="B5" s="218">
        <f>MAX(Inventario[[#All],[FEC_MOV]])</f>
        <v>45637</v>
      </c>
      <c r="C5" s="219"/>
      <c r="D5" s="219"/>
      <c r="E5" s="219"/>
      <c r="F5" s="147" t="s">
        <v>393</v>
      </c>
      <c r="G5" s="153">
        <f>SUBTOTAL(9,Inventario[[#All],[AGUA]])</f>
        <v>168</v>
      </c>
      <c r="H5" s="153">
        <f>SUBTOTAL(9,Inventario[[#All],[SAL]])</f>
        <v>139</v>
      </c>
      <c r="I5" s="122"/>
      <c r="AA5" s="49" t="s">
        <v>14</v>
      </c>
    </row>
    <row r="6" spans="2:27" ht="15.75" thickBot="1" x14ac:dyDescent="0.25">
      <c r="B6" s="113" t="s">
        <v>15</v>
      </c>
      <c r="C6" s="113" t="s">
        <v>16</v>
      </c>
      <c r="D6" s="113" t="s">
        <v>17</v>
      </c>
      <c r="E6" s="113" t="s">
        <v>1</v>
      </c>
      <c r="F6" s="113" t="s">
        <v>18</v>
      </c>
      <c r="G6" s="152" t="s">
        <v>394</v>
      </c>
      <c r="H6" s="152" t="s">
        <v>395</v>
      </c>
      <c r="I6" s="113" t="s">
        <v>21</v>
      </c>
      <c r="AA6" s="49" t="s">
        <v>22</v>
      </c>
    </row>
    <row r="7" spans="2:27" ht="15" customHeight="1" x14ac:dyDescent="0.25">
      <c r="B7" s="117">
        <f t="shared" ref="B7" si="0">B6+1</f>
        <v>1</v>
      </c>
      <c r="C7" s="118">
        <v>45292</v>
      </c>
      <c r="D7" s="117" t="s">
        <v>248</v>
      </c>
      <c r="E7" s="157" t="s">
        <v>25</v>
      </c>
      <c r="F7" s="119" t="s">
        <v>396</v>
      </c>
      <c r="G7" s="154">
        <v>0</v>
      </c>
      <c r="H7" s="154">
        <v>0</v>
      </c>
      <c r="I7" s="120" t="s">
        <v>397</v>
      </c>
      <c r="L7" s="18"/>
      <c r="M7" s="31" t="s">
        <v>398</v>
      </c>
      <c r="N7" s="32"/>
      <c r="O7" s="32"/>
      <c r="P7" s="32"/>
      <c r="Q7" s="32"/>
      <c r="R7" s="32"/>
      <c r="S7" s="32"/>
      <c r="T7" s="19"/>
      <c r="AA7" s="49" t="s">
        <v>25</v>
      </c>
    </row>
    <row r="8" spans="2:27" ht="15" customHeight="1" x14ac:dyDescent="0.25">
      <c r="B8" s="117">
        <f t="shared" ref="B8:B13" si="1">B7+1</f>
        <v>2</v>
      </c>
      <c r="C8" s="118">
        <v>45296</v>
      </c>
      <c r="D8" s="117" t="s">
        <v>248</v>
      </c>
      <c r="E8" s="157" t="s">
        <v>25</v>
      </c>
      <c r="F8" s="119" t="s">
        <v>399</v>
      </c>
      <c r="G8" s="154">
        <v>112</v>
      </c>
      <c r="H8" s="154">
        <v>100</v>
      </c>
      <c r="I8" s="120"/>
      <c r="L8" s="33" t="s">
        <v>400</v>
      </c>
      <c r="M8" s="29" t="s">
        <v>384</v>
      </c>
      <c r="N8" s="30" t="s">
        <v>401</v>
      </c>
      <c r="O8" s="30" t="s">
        <v>402</v>
      </c>
      <c r="P8" s="29" t="s">
        <v>403</v>
      </c>
      <c r="Q8" s="27" t="s">
        <v>404</v>
      </c>
      <c r="R8" s="29" t="s">
        <v>405</v>
      </c>
      <c r="S8" s="29" t="s">
        <v>406</v>
      </c>
      <c r="T8" s="34" t="s">
        <v>407</v>
      </c>
    </row>
    <row r="9" spans="2:27" ht="15" customHeight="1" x14ac:dyDescent="0.2">
      <c r="B9" s="117">
        <f t="shared" si="1"/>
        <v>3</v>
      </c>
      <c r="C9" s="118">
        <v>45317</v>
      </c>
      <c r="D9" s="117" t="s">
        <v>248</v>
      </c>
      <c r="E9" s="157" t="s">
        <v>22</v>
      </c>
      <c r="F9" s="119" t="s">
        <v>408</v>
      </c>
      <c r="G9" s="154">
        <v>-39</v>
      </c>
      <c r="H9" s="154">
        <v>-45</v>
      </c>
      <c r="I9" s="120"/>
      <c r="L9" s="20"/>
      <c r="M9" s="17"/>
      <c r="N9" s="17"/>
      <c r="O9" s="17"/>
      <c r="P9" s="17"/>
      <c r="Q9" s="17"/>
      <c r="R9" s="17"/>
      <c r="S9" s="17"/>
      <c r="T9" s="22"/>
    </row>
    <row r="10" spans="2:27" ht="15" customHeight="1" x14ac:dyDescent="0.2">
      <c r="B10" s="117">
        <f t="shared" si="1"/>
        <v>4</v>
      </c>
      <c r="C10" s="118">
        <v>45337</v>
      </c>
      <c r="D10" s="117" t="s">
        <v>23</v>
      </c>
      <c r="E10" s="157" t="s">
        <v>22</v>
      </c>
      <c r="F10" s="119" t="s">
        <v>409</v>
      </c>
      <c r="G10" s="154">
        <v>-3</v>
      </c>
      <c r="H10" s="154"/>
      <c r="I10" s="120"/>
      <c r="L10" s="35">
        <v>0</v>
      </c>
      <c r="M10" s="36">
        <v>5</v>
      </c>
      <c r="N10" s="36" t="s">
        <v>410</v>
      </c>
      <c r="O10" s="37" t="s">
        <v>411</v>
      </c>
      <c r="P10" s="38">
        <v>14</v>
      </c>
      <c r="Q10" s="38">
        <f t="shared" ref="Q10:Q12" si="2">M10*P10</f>
        <v>70</v>
      </c>
      <c r="R10" s="38">
        <v>20</v>
      </c>
      <c r="S10" s="38">
        <f t="shared" ref="S10:S12" si="3">M10*R10</f>
        <v>100</v>
      </c>
      <c r="T10" s="39">
        <f>L10*R10</f>
        <v>0</v>
      </c>
    </row>
    <row r="11" spans="2:27" ht="15" customHeight="1" x14ac:dyDescent="0.2">
      <c r="B11" s="117">
        <f t="shared" si="1"/>
        <v>5</v>
      </c>
      <c r="C11" s="118">
        <v>45345</v>
      </c>
      <c r="D11" s="117" t="s">
        <v>23</v>
      </c>
      <c r="E11" s="157" t="s">
        <v>22</v>
      </c>
      <c r="F11" s="119" t="s">
        <v>408</v>
      </c>
      <c r="G11" s="154">
        <v>-63</v>
      </c>
      <c r="H11" s="154">
        <v>-55</v>
      </c>
      <c r="I11" s="120"/>
      <c r="L11" s="35">
        <v>0</v>
      </c>
      <c r="M11" s="36">
        <v>12</v>
      </c>
      <c r="N11" s="36" t="s">
        <v>412</v>
      </c>
      <c r="O11" s="37" t="s">
        <v>413</v>
      </c>
      <c r="P11" s="38">
        <v>10</v>
      </c>
      <c r="Q11" s="38">
        <f t="shared" si="2"/>
        <v>120</v>
      </c>
      <c r="R11" s="38">
        <v>15</v>
      </c>
      <c r="S11" s="38">
        <f t="shared" si="3"/>
        <v>180</v>
      </c>
      <c r="T11" s="39">
        <f t="shared" ref="T11:T12" si="4">L11*R11</f>
        <v>0</v>
      </c>
    </row>
    <row r="12" spans="2:27" ht="15" customHeight="1" x14ac:dyDescent="0.2">
      <c r="B12" s="117">
        <f t="shared" si="1"/>
        <v>6</v>
      </c>
      <c r="C12" s="118">
        <v>45351</v>
      </c>
      <c r="D12" s="117" t="s">
        <v>23</v>
      </c>
      <c r="E12" s="157" t="s">
        <v>25</v>
      </c>
      <c r="F12" s="119" t="s">
        <v>399</v>
      </c>
      <c r="G12" s="154">
        <v>112</v>
      </c>
      <c r="H12" s="154">
        <v>100</v>
      </c>
      <c r="I12" s="120"/>
      <c r="L12" s="40">
        <v>0</v>
      </c>
      <c r="M12" s="41">
        <v>0</v>
      </c>
      <c r="N12" s="36" t="s">
        <v>412</v>
      </c>
      <c r="O12" s="37" t="s">
        <v>414</v>
      </c>
      <c r="P12" s="38">
        <v>2.68</v>
      </c>
      <c r="Q12" s="38">
        <f t="shared" si="2"/>
        <v>0</v>
      </c>
      <c r="R12" s="38">
        <v>5</v>
      </c>
      <c r="S12" s="38">
        <f t="shared" si="3"/>
        <v>0</v>
      </c>
      <c r="T12" s="39">
        <f t="shared" si="4"/>
        <v>0</v>
      </c>
    </row>
    <row r="13" spans="2:27" ht="15" customHeight="1" thickBot="1" x14ac:dyDescent="0.25">
      <c r="B13" s="148">
        <f t="shared" si="1"/>
        <v>7</v>
      </c>
      <c r="C13" s="149">
        <v>45373</v>
      </c>
      <c r="D13" s="148" t="s">
        <v>33</v>
      </c>
      <c r="E13" s="161" t="s">
        <v>22</v>
      </c>
      <c r="F13" s="150" t="s">
        <v>408</v>
      </c>
      <c r="G13" s="155">
        <f>-50</f>
        <v>-50</v>
      </c>
      <c r="H13" s="155">
        <v>-40</v>
      </c>
      <c r="I13" s="151"/>
      <c r="L13" s="20"/>
      <c r="M13" s="17"/>
      <c r="N13" s="17"/>
      <c r="O13" s="17"/>
      <c r="P13" s="17"/>
      <c r="Q13" s="17"/>
      <c r="R13" s="17"/>
      <c r="S13" s="17"/>
      <c r="T13" s="22"/>
    </row>
    <row r="14" spans="2:27" ht="15" customHeight="1" thickTop="1" thickBot="1" x14ac:dyDescent="0.3">
      <c r="B14" s="117">
        <f t="shared" ref="B14:B29" si="5">B13+1</f>
        <v>8</v>
      </c>
      <c r="C14" s="118">
        <v>45374</v>
      </c>
      <c r="D14" s="148" t="s">
        <v>33</v>
      </c>
      <c r="E14" s="157" t="s">
        <v>22</v>
      </c>
      <c r="F14" s="119" t="s">
        <v>415</v>
      </c>
      <c r="G14" s="154"/>
      <c r="H14" s="154">
        <v>-1</v>
      </c>
      <c r="I14" s="120"/>
      <c r="L14" s="20"/>
      <c r="M14" s="17"/>
      <c r="N14" s="17"/>
      <c r="O14" s="17"/>
      <c r="P14" s="28" t="s">
        <v>376</v>
      </c>
      <c r="Q14" s="9">
        <f>SUM(Q10:Q13)</f>
        <v>190</v>
      </c>
      <c r="R14" s="10"/>
      <c r="S14" s="9">
        <f>SUM(S10:S13)</f>
        <v>280</v>
      </c>
      <c r="T14" s="42">
        <f>SUM(T10:T13)</f>
        <v>0</v>
      </c>
    </row>
    <row r="15" spans="2:27" ht="15" customHeight="1" thickTop="1" thickBot="1" x14ac:dyDescent="0.25">
      <c r="B15" s="117">
        <f t="shared" si="5"/>
        <v>9</v>
      </c>
      <c r="C15" s="118">
        <v>45381</v>
      </c>
      <c r="D15" s="148" t="s">
        <v>33</v>
      </c>
      <c r="E15" s="157" t="s">
        <v>22</v>
      </c>
      <c r="F15" s="119" t="s">
        <v>409</v>
      </c>
      <c r="G15" s="154">
        <v>-2</v>
      </c>
      <c r="H15" s="154"/>
      <c r="I15" s="120"/>
      <c r="L15" s="20"/>
      <c r="M15" s="17"/>
      <c r="N15" s="17"/>
      <c r="O15" s="17"/>
      <c r="P15" s="17"/>
      <c r="Q15" s="17"/>
      <c r="R15" s="17"/>
      <c r="S15" s="17"/>
      <c r="T15" s="22"/>
    </row>
    <row r="16" spans="2:27" ht="15" customHeight="1" thickTop="1" thickBot="1" x14ac:dyDescent="0.3">
      <c r="B16" s="117">
        <f t="shared" si="5"/>
        <v>10</v>
      </c>
      <c r="C16" s="118">
        <v>45408</v>
      </c>
      <c r="D16" s="117" t="s">
        <v>36</v>
      </c>
      <c r="E16" s="157" t="s">
        <v>22</v>
      </c>
      <c r="F16" s="119" t="s">
        <v>408</v>
      </c>
      <c r="G16" s="154">
        <v>-58</v>
      </c>
      <c r="H16" s="154">
        <v>-55</v>
      </c>
      <c r="I16" s="120"/>
      <c r="L16" s="20"/>
      <c r="M16" s="17"/>
      <c r="N16" s="17"/>
      <c r="O16" s="17"/>
      <c r="P16" s="17"/>
      <c r="Q16" s="17"/>
      <c r="R16" s="8" t="s">
        <v>416</v>
      </c>
      <c r="S16" s="11">
        <f>S14-Q14</f>
        <v>90</v>
      </c>
      <c r="T16" s="22"/>
    </row>
    <row r="17" spans="2:20" ht="15" customHeight="1" thickTop="1" thickBot="1" x14ac:dyDescent="0.25">
      <c r="B17" s="117">
        <f t="shared" si="5"/>
        <v>11</v>
      </c>
      <c r="C17" s="118">
        <v>45409</v>
      </c>
      <c r="D17" s="117" t="s">
        <v>36</v>
      </c>
      <c r="E17" s="157" t="s">
        <v>22</v>
      </c>
      <c r="F17" s="119" t="s">
        <v>417</v>
      </c>
      <c r="G17" s="154">
        <v>-1</v>
      </c>
      <c r="H17" s="154">
        <v>-4</v>
      </c>
      <c r="I17" s="120" t="s">
        <v>418</v>
      </c>
      <c r="L17" s="20"/>
      <c r="M17" s="17"/>
      <c r="N17" s="17"/>
      <c r="O17" s="17"/>
      <c r="P17" s="17"/>
      <c r="Q17" s="17"/>
      <c r="R17" s="17"/>
      <c r="S17" s="17"/>
      <c r="T17" s="22"/>
    </row>
    <row r="18" spans="2:20" ht="15" customHeight="1" thickTop="1" thickBot="1" x14ac:dyDescent="0.3">
      <c r="B18" s="117">
        <f t="shared" si="5"/>
        <v>12</v>
      </c>
      <c r="C18" s="118">
        <v>45414</v>
      </c>
      <c r="D18" s="117" t="s">
        <v>53</v>
      </c>
      <c r="E18" s="157" t="s">
        <v>25</v>
      </c>
      <c r="F18" s="119" t="s">
        <v>399</v>
      </c>
      <c r="G18" s="154">
        <v>112</v>
      </c>
      <c r="H18" s="154">
        <v>100</v>
      </c>
      <c r="I18" s="120"/>
      <c r="L18" s="20"/>
      <c r="M18" s="17"/>
      <c r="N18" s="17"/>
      <c r="O18" s="17"/>
      <c r="P18" s="17"/>
      <c r="Q18" s="17"/>
      <c r="R18" s="8" t="s">
        <v>419</v>
      </c>
      <c r="S18" s="11">
        <f>S16*0.05</f>
        <v>4.5</v>
      </c>
      <c r="T18" s="43" t="s">
        <v>420</v>
      </c>
    </row>
    <row r="19" spans="2:20" ht="15" customHeight="1" thickTop="1" thickBot="1" x14ac:dyDescent="0.25">
      <c r="B19" s="117">
        <f t="shared" si="5"/>
        <v>13</v>
      </c>
      <c r="C19" s="118">
        <v>45417</v>
      </c>
      <c r="D19" s="117" t="s">
        <v>53</v>
      </c>
      <c r="E19" s="157" t="s">
        <v>22</v>
      </c>
      <c r="F19" s="119" t="s">
        <v>409</v>
      </c>
      <c r="G19" s="154">
        <v>-2</v>
      </c>
      <c r="H19" s="154"/>
      <c r="I19" s="120"/>
      <c r="L19" s="23"/>
      <c r="M19" s="24"/>
      <c r="N19" s="24"/>
      <c r="O19" s="24"/>
      <c r="P19" s="24"/>
      <c r="Q19" s="24"/>
      <c r="R19" s="24"/>
      <c r="S19" s="24"/>
      <c r="T19" s="25"/>
    </row>
    <row r="20" spans="2:20" ht="15" customHeight="1" thickBot="1" x14ac:dyDescent="0.25">
      <c r="B20" s="117">
        <f t="shared" si="5"/>
        <v>14</v>
      </c>
      <c r="C20" s="118">
        <v>45424</v>
      </c>
      <c r="D20" s="117" t="s">
        <v>53</v>
      </c>
      <c r="E20" s="157" t="s">
        <v>22</v>
      </c>
      <c r="F20" s="119" t="s">
        <v>409</v>
      </c>
      <c r="G20" s="154">
        <v>-2</v>
      </c>
      <c r="H20" s="154"/>
      <c r="I20" s="120"/>
    </row>
    <row r="21" spans="2:20" ht="15.75" x14ac:dyDescent="0.25">
      <c r="B21" s="117">
        <f t="shared" si="5"/>
        <v>15</v>
      </c>
      <c r="C21" s="118">
        <v>45431</v>
      </c>
      <c r="D21" s="117" t="s">
        <v>53</v>
      </c>
      <c r="E21" s="157" t="s">
        <v>22</v>
      </c>
      <c r="F21" s="119" t="s">
        <v>409</v>
      </c>
      <c r="G21" s="154">
        <v>-3</v>
      </c>
      <c r="H21" s="154"/>
      <c r="I21" s="120"/>
      <c r="L21" s="18"/>
      <c r="M21" s="31" t="s">
        <v>421</v>
      </c>
      <c r="N21" s="32"/>
      <c r="O21" s="32"/>
      <c r="P21" s="32"/>
      <c r="Q21" s="32"/>
      <c r="R21" s="32"/>
      <c r="S21" s="32"/>
      <c r="T21" s="19"/>
    </row>
    <row r="22" spans="2:20" ht="15.75" customHeight="1" x14ac:dyDescent="0.25">
      <c r="B22" s="117">
        <f t="shared" si="5"/>
        <v>16</v>
      </c>
      <c r="C22" s="118">
        <v>45435</v>
      </c>
      <c r="D22" s="117" t="s">
        <v>53</v>
      </c>
      <c r="E22" s="157" t="s">
        <v>22</v>
      </c>
      <c r="F22" s="119" t="s">
        <v>409</v>
      </c>
      <c r="G22" s="154">
        <v>-3</v>
      </c>
      <c r="H22" s="154"/>
      <c r="I22" s="120"/>
      <c r="L22" s="33" t="s">
        <v>400</v>
      </c>
      <c r="M22" s="29" t="s">
        <v>384</v>
      </c>
      <c r="N22" s="30" t="s">
        <v>401</v>
      </c>
      <c r="O22" s="30" t="s">
        <v>402</v>
      </c>
      <c r="P22" s="29" t="s">
        <v>403</v>
      </c>
      <c r="Q22" s="27" t="s">
        <v>404</v>
      </c>
      <c r="R22" s="29" t="s">
        <v>405</v>
      </c>
      <c r="S22" s="29" t="s">
        <v>406</v>
      </c>
      <c r="T22" s="34" t="s">
        <v>407</v>
      </c>
    </row>
    <row r="23" spans="2:20" x14ac:dyDescent="0.2">
      <c r="B23" s="117">
        <f t="shared" si="5"/>
        <v>17</v>
      </c>
      <c r="C23" s="118">
        <v>45443</v>
      </c>
      <c r="D23" s="117" t="s">
        <v>53</v>
      </c>
      <c r="E23" s="157" t="s">
        <v>22</v>
      </c>
      <c r="F23" s="119" t="s">
        <v>408</v>
      </c>
      <c r="G23" s="154">
        <v>-59</v>
      </c>
      <c r="H23" s="154">
        <v>-49</v>
      </c>
      <c r="I23" s="120"/>
      <c r="L23" s="20"/>
      <c r="M23" s="17"/>
      <c r="N23" s="17"/>
      <c r="O23" s="17"/>
      <c r="P23" s="17"/>
      <c r="Q23" s="17"/>
      <c r="R23" s="17"/>
      <c r="S23" s="17"/>
      <c r="T23" s="22"/>
    </row>
    <row r="24" spans="2:20" ht="15" customHeight="1" x14ac:dyDescent="0.2">
      <c r="B24" s="117">
        <f t="shared" si="5"/>
        <v>18</v>
      </c>
      <c r="C24" s="118">
        <v>45445</v>
      </c>
      <c r="D24" s="117" t="s">
        <v>76</v>
      </c>
      <c r="E24" s="157" t="s">
        <v>22</v>
      </c>
      <c r="F24" s="119" t="s">
        <v>409</v>
      </c>
      <c r="G24" s="154">
        <v>-2</v>
      </c>
      <c r="H24" s="154"/>
      <c r="I24" s="120"/>
      <c r="L24" s="35">
        <v>0</v>
      </c>
      <c r="M24" s="36">
        <v>30</v>
      </c>
      <c r="N24" s="36" t="s">
        <v>410</v>
      </c>
      <c r="O24" s="37" t="s">
        <v>411</v>
      </c>
      <c r="P24" s="38">
        <v>6</v>
      </c>
      <c r="Q24" s="38">
        <f t="shared" ref="Q24:Q26" si="6">M24*P24</f>
        <v>180</v>
      </c>
      <c r="R24" s="38">
        <v>10</v>
      </c>
      <c r="S24" s="38">
        <f t="shared" ref="S24:S26" si="7">M24*R24</f>
        <v>300</v>
      </c>
      <c r="T24" s="39">
        <f>L24*R24</f>
        <v>0</v>
      </c>
    </row>
    <row r="25" spans="2:20" ht="15" customHeight="1" x14ac:dyDescent="0.2">
      <c r="B25" s="117">
        <f t="shared" si="5"/>
        <v>19</v>
      </c>
      <c r="C25" s="118">
        <v>45459</v>
      </c>
      <c r="D25" s="117" t="s">
        <v>76</v>
      </c>
      <c r="E25" s="157" t="s">
        <v>22</v>
      </c>
      <c r="F25" s="119" t="s">
        <v>409</v>
      </c>
      <c r="G25" s="154">
        <v>-2</v>
      </c>
      <c r="H25" s="154"/>
      <c r="I25" s="120"/>
      <c r="L25" s="35">
        <v>68</v>
      </c>
      <c r="M25" s="36">
        <v>52</v>
      </c>
      <c r="N25" s="36" t="s">
        <v>412</v>
      </c>
      <c r="O25" s="37" t="s">
        <v>422</v>
      </c>
      <c r="P25" s="38">
        <v>11</v>
      </c>
      <c r="Q25" s="38">
        <f t="shared" si="6"/>
        <v>572</v>
      </c>
      <c r="R25" s="38">
        <v>15</v>
      </c>
      <c r="S25" s="38">
        <f t="shared" si="7"/>
        <v>780</v>
      </c>
      <c r="T25" s="39">
        <f t="shared" ref="T25:T26" si="8">L25*R25</f>
        <v>1020</v>
      </c>
    </row>
    <row r="26" spans="2:20" ht="15" customHeight="1" x14ac:dyDescent="0.2">
      <c r="B26" s="117">
        <f t="shared" si="5"/>
        <v>20</v>
      </c>
      <c r="C26" s="118">
        <v>45471</v>
      </c>
      <c r="D26" s="117" t="s">
        <v>76</v>
      </c>
      <c r="E26" s="157" t="s">
        <v>22</v>
      </c>
      <c r="F26" s="119" t="s">
        <v>408</v>
      </c>
      <c r="G26" s="154">
        <v>-41</v>
      </c>
      <c r="H26" s="154">
        <v>-26</v>
      </c>
      <c r="I26" s="120"/>
      <c r="L26" s="40">
        <v>0</v>
      </c>
      <c r="M26" s="41">
        <v>0</v>
      </c>
      <c r="N26" s="36" t="s">
        <v>412</v>
      </c>
      <c r="O26" s="37" t="s">
        <v>414</v>
      </c>
      <c r="P26" s="38">
        <v>2.68</v>
      </c>
      <c r="Q26" s="38">
        <f t="shared" si="6"/>
        <v>0</v>
      </c>
      <c r="R26" s="38">
        <v>5</v>
      </c>
      <c r="S26" s="38">
        <f t="shared" si="7"/>
        <v>0</v>
      </c>
      <c r="T26" s="39">
        <f t="shared" si="8"/>
        <v>0</v>
      </c>
    </row>
    <row r="27" spans="2:20" ht="15" customHeight="1" thickBot="1" x14ac:dyDescent="0.25">
      <c r="B27" s="117">
        <f t="shared" si="5"/>
        <v>21</v>
      </c>
      <c r="C27" s="118">
        <v>45482</v>
      </c>
      <c r="D27" s="117" t="s">
        <v>105</v>
      </c>
      <c r="E27" s="157" t="s">
        <v>25</v>
      </c>
      <c r="F27" s="119" t="s">
        <v>399</v>
      </c>
      <c r="G27" s="154">
        <v>56</v>
      </c>
      <c r="H27" s="154"/>
      <c r="I27" s="120"/>
      <c r="L27" s="40">
        <v>0</v>
      </c>
      <c r="M27" s="41">
        <v>1</v>
      </c>
      <c r="N27" s="17" t="s">
        <v>412</v>
      </c>
      <c r="O27" s="17" t="s">
        <v>423</v>
      </c>
      <c r="P27" s="38">
        <v>25</v>
      </c>
      <c r="Q27" s="38">
        <f t="shared" ref="Q27" si="9">M27*P27</f>
        <v>25</v>
      </c>
      <c r="R27" s="38">
        <v>0</v>
      </c>
      <c r="S27" s="38">
        <f t="shared" ref="S27" si="10">M27*R27</f>
        <v>0</v>
      </c>
      <c r="T27" s="39">
        <f t="shared" ref="T27" si="11">L27*R27</f>
        <v>0</v>
      </c>
    </row>
    <row r="28" spans="2:20" ht="15" customHeight="1" thickTop="1" thickBot="1" x14ac:dyDescent="0.3">
      <c r="B28" s="117">
        <f t="shared" si="5"/>
        <v>22</v>
      </c>
      <c r="C28" s="118">
        <v>45486</v>
      </c>
      <c r="D28" s="117" t="s">
        <v>105</v>
      </c>
      <c r="E28" s="157" t="s">
        <v>25</v>
      </c>
      <c r="F28" s="119" t="s">
        <v>399</v>
      </c>
      <c r="G28" s="154"/>
      <c r="H28" s="154">
        <v>101</v>
      </c>
      <c r="I28" s="120"/>
      <c r="L28" s="20"/>
      <c r="M28" s="17"/>
      <c r="N28" s="17"/>
      <c r="O28" s="17"/>
      <c r="P28" s="28" t="s">
        <v>376</v>
      </c>
      <c r="Q28" s="9">
        <f>SUM(Q24:Q27)</f>
        <v>777</v>
      </c>
      <c r="R28" s="10"/>
      <c r="S28" s="9">
        <f>SUM(S24:S27)</f>
        <v>1080</v>
      </c>
      <c r="T28" s="42">
        <f>SUM(T24:T27)</f>
        <v>1020</v>
      </c>
    </row>
    <row r="29" spans="2:20" ht="15" customHeight="1" thickTop="1" thickBot="1" x14ac:dyDescent="0.25">
      <c r="B29" s="117">
        <f t="shared" si="5"/>
        <v>23</v>
      </c>
      <c r="C29" s="118">
        <v>45499</v>
      </c>
      <c r="D29" s="117" t="s">
        <v>105</v>
      </c>
      <c r="E29" s="157" t="s">
        <v>22</v>
      </c>
      <c r="F29" s="119" t="s">
        <v>408</v>
      </c>
      <c r="G29" s="154">
        <v>-47</v>
      </c>
      <c r="H29" s="154">
        <v>-43</v>
      </c>
      <c r="I29" s="120"/>
      <c r="L29" s="20"/>
      <c r="M29" s="17"/>
      <c r="N29" s="17"/>
      <c r="O29" s="17"/>
      <c r="P29" s="17"/>
      <c r="Q29" s="17"/>
      <c r="R29" s="17"/>
      <c r="S29" s="17"/>
      <c r="T29" s="22"/>
    </row>
    <row r="30" spans="2:20" ht="15.75" customHeight="1" thickTop="1" thickBot="1" x14ac:dyDescent="0.3">
      <c r="B30" s="117">
        <f t="shared" ref="B30:B37" si="12">B29+1</f>
        <v>24</v>
      </c>
      <c r="C30" s="118">
        <v>45552</v>
      </c>
      <c r="D30" s="117" t="s">
        <v>616</v>
      </c>
      <c r="E30" s="157" t="s">
        <v>25</v>
      </c>
      <c r="F30" s="119" t="s">
        <v>399</v>
      </c>
      <c r="G30" s="154">
        <v>56</v>
      </c>
      <c r="H30" s="154"/>
      <c r="I30" s="120"/>
      <c r="L30" s="20"/>
      <c r="M30" s="17"/>
      <c r="N30" s="17"/>
      <c r="O30" s="17"/>
      <c r="P30" s="17"/>
      <c r="Q30" s="17"/>
      <c r="R30" s="8" t="s">
        <v>416</v>
      </c>
      <c r="S30" s="11">
        <f>S28-Q28</f>
        <v>303</v>
      </c>
      <c r="T30" s="22"/>
    </row>
    <row r="31" spans="2:20" ht="15.75" customHeight="1" thickTop="1" thickBot="1" x14ac:dyDescent="0.25">
      <c r="B31" s="117">
        <f t="shared" si="12"/>
        <v>25</v>
      </c>
      <c r="C31" s="118">
        <v>45562</v>
      </c>
      <c r="D31" s="117" t="s">
        <v>616</v>
      </c>
      <c r="E31" s="157" t="s">
        <v>22</v>
      </c>
      <c r="F31" s="119" t="s">
        <v>408</v>
      </c>
      <c r="G31" s="154">
        <v>-58</v>
      </c>
      <c r="H31" s="154">
        <v>-43</v>
      </c>
      <c r="I31" s="120"/>
      <c r="L31" s="20"/>
      <c r="M31" s="17"/>
      <c r="N31" s="17"/>
      <c r="O31" s="17"/>
      <c r="P31" s="17"/>
      <c r="Q31" s="17"/>
      <c r="R31" s="17"/>
      <c r="S31" s="17"/>
      <c r="T31" s="22"/>
    </row>
    <row r="32" spans="2:20" ht="15.75" customHeight="1" thickTop="1" thickBot="1" x14ac:dyDescent="0.3">
      <c r="B32" s="117">
        <f t="shared" si="12"/>
        <v>26</v>
      </c>
      <c r="C32" s="118">
        <v>45587</v>
      </c>
      <c r="D32" s="117" t="s">
        <v>632</v>
      </c>
      <c r="E32" s="157" t="s">
        <v>25</v>
      </c>
      <c r="F32" s="119" t="s">
        <v>399</v>
      </c>
      <c r="G32" s="154">
        <f>2*45</f>
        <v>90</v>
      </c>
      <c r="H32" s="154"/>
      <c r="I32" s="120"/>
      <c r="L32" s="20"/>
      <c r="M32" s="17"/>
      <c r="N32" s="17"/>
      <c r="O32" s="17"/>
      <c r="P32" s="17"/>
      <c r="Q32" s="17"/>
      <c r="R32" s="8" t="s">
        <v>419</v>
      </c>
      <c r="S32" s="11">
        <f>S30*0.05</f>
        <v>15.15</v>
      </c>
      <c r="T32" s="22" t="s">
        <v>420</v>
      </c>
    </row>
    <row r="33" spans="1:20" ht="15.75" customHeight="1" thickTop="1" thickBot="1" x14ac:dyDescent="0.25">
      <c r="B33" s="117">
        <f t="shared" si="12"/>
        <v>27</v>
      </c>
      <c r="C33" s="118">
        <v>45590</v>
      </c>
      <c r="D33" s="117" t="s">
        <v>632</v>
      </c>
      <c r="E33" s="157" t="s">
        <v>22</v>
      </c>
      <c r="F33" s="119" t="s">
        <v>408</v>
      </c>
      <c r="G33" s="154">
        <v>-103</v>
      </c>
      <c r="H33" s="154">
        <v>-40</v>
      </c>
      <c r="I33" s="120"/>
      <c r="L33" s="23"/>
      <c r="M33" s="24"/>
      <c r="N33" s="24"/>
      <c r="O33" s="24"/>
      <c r="P33" s="24"/>
      <c r="Q33" s="24"/>
      <c r="R33" s="24"/>
      <c r="S33" s="24"/>
      <c r="T33" s="25"/>
    </row>
    <row r="34" spans="1:20" ht="15.75" thickBot="1" x14ac:dyDescent="0.25">
      <c r="B34" s="117">
        <f t="shared" si="12"/>
        <v>28</v>
      </c>
      <c r="C34" s="118">
        <v>45601</v>
      </c>
      <c r="D34" s="117" t="s">
        <v>648</v>
      </c>
      <c r="E34" s="157" t="s">
        <v>25</v>
      </c>
      <c r="F34" s="119" t="s">
        <v>399</v>
      </c>
      <c r="G34" s="154"/>
      <c r="H34" s="154">
        <v>101</v>
      </c>
      <c r="I34" s="120"/>
    </row>
    <row r="35" spans="1:20" ht="15.75" customHeight="1" x14ac:dyDescent="0.25">
      <c r="B35" s="117">
        <f t="shared" si="12"/>
        <v>29</v>
      </c>
      <c r="C35" s="118">
        <v>45604</v>
      </c>
      <c r="D35" s="117" t="s">
        <v>648</v>
      </c>
      <c r="E35" s="157" t="s">
        <v>25</v>
      </c>
      <c r="F35" s="119" t="s">
        <v>399</v>
      </c>
      <c r="G35" s="154">
        <v>144</v>
      </c>
      <c r="H35" s="154"/>
      <c r="I35" s="120"/>
      <c r="L35" s="18"/>
      <c r="M35" s="31" t="s">
        <v>424</v>
      </c>
      <c r="N35" s="32"/>
      <c r="O35" s="32"/>
      <c r="P35" s="32"/>
      <c r="Q35" s="32"/>
      <c r="R35" s="32"/>
      <c r="S35" s="32"/>
      <c r="T35" s="19"/>
    </row>
    <row r="36" spans="1:20" ht="15.75" customHeight="1" x14ac:dyDescent="0.25">
      <c r="B36" s="117">
        <f t="shared" si="12"/>
        <v>30</v>
      </c>
      <c r="C36" s="118">
        <v>45625</v>
      </c>
      <c r="D36" s="117" t="s">
        <v>648</v>
      </c>
      <c r="E36" s="157" t="s">
        <v>22</v>
      </c>
      <c r="F36" s="119" t="s">
        <v>408</v>
      </c>
      <c r="G36" s="154">
        <v>-66</v>
      </c>
      <c r="H36" s="154">
        <v>-62</v>
      </c>
      <c r="I36" s="120"/>
      <c r="L36" s="33" t="s">
        <v>400</v>
      </c>
      <c r="M36" s="29" t="s">
        <v>384</v>
      </c>
      <c r="N36" s="30" t="s">
        <v>401</v>
      </c>
      <c r="O36" s="30" t="s">
        <v>402</v>
      </c>
      <c r="P36" s="29" t="s">
        <v>403</v>
      </c>
      <c r="Q36" s="27" t="s">
        <v>404</v>
      </c>
      <c r="R36" s="29" t="s">
        <v>405</v>
      </c>
      <c r="S36" s="29" t="s">
        <v>406</v>
      </c>
      <c r="T36" s="34" t="s">
        <v>407</v>
      </c>
    </row>
    <row r="37" spans="1:20" x14ac:dyDescent="0.2">
      <c r="A37" s="7"/>
      <c r="B37" s="117">
        <f t="shared" si="12"/>
        <v>31</v>
      </c>
      <c r="C37" s="118">
        <v>45637</v>
      </c>
      <c r="D37" s="117" t="s">
        <v>683</v>
      </c>
      <c r="E37" s="157" t="s">
        <v>25</v>
      </c>
      <c r="F37" s="119" t="s">
        <v>399</v>
      </c>
      <c r="G37" s="154">
        <v>90</v>
      </c>
      <c r="H37" s="154">
        <v>100</v>
      </c>
      <c r="I37" s="120"/>
      <c r="L37" s="20"/>
      <c r="M37" s="17"/>
      <c r="N37" s="17"/>
      <c r="O37" s="17"/>
      <c r="P37" s="17"/>
      <c r="Q37" s="17"/>
      <c r="R37" s="17"/>
      <c r="S37" s="17"/>
      <c r="T37" s="22"/>
    </row>
    <row r="38" spans="1:20" x14ac:dyDescent="0.2">
      <c r="A38" s="7"/>
      <c r="B38" s="117">
        <f>B37+1</f>
        <v>32</v>
      </c>
      <c r="C38" s="118"/>
      <c r="D38" s="117"/>
      <c r="E38" s="157"/>
      <c r="F38" s="119"/>
      <c r="G38" s="154"/>
      <c r="H38" s="154"/>
      <c r="I38" s="120"/>
      <c r="L38" s="35">
        <v>0</v>
      </c>
      <c r="M38" s="36">
        <v>30</v>
      </c>
      <c r="N38" s="36" t="s">
        <v>410</v>
      </c>
      <c r="O38" s="37" t="s">
        <v>411</v>
      </c>
      <c r="P38" s="38">
        <v>6</v>
      </c>
      <c r="Q38" s="38">
        <f t="shared" ref="Q38:Q40" si="13">M38*P38</f>
        <v>180</v>
      </c>
      <c r="R38" s="38">
        <v>10</v>
      </c>
      <c r="S38" s="38">
        <f t="shared" ref="S38:S40" si="14">M38*R38</f>
        <v>300</v>
      </c>
      <c r="T38" s="39">
        <f>L38*R38</f>
        <v>0</v>
      </c>
    </row>
    <row r="39" spans="1:20" x14ac:dyDescent="0.2">
      <c r="A39" s="7"/>
      <c r="B39" s="148"/>
      <c r="C39" s="149"/>
      <c r="D39" s="148"/>
      <c r="E39" s="161"/>
      <c r="F39" s="150"/>
      <c r="G39" s="155"/>
      <c r="H39" s="155"/>
      <c r="I39" s="151"/>
      <c r="L39" s="35">
        <v>43</v>
      </c>
      <c r="M39" s="36">
        <v>17</v>
      </c>
      <c r="N39" s="36" t="s">
        <v>412</v>
      </c>
      <c r="O39" s="37" t="s">
        <v>422</v>
      </c>
      <c r="P39" s="38">
        <v>11</v>
      </c>
      <c r="Q39" s="38">
        <f t="shared" si="13"/>
        <v>187</v>
      </c>
      <c r="R39" s="38">
        <v>15</v>
      </c>
      <c r="S39" s="38">
        <f t="shared" si="14"/>
        <v>255</v>
      </c>
      <c r="T39" s="39">
        <f t="shared" ref="T39:T40" si="15">L39*R39</f>
        <v>645</v>
      </c>
    </row>
    <row r="40" spans="1:20" x14ac:dyDescent="0.2">
      <c r="A40" s="7"/>
      <c r="B40" s="148"/>
      <c r="C40" s="149"/>
      <c r="D40" s="148"/>
      <c r="E40" s="161"/>
      <c r="F40" s="150"/>
      <c r="G40" s="156"/>
      <c r="H40" s="156"/>
      <c r="I40" s="151"/>
      <c r="L40" s="40">
        <v>28</v>
      </c>
      <c r="M40" s="41">
        <v>56</v>
      </c>
      <c r="N40" s="36" t="s">
        <v>412</v>
      </c>
      <c r="O40" s="37" t="s">
        <v>414</v>
      </c>
      <c r="P40" s="38">
        <v>2.68</v>
      </c>
      <c r="Q40" s="38">
        <f t="shared" si="13"/>
        <v>150.08000000000001</v>
      </c>
      <c r="R40" s="38">
        <v>5</v>
      </c>
      <c r="S40" s="38">
        <f t="shared" si="14"/>
        <v>280</v>
      </c>
      <c r="T40" s="39">
        <f t="shared" si="15"/>
        <v>140</v>
      </c>
    </row>
    <row r="41" spans="1:20" ht="15.75" thickBot="1" x14ac:dyDescent="0.25">
      <c r="A41" s="7"/>
      <c r="B41" s="148"/>
      <c r="C41" s="149"/>
      <c r="D41" s="148"/>
      <c r="E41" s="161"/>
      <c r="F41" s="150"/>
      <c r="G41" s="156"/>
      <c r="H41" s="156"/>
      <c r="I41" s="151"/>
      <c r="L41" s="20"/>
      <c r="M41" s="17"/>
      <c r="N41" s="17"/>
      <c r="O41" s="17"/>
      <c r="P41" s="17"/>
      <c r="Q41" s="17"/>
      <c r="R41" s="17"/>
      <c r="S41" s="17"/>
      <c r="T41" s="22"/>
    </row>
    <row r="42" spans="1:20" ht="17.25" thickTop="1" thickBot="1" x14ac:dyDescent="0.3">
      <c r="B42" s="148"/>
      <c r="C42" s="149"/>
      <c r="D42" s="148"/>
      <c r="E42" s="161"/>
      <c r="F42" s="150"/>
      <c r="G42" s="151"/>
      <c r="H42" s="151"/>
      <c r="I42" s="151"/>
      <c r="L42" s="20"/>
      <c r="M42" s="17"/>
      <c r="N42" s="17"/>
      <c r="O42" s="17"/>
      <c r="P42" s="28" t="s">
        <v>376</v>
      </c>
      <c r="Q42" s="9">
        <f>SUM(Q38:Q41)</f>
        <v>517.08000000000004</v>
      </c>
      <c r="R42" s="10"/>
      <c r="S42" s="9">
        <f>SUM(S38:S41)</f>
        <v>835</v>
      </c>
      <c r="T42" s="42">
        <f>SUM(T38:T41)</f>
        <v>785</v>
      </c>
    </row>
    <row r="43" spans="1:20" ht="15" customHeight="1" thickTop="1" thickBot="1" x14ac:dyDescent="0.25">
      <c r="B43" s="148"/>
      <c r="C43" s="149"/>
      <c r="D43" s="148"/>
      <c r="E43" s="161"/>
      <c r="F43" s="150"/>
      <c r="G43" s="151"/>
      <c r="H43" s="151"/>
      <c r="I43" s="151"/>
      <c r="L43" s="20"/>
      <c r="M43" s="17"/>
      <c r="N43" s="17"/>
      <c r="O43" s="17"/>
      <c r="P43" s="17"/>
      <c r="Q43" s="17"/>
      <c r="R43" s="17"/>
      <c r="S43" s="17"/>
      <c r="T43" s="22"/>
    </row>
    <row r="44" spans="1:20" ht="17.25" thickTop="1" thickBot="1" x14ac:dyDescent="0.3">
      <c r="L44" s="20"/>
      <c r="M44" s="17"/>
      <c r="N44" s="17"/>
      <c r="O44" s="17"/>
      <c r="P44" s="17"/>
      <c r="Q44" s="17"/>
      <c r="R44" s="8" t="s">
        <v>416</v>
      </c>
      <c r="S44" s="11">
        <f>S42-Q42</f>
        <v>317.91999999999996</v>
      </c>
      <c r="T44" s="22"/>
    </row>
    <row r="45" spans="1:20" ht="15" customHeight="1" thickTop="1" thickBot="1" x14ac:dyDescent="0.25">
      <c r="L45" s="20"/>
      <c r="M45" s="17"/>
      <c r="N45" s="17"/>
      <c r="O45" s="17"/>
      <c r="P45" s="17"/>
      <c r="Q45" s="17"/>
      <c r="R45" s="17"/>
      <c r="S45" s="17"/>
      <c r="T45" s="22"/>
    </row>
    <row r="46" spans="1:20" ht="15" customHeight="1" thickTop="1" thickBot="1" x14ac:dyDescent="0.3">
      <c r="L46" s="20"/>
      <c r="M46" s="17"/>
      <c r="N46" s="17"/>
      <c r="O46" s="17"/>
      <c r="P46" s="17"/>
      <c r="Q46" s="17"/>
      <c r="R46" s="8" t="s">
        <v>419</v>
      </c>
      <c r="S46" s="11">
        <v>15</v>
      </c>
      <c r="T46" s="22" t="s">
        <v>425</v>
      </c>
    </row>
    <row r="47" spans="1:20" ht="15" customHeight="1" thickTop="1" thickBot="1" x14ac:dyDescent="0.25">
      <c r="L47" s="23"/>
      <c r="M47" s="24"/>
      <c r="N47" s="24"/>
      <c r="O47" s="24"/>
      <c r="P47" s="24"/>
      <c r="Q47" s="24"/>
      <c r="R47" s="24"/>
      <c r="S47" s="24"/>
      <c r="T47" s="25"/>
    </row>
    <row r="48" spans="1:20" ht="15" customHeight="1" thickBot="1" x14ac:dyDescent="0.25"/>
    <row r="49" spans="12:24" ht="15.75" x14ac:dyDescent="0.25">
      <c r="L49" s="18"/>
      <c r="M49" s="31" t="s">
        <v>426</v>
      </c>
      <c r="N49" s="32"/>
      <c r="O49" s="32"/>
      <c r="P49" s="32"/>
      <c r="Q49" s="32"/>
      <c r="R49" s="32"/>
      <c r="S49" s="32"/>
      <c r="T49" s="19"/>
    </row>
    <row r="50" spans="12:24" ht="47.25" x14ac:dyDescent="0.25">
      <c r="L50" s="33" t="s">
        <v>400</v>
      </c>
      <c r="M50" s="29" t="s">
        <v>384</v>
      </c>
      <c r="N50" s="30" t="s">
        <v>401</v>
      </c>
      <c r="O50" s="30" t="s">
        <v>402</v>
      </c>
      <c r="P50" s="29" t="s">
        <v>403</v>
      </c>
      <c r="Q50" s="27" t="s">
        <v>404</v>
      </c>
      <c r="R50" s="29" t="s">
        <v>405</v>
      </c>
      <c r="S50" s="29" t="s">
        <v>406</v>
      </c>
      <c r="T50" s="34" t="s">
        <v>407</v>
      </c>
    </row>
    <row r="51" spans="12:24" x14ac:dyDescent="0.2">
      <c r="L51" s="20"/>
      <c r="M51" s="17"/>
      <c r="N51" s="17"/>
      <c r="O51" s="17"/>
      <c r="P51" s="17"/>
      <c r="Q51" s="17"/>
      <c r="R51" s="17"/>
      <c r="S51" s="17"/>
      <c r="T51" s="22"/>
    </row>
    <row r="52" spans="12:24" ht="15" customHeight="1" x14ac:dyDescent="0.2">
      <c r="L52" s="35">
        <v>99</v>
      </c>
      <c r="M52" s="36">
        <v>64</v>
      </c>
      <c r="N52" s="36" t="s">
        <v>410</v>
      </c>
      <c r="O52" s="37" t="s">
        <v>427</v>
      </c>
      <c r="P52" s="38">
        <v>4</v>
      </c>
      <c r="Q52" s="38">
        <f t="shared" ref="Q52:Q54" si="16">M52*P52</f>
        <v>256</v>
      </c>
      <c r="R52" s="38">
        <v>5</v>
      </c>
      <c r="S52" s="38">
        <f t="shared" ref="S52:S54" si="17">M52*R52</f>
        <v>320</v>
      </c>
      <c r="T52" s="39">
        <f>L52*R52</f>
        <v>495</v>
      </c>
    </row>
    <row r="53" spans="12:24" ht="15" customHeight="1" x14ac:dyDescent="0.2">
      <c r="L53" s="35">
        <v>37</v>
      </c>
      <c r="M53" s="36">
        <v>0</v>
      </c>
      <c r="N53" s="36" t="s">
        <v>412</v>
      </c>
      <c r="O53" s="37" t="s">
        <v>422</v>
      </c>
      <c r="P53" s="38">
        <v>11</v>
      </c>
      <c r="Q53" s="38">
        <f t="shared" si="16"/>
        <v>0</v>
      </c>
      <c r="R53" s="38">
        <v>15</v>
      </c>
      <c r="S53" s="38">
        <f t="shared" si="17"/>
        <v>0</v>
      </c>
      <c r="T53" s="39">
        <f t="shared" ref="T53:T54" si="18">L53*R53</f>
        <v>555</v>
      </c>
    </row>
    <row r="54" spans="12:24" ht="15" customHeight="1" x14ac:dyDescent="0.2">
      <c r="L54" s="40">
        <v>92</v>
      </c>
      <c r="M54" s="41">
        <v>80</v>
      </c>
      <c r="N54" s="36" t="s">
        <v>412</v>
      </c>
      <c r="O54" s="37" t="s">
        <v>414</v>
      </c>
      <c r="P54" s="38">
        <v>3</v>
      </c>
      <c r="Q54" s="38">
        <f t="shared" si="16"/>
        <v>240</v>
      </c>
      <c r="R54" s="38">
        <v>5</v>
      </c>
      <c r="S54" s="38">
        <f t="shared" si="17"/>
        <v>400</v>
      </c>
      <c r="T54" s="39">
        <f t="shared" si="18"/>
        <v>460</v>
      </c>
    </row>
    <row r="55" spans="12:24" ht="15" customHeight="1" thickBot="1" x14ac:dyDescent="0.25">
      <c r="L55" s="20"/>
      <c r="M55" s="17"/>
      <c r="N55" s="17"/>
      <c r="O55" s="17"/>
      <c r="P55" s="17"/>
      <c r="Q55" s="17"/>
      <c r="R55" s="17"/>
      <c r="S55" s="17"/>
      <c r="T55" s="22"/>
    </row>
    <row r="56" spans="12:24" ht="15" customHeight="1" thickTop="1" thickBot="1" x14ac:dyDescent="0.3">
      <c r="L56" s="20"/>
      <c r="M56" s="17"/>
      <c r="N56" s="17"/>
      <c r="O56" s="17"/>
      <c r="P56" s="28" t="s">
        <v>376</v>
      </c>
      <c r="Q56" s="9">
        <f>SUM(Q52:Q55)</f>
        <v>496</v>
      </c>
      <c r="R56" s="10"/>
      <c r="S56" s="9">
        <f>SUM(S52:S55)</f>
        <v>720</v>
      </c>
      <c r="T56" s="42">
        <f>SUM(T52:T55)</f>
        <v>1510</v>
      </c>
    </row>
    <row r="57" spans="12:24" ht="15" customHeight="1" thickTop="1" thickBot="1" x14ac:dyDescent="0.25">
      <c r="L57" s="20"/>
      <c r="M57" s="17"/>
      <c r="N57" s="17"/>
      <c r="O57" s="17"/>
      <c r="P57" s="17"/>
      <c r="Q57" s="17"/>
      <c r="R57" s="17"/>
      <c r="S57" s="17"/>
      <c r="T57" s="22"/>
    </row>
    <row r="58" spans="12:24" ht="15.75" customHeight="1" thickTop="1" thickBot="1" x14ac:dyDescent="0.3">
      <c r="L58" s="20"/>
      <c r="M58" s="17"/>
      <c r="N58" s="17"/>
      <c r="O58" s="17"/>
      <c r="P58" s="17"/>
      <c r="Q58" s="17"/>
      <c r="R58" s="8" t="s">
        <v>416</v>
      </c>
      <c r="S58" s="11">
        <f>S56-Q56</f>
        <v>224</v>
      </c>
      <c r="T58" s="22"/>
    </row>
    <row r="59" spans="12:24" ht="15.75" customHeight="1" thickTop="1" thickBot="1" x14ac:dyDescent="0.25">
      <c r="L59" s="20"/>
      <c r="M59" s="17"/>
      <c r="N59" s="17"/>
      <c r="O59" s="17"/>
      <c r="P59" s="17"/>
      <c r="Q59" s="17"/>
      <c r="R59" s="17"/>
      <c r="S59" s="17"/>
      <c r="T59" s="22"/>
    </row>
    <row r="60" spans="12:24" ht="15.75" customHeight="1" thickTop="1" thickBot="1" x14ac:dyDescent="0.3">
      <c r="L60" s="20"/>
      <c r="M60" s="17"/>
      <c r="N60" s="17"/>
      <c r="O60" s="17"/>
      <c r="P60" s="17"/>
      <c r="Q60" s="17"/>
      <c r="R60" s="8" t="s">
        <v>419</v>
      </c>
      <c r="S60" s="11">
        <v>10</v>
      </c>
      <c r="T60" s="22" t="s">
        <v>425</v>
      </c>
    </row>
    <row r="61" spans="12:24" ht="15.75" customHeight="1" thickTop="1" thickBot="1" x14ac:dyDescent="0.25">
      <c r="L61" s="23"/>
      <c r="M61" s="24"/>
      <c r="N61" s="24"/>
      <c r="O61" s="24"/>
      <c r="P61" s="24"/>
      <c r="Q61" s="24"/>
      <c r="R61" s="24"/>
      <c r="S61" s="24"/>
      <c r="T61" s="25"/>
    </row>
    <row r="62" spans="12:24" ht="15.75" customHeight="1" thickBot="1" x14ac:dyDescent="0.25">
      <c r="V62" s="81" t="s">
        <v>428</v>
      </c>
      <c r="W62" s="81" t="s">
        <v>429</v>
      </c>
      <c r="X62" s="81" t="s">
        <v>430</v>
      </c>
    </row>
    <row r="63" spans="12:24" ht="15.75" customHeight="1" thickBot="1" x14ac:dyDescent="0.3">
      <c r="L63" s="70"/>
      <c r="M63" s="71" t="s">
        <v>431</v>
      </c>
      <c r="N63" s="72"/>
      <c r="O63" s="72"/>
      <c r="P63" s="72"/>
      <c r="Q63" s="72"/>
      <c r="R63" s="72"/>
      <c r="S63" s="72"/>
      <c r="T63" s="73"/>
      <c r="V63" s="81" t="s">
        <v>432</v>
      </c>
      <c r="W63" s="74">
        <v>190</v>
      </c>
      <c r="X63" s="82">
        <v>100</v>
      </c>
    </row>
    <row r="64" spans="12:24" ht="15.75" customHeight="1" x14ac:dyDescent="0.25">
      <c r="L64" s="33" t="s">
        <v>400</v>
      </c>
      <c r="M64" s="29" t="s">
        <v>384</v>
      </c>
      <c r="N64" s="30" t="s">
        <v>401</v>
      </c>
      <c r="O64" s="30" t="s">
        <v>402</v>
      </c>
      <c r="P64" s="29" t="s">
        <v>403</v>
      </c>
      <c r="Q64" s="27" t="s">
        <v>404</v>
      </c>
      <c r="R64" s="29" t="s">
        <v>405</v>
      </c>
      <c r="S64" s="29" t="s">
        <v>406</v>
      </c>
      <c r="T64" s="34" t="s">
        <v>407</v>
      </c>
      <c r="V64" s="83" t="s">
        <v>433</v>
      </c>
      <c r="X64">
        <v>357</v>
      </c>
    </row>
    <row r="65" spans="12:24" ht="15.75" customHeight="1" x14ac:dyDescent="0.2">
      <c r="L65" s="20"/>
      <c r="M65" s="17"/>
      <c r="N65" s="17"/>
      <c r="O65" s="17"/>
      <c r="P65" s="17"/>
      <c r="Q65" s="17"/>
      <c r="R65" s="17"/>
      <c r="S65" s="17"/>
      <c r="T65" s="22"/>
      <c r="V65" s="81" t="s">
        <v>434</v>
      </c>
      <c r="X65">
        <v>500</v>
      </c>
    </row>
    <row r="66" spans="12:24" ht="15.75" customHeight="1" x14ac:dyDescent="0.2">
      <c r="L66" s="35">
        <f>35+101</f>
        <v>136</v>
      </c>
      <c r="M66" s="36">
        <v>66</v>
      </c>
      <c r="N66" s="36" t="s">
        <v>410</v>
      </c>
      <c r="O66" s="37" t="s">
        <v>427</v>
      </c>
      <c r="P66" s="74">
        <v>4</v>
      </c>
      <c r="Q66" s="74">
        <f t="shared" ref="Q66:Q68" si="19">M66*P66</f>
        <v>264</v>
      </c>
      <c r="R66" s="74">
        <v>5</v>
      </c>
      <c r="S66" s="74">
        <f t="shared" ref="S66:S68" si="20">M66*R66</f>
        <v>330</v>
      </c>
      <c r="T66" s="75">
        <f>L66*R66</f>
        <v>680</v>
      </c>
      <c r="V66" s="81" t="s">
        <v>435</v>
      </c>
    </row>
    <row r="67" spans="12:24" ht="15.75" customHeight="1" x14ac:dyDescent="0.2">
      <c r="L67" s="35">
        <v>30</v>
      </c>
      <c r="M67" s="36">
        <v>6</v>
      </c>
      <c r="N67" s="36" t="s">
        <v>412</v>
      </c>
      <c r="O67" s="37" t="s">
        <v>422</v>
      </c>
      <c r="P67" s="74">
        <v>11</v>
      </c>
      <c r="Q67" s="74">
        <f t="shared" si="19"/>
        <v>66</v>
      </c>
      <c r="R67" s="74">
        <v>5</v>
      </c>
      <c r="S67" s="74">
        <f t="shared" si="20"/>
        <v>30</v>
      </c>
      <c r="T67" s="75">
        <f t="shared" ref="T67:T68" si="21">L67*R67</f>
        <v>150</v>
      </c>
    </row>
    <row r="68" spans="12:24" ht="15.75" customHeight="1" x14ac:dyDescent="0.2">
      <c r="L68" s="40">
        <f>30+56</f>
        <v>86</v>
      </c>
      <c r="M68" s="41">
        <v>66</v>
      </c>
      <c r="N68" s="36" t="s">
        <v>412</v>
      </c>
      <c r="O68" s="37" t="s">
        <v>414</v>
      </c>
      <c r="P68" s="74">
        <v>2.68</v>
      </c>
      <c r="Q68" s="74">
        <f t="shared" si="19"/>
        <v>176.88000000000002</v>
      </c>
      <c r="R68" s="74">
        <v>5</v>
      </c>
      <c r="S68" s="74">
        <f t="shared" si="20"/>
        <v>330</v>
      </c>
      <c r="T68" s="75">
        <f t="shared" si="21"/>
        <v>430</v>
      </c>
    </row>
    <row r="69" spans="12:24" ht="15.75" customHeight="1" thickBot="1" x14ac:dyDescent="0.25">
      <c r="L69" s="20"/>
      <c r="M69" s="17"/>
      <c r="N69" s="17"/>
      <c r="O69" s="17"/>
      <c r="P69" s="76"/>
      <c r="Q69" s="76"/>
      <c r="R69" s="76"/>
      <c r="S69" s="76"/>
      <c r="T69" s="75"/>
    </row>
    <row r="70" spans="12:24" ht="15.75" customHeight="1" thickTop="1" thickBot="1" x14ac:dyDescent="0.3">
      <c r="L70" s="20"/>
      <c r="M70" s="17"/>
      <c r="N70" s="17"/>
      <c r="O70" s="17"/>
      <c r="P70" s="77" t="s">
        <v>376</v>
      </c>
      <c r="Q70" s="78">
        <f>SUM(Q66:Q69)</f>
        <v>506.88</v>
      </c>
      <c r="R70" s="78"/>
      <c r="S70" s="78">
        <f>SUM(S66:S69)</f>
        <v>690</v>
      </c>
      <c r="T70" s="79">
        <f>SUM(T66:T69)</f>
        <v>1260</v>
      </c>
    </row>
    <row r="71" spans="12:24" ht="15.75" customHeight="1" thickTop="1" thickBot="1" x14ac:dyDescent="0.25">
      <c r="L71" s="20"/>
      <c r="M71" s="17"/>
      <c r="N71" s="17"/>
      <c r="O71" s="17"/>
      <c r="P71" s="76"/>
      <c r="Q71" s="76"/>
      <c r="R71" s="76"/>
      <c r="S71" s="76"/>
      <c r="T71" s="75"/>
    </row>
    <row r="72" spans="12:24" ht="15.75" customHeight="1" thickTop="1" thickBot="1" x14ac:dyDescent="0.3">
      <c r="L72" s="20"/>
      <c r="M72" s="17"/>
      <c r="N72" s="17"/>
      <c r="O72" s="17"/>
      <c r="P72" s="77" t="s">
        <v>436</v>
      </c>
      <c r="Q72" s="80">
        <f>10*5</f>
        <v>50</v>
      </c>
      <c r="R72" s="77" t="s">
        <v>437</v>
      </c>
      <c r="S72" s="80">
        <f>S70-Q72</f>
        <v>640</v>
      </c>
      <c r="T72" s="79">
        <f>S70-Q70-Q72</f>
        <v>133.12</v>
      </c>
    </row>
    <row r="73" spans="12:24" ht="15.75" customHeight="1" thickTop="1" thickBot="1" x14ac:dyDescent="0.25">
      <c r="L73" s="23"/>
      <c r="M73" s="24"/>
      <c r="N73" s="24"/>
      <c r="O73" s="24"/>
      <c r="P73" s="24"/>
      <c r="Q73" s="24"/>
      <c r="R73" s="24"/>
      <c r="S73" s="24"/>
      <c r="T73" s="25"/>
    </row>
    <row r="74" spans="12:24" ht="15.75" customHeight="1" thickBot="1" x14ac:dyDescent="0.25"/>
    <row r="75" spans="12:24" ht="15.75" customHeight="1" thickBot="1" x14ac:dyDescent="0.3">
      <c r="L75" s="70"/>
      <c r="M75" s="71" t="s">
        <v>438</v>
      </c>
      <c r="N75" s="72"/>
      <c r="O75" s="72"/>
      <c r="P75" s="72"/>
      <c r="Q75" s="72"/>
      <c r="R75" s="72"/>
      <c r="S75" s="72"/>
      <c r="T75" s="73"/>
    </row>
    <row r="76" spans="12:24" ht="15.75" customHeight="1" x14ac:dyDescent="0.25">
      <c r="L76" s="33" t="s">
        <v>400</v>
      </c>
      <c r="M76" s="29" t="s">
        <v>384</v>
      </c>
      <c r="N76" s="30" t="s">
        <v>401</v>
      </c>
      <c r="O76" s="30" t="s">
        <v>402</v>
      </c>
      <c r="P76" s="29" t="s">
        <v>403</v>
      </c>
      <c r="Q76" s="27" t="s">
        <v>404</v>
      </c>
      <c r="R76" s="29" t="s">
        <v>405</v>
      </c>
      <c r="S76" s="29" t="s">
        <v>406</v>
      </c>
      <c r="T76" s="34" t="s">
        <v>407</v>
      </c>
    </row>
    <row r="77" spans="12:24" ht="15.75" customHeight="1" x14ac:dyDescent="0.2">
      <c r="L77" s="20"/>
      <c r="M77" s="17"/>
      <c r="N77" s="17"/>
      <c r="O77" s="17"/>
      <c r="P77" s="17"/>
      <c r="Q77" s="17"/>
      <c r="R77" s="17"/>
      <c r="S77" s="17"/>
      <c r="T77" s="22"/>
    </row>
    <row r="78" spans="12:24" ht="15.75" customHeight="1" x14ac:dyDescent="0.2">
      <c r="L78" s="35">
        <v>70</v>
      </c>
      <c r="M78" s="36">
        <v>68</v>
      </c>
      <c r="N78" s="36" t="s">
        <v>410</v>
      </c>
      <c r="O78" s="37" t="s">
        <v>427</v>
      </c>
      <c r="P78" s="74">
        <v>4</v>
      </c>
      <c r="Q78" s="74">
        <f t="shared" ref="Q78:Q80" si="22">M78*P78</f>
        <v>272</v>
      </c>
      <c r="R78" s="74">
        <v>5</v>
      </c>
      <c r="S78" s="74">
        <f t="shared" ref="S78:S80" si="23">M78*R78</f>
        <v>340</v>
      </c>
      <c r="T78" s="75">
        <f>L78*R78</f>
        <v>350</v>
      </c>
    </row>
    <row r="79" spans="12:24" ht="15.75" customHeight="1" x14ac:dyDescent="0.2">
      <c r="L79" s="35">
        <v>24</v>
      </c>
      <c r="M79" s="36">
        <v>3</v>
      </c>
      <c r="N79" s="36" t="s">
        <v>412</v>
      </c>
      <c r="O79" s="37" t="s">
        <v>422</v>
      </c>
      <c r="P79" s="74">
        <v>11</v>
      </c>
      <c r="Q79" s="74">
        <f t="shared" si="22"/>
        <v>33</v>
      </c>
      <c r="R79" s="74">
        <v>5</v>
      </c>
      <c r="S79" s="74">
        <f t="shared" si="23"/>
        <v>15</v>
      </c>
      <c r="T79" s="75">
        <f t="shared" ref="T79:T80" si="24">L79*R79</f>
        <v>120</v>
      </c>
    </row>
    <row r="80" spans="12:24" ht="15.75" customHeight="1" x14ac:dyDescent="0.2">
      <c r="L80" s="40">
        <v>104</v>
      </c>
      <c r="M80" s="41">
        <v>72</v>
      </c>
      <c r="N80" s="36" t="s">
        <v>412</v>
      </c>
      <c r="O80" s="37" t="s">
        <v>414</v>
      </c>
      <c r="P80" s="74">
        <v>2.68</v>
      </c>
      <c r="Q80" s="74">
        <f t="shared" si="22"/>
        <v>192.96</v>
      </c>
      <c r="R80" s="74">
        <v>5</v>
      </c>
      <c r="S80" s="74">
        <f t="shared" si="23"/>
        <v>360</v>
      </c>
      <c r="T80" s="75">
        <f t="shared" si="24"/>
        <v>520</v>
      </c>
    </row>
    <row r="81" spans="12:23" ht="15.75" customHeight="1" thickBot="1" x14ac:dyDescent="0.25">
      <c r="L81" s="20"/>
      <c r="M81" s="17"/>
      <c r="N81" s="17"/>
      <c r="O81" s="17"/>
      <c r="P81" s="76"/>
      <c r="Q81" s="76"/>
      <c r="R81" s="76"/>
      <c r="S81" s="76"/>
      <c r="T81" s="75"/>
    </row>
    <row r="82" spans="12:23" ht="15.75" customHeight="1" thickTop="1" thickBot="1" x14ac:dyDescent="0.3">
      <c r="L82" s="20"/>
      <c r="M82" s="17"/>
      <c r="N82" s="17"/>
      <c r="O82" s="17"/>
      <c r="P82" s="77" t="s">
        <v>376</v>
      </c>
      <c r="Q82" s="78">
        <f>SUM(Q78:Q81)</f>
        <v>497.96000000000004</v>
      </c>
      <c r="R82" s="78"/>
      <c r="S82" s="78">
        <f>SUM(S78:S81)</f>
        <v>715</v>
      </c>
      <c r="T82" s="79">
        <f>SUM(T78:T81)</f>
        <v>990</v>
      </c>
    </row>
    <row r="83" spans="12:23" ht="15.75" customHeight="1" thickTop="1" thickBot="1" x14ac:dyDescent="0.25">
      <c r="L83" s="20"/>
      <c r="M83" s="17"/>
      <c r="N83" s="17"/>
      <c r="O83" s="17"/>
      <c r="P83" s="76"/>
      <c r="Q83" s="76"/>
      <c r="R83" s="76"/>
      <c r="S83" s="76"/>
      <c r="T83" s="75"/>
    </row>
    <row r="84" spans="12:23" ht="15.75" customHeight="1" thickTop="1" thickBot="1" x14ac:dyDescent="0.3">
      <c r="L84" s="20"/>
      <c r="M84" s="17"/>
      <c r="N84" s="17"/>
      <c r="O84" s="17"/>
      <c r="P84" s="77" t="s">
        <v>436</v>
      </c>
      <c r="Q84" s="80">
        <f>15+15</f>
        <v>30</v>
      </c>
      <c r="R84" s="77" t="s">
        <v>437</v>
      </c>
      <c r="S84" s="80">
        <f>S82-Q84</f>
        <v>685</v>
      </c>
      <c r="T84" s="79">
        <f>S82-Q82-Q84</f>
        <v>187.03999999999996</v>
      </c>
    </row>
    <row r="85" spans="12:23" ht="15.75" customHeight="1" thickTop="1" thickBot="1" x14ac:dyDescent="0.25">
      <c r="L85" s="23"/>
      <c r="M85" s="24"/>
      <c r="N85" s="24"/>
      <c r="O85" s="24"/>
      <c r="P85" s="24"/>
      <c r="Q85" s="24"/>
      <c r="R85" s="24"/>
      <c r="S85" s="24"/>
      <c r="T85" s="25"/>
    </row>
    <row r="86" spans="12:23" ht="15.75" customHeight="1" thickBot="1" x14ac:dyDescent="0.25"/>
    <row r="87" spans="12:23" ht="15.75" customHeight="1" thickBot="1" x14ac:dyDescent="0.3">
      <c r="L87" s="70"/>
      <c r="M87" s="71" t="s">
        <v>439</v>
      </c>
      <c r="N87" s="72"/>
      <c r="O87" s="72"/>
      <c r="P87" s="72"/>
      <c r="Q87" s="72"/>
      <c r="R87" s="72"/>
      <c r="S87" s="72"/>
      <c r="T87" s="73"/>
    </row>
    <row r="88" spans="12:23" ht="15.75" customHeight="1" x14ac:dyDescent="0.25">
      <c r="L88" s="33" t="s">
        <v>400</v>
      </c>
      <c r="M88" s="29" t="s">
        <v>384</v>
      </c>
      <c r="N88" s="30" t="s">
        <v>401</v>
      </c>
      <c r="O88" s="30" t="s">
        <v>402</v>
      </c>
      <c r="P88" s="29" t="s">
        <v>403</v>
      </c>
      <c r="Q88" s="27" t="s">
        <v>404</v>
      </c>
      <c r="R88" s="29" t="s">
        <v>405</v>
      </c>
      <c r="S88" s="29" t="s">
        <v>406</v>
      </c>
      <c r="T88" s="34" t="s">
        <v>407</v>
      </c>
    </row>
    <row r="89" spans="12:23" ht="15.75" customHeight="1" x14ac:dyDescent="0.2">
      <c r="L89" s="110">
        <v>45258</v>
      </c>
      <c r="M89" s="17"/>
      <c r="N89" s="17"/>
      <c r="O89" s="17"/>
      <c r="P89" s="17"/>
      <c r="Q89" s="17"/>
      <c r="R89" s="17"/>
      <c r="S89" s="17"/>
      <c r="T89" s="22"/>
      <c r="V89" s="81" t="s">
        <v>440</v>
      </c>
      <c r="W89" s="74">
        <v>185</v>
      </c>
    </row>
    <row r="90" spans="12:23" ht="15.75" customHeight="1" x14ac:dyDescent="0.2">
      <c r="L90" s="35">
        <v>32</v>
      </c>
      <c r="M90" s="36">
        <v>68</v>
      </c>
      <c r="N90" s="36" t="s">
        <v>410</v>
      </c>
      <c r="O90" s="37" t="s">
        <v>427</v>
      </c>
      <c r="P90" s="74">
        <v>4</v>
      </c>
      <c r="Q90" s="74">
        <f t="shared" ref="Q90:Q92" si="25">M90*P90</f>
        <v>272</v>
      </c>
      <c r="R90" s="74">
        <v>5</v>
      </c>
      <c r="S90" s="74">
        <f t="shared" ref="S90:S92" si="26">M90*R90</f>
        <v>340</v>
      </c>
      <c r="T90" s="75">
        <f>L90*R90</f>
        <v>160</v>
      </c>
    </row>
    <row r="91" spans="12:23" ht="15.75" customHeight="1" x14ac:dyDescent="0.2">
      <c r="L91" s="40">
        <v>16</v>
      </c>
      <c r="M91" s="41">
        <v>69</v>
      </c>
      <c r="N91" s="36" t="s">
        <v>412</v>
      </c>
      <c r="O91" s="37" t="s">
        <v>414</v>
      </c>
      <c r="P91" s="74">
        <v>3.14</v>
      </c>
      <c r="Q91" s="74">
        <f t="shared" ref="Q91" si="27">M91*P91</f>
        <v>216.66</v>
      </c>
      <c r="R91" s="74">
        <v>5</v>
      </c>
      <c r="S91" s="74">
        <f t="shared" ref="S91" si="28">M91*R91</f>
        <v>345</v>
      </c>
      <c r="T91" s="75">
        <f t="shared" ref="T91" si="29">L91*R91</f>
        <v>80</v>
      </c>
    </row>
    <row r="92" spans="12:23" ht="15.75" customHeight="1" x14ac:dyDescent="0.2">
      <c r="L92" s="40"/>
      <c r="M92" s="41"/>
      <c r="N92" s="36"/>
      <c r="O92" s="37"/>
      <c r="P92" s="74">
        <v>0</v>
      </c>
      <c r="Q92" s="74">
        <f t="shared" si="25"/>
        <v>0</v>
      </c>
      <c r="R92" s="74">
        <v>5</v>
      </c>
      <c r="S92" s="74">
        <f t="shared" si="26"/>
        <v>0</v>
      </c>
      <c r="T92" s="75">
        <f t="shared" ref="T92" si="30">L92*R92</f>
        <v>0</v>
      </c>
    </row>
    <row r="93" spans="12:23" ht="15.75" customHeight="1" thickBot="1" x14ac:dyDescent="0.25">
      <c r="L93" s="20"/>
      <c r="M93" s="17"/>
      <c r="N93" s="17"/>
      <c r="O93" s="17"/>
      <c r="P93" s="76"/>
      <c r="Q93" s="76"/>
      <c r="R93" s="76"/>
      <c r="S93" s="76"/>
      <c r="T93" s="75"/>
    </row>
    <row r="94" spans="12:23" ht="15.75" customHeight="1" thickTop="1" thickBot="1" x14ac:dyDescent="0.3">
      <c r="L94" s="20"/>
      <c r="M94" s="17"/>
      <c r="N94" s="17"/>
      <c r="O94" s="17"/>
      <c r="P94" s="77" t="s">
        <v>376</v>
      </c>
      <c r="Q94" s="78">
        <f>SUM(Q90:Q93)</f>
        <v>488.65999999999997</v>
      </c>
      <c r="R94" s="78"/>
      <c r="S94" s="78">
        <f>SUM(S90:S93)</f>
        <v>685</v>
      </c>
      <c r="T94" s="79">
        <f>SUM(T90:T93)</f>
        <v>240</v>
      </c>
    </row>
    <row r="95" spans="12:23" ht="15.75" customHeight="1" thickTop="1" thickBot="1" x14ac:dyDescent="0.25">
      <c r="L95" s="20"/>
      <c r="M95" s="17"/>
      <c r="N95" s="17"/>
      <c r="O95" s="17"/>
      <c r="P95" s="76"/>
      <c r="Q95" s="76"/>
      <c r="R95" s="76"/>
      <c r="S95" s="76"/>
      <c r="T95" s="75"/>
    </row>
    <row r="96" spans="12:23" ht="15.75" customHeight="1" thickTop="1" thickBot="1" x14ac:dyDescent="0.3">
      <c r="L96" s="20"/>
      <c r="M96" s="17"/>
      <c r="N96" s="17"/>
      <c r="O96" s="37" t="s">
        <v>441</v>
      </c>
      <c r="P96" s="77" t="s">
        <v>436</v>
      </c>
      <c r="Q96" s="80">
        <v>14</v>
      </c>
      <c r="R96" s="77" t="s">
        <v>437</v>
      </c>
      <c r="S96" s="80">
        <f>S94-Q96</f>
        <v>671</v>
      </c>
      <c r="T96" s="79">
        <f>S94-Q94-Q96</f>
        <v>182.34000000000003</v>
      </c>
    </row>
    <row r="97" spans="12:20" ht="15.75" customHeight="1" thickTop="1" thickBot="1" x14ac:dyDescent="0.25">
      <c r="L97" s="23"/>
      <c r="M97" s="24"/>
      <c r="N97" s="24"/>
      <c r="O97" s="24"/>
      <c r="P97" s="24"/>
      <c r="Q97" s="24"/>
      <c r="R97" s="24"/>
      <c r="S97" s="24"/>
      <c r="T97" s="25"/>
    </row>
    <row r="98" spans="12:20" ht="15.75" customHeight="1" x14ac:dyDescent="0.2"/>
    <row r="99" spans="12:20" ht="15.75" customHeight="1" x14ac:dyDescent="0.2"/>
    <row r="100" spans="12:20" ht="15.75" customHeight="1" thickBot="1" x14ac:dyDescent="0.25">
      <c r="L100" s="228">
        <v>45351</v>
      </c>
      <c r="M100" s="228"/>
      <c r="N100" s="228"/>
      <c r="O100" s="228"/>
      <c r="P100" s="228"/>
    </row>
    <row r="101" spans="12:20" ht="15.75" customHeight="1" thickBot="1" x14ac:dyDescent="0.3">
      <c r="L101" s="70"/>
      <c r="M101" s="71" t="s">
        <v>442</v>
      </c>
      <c r="N101" s="72"/>
      <c r="O101" s="72"/>
      <c r="P101" s="72"/>
      <c r="Q101" s="72"/>
      <c r="R101" s="72"/>
      <c r="S101" s="72"/>
      <c r="T101" s="73"/>
    </row>
    <row r="102" spans="12:20" ht="15.75" customHeight="1" x14ac:dyDescent="0.25">
      <c r="L102" s="33" t="s">
        <v>400</v>
      </c>
      <c r="M102" s="29" t="s">
        <v>384</v>
      </c>
      <c r="N102" s="30" t="s">
        <v>401</v>
      </c>
      <c r="O102" s="30" t="s">
        <v>402</v>
      </c>
      <c r="P102" s="29" t="s">
        <v>403</v>
      </c>
      <c r="Q102" s="27" t="s">
        <v>404</v>
      </c>
      <c r="R102" s="29" t="s">
        <v>405</v>
      </c>
      <c r="S102" s="29" t="s">
        <v>416</v>
      </c>
      <c r="T102" s="34" t="s">
        <v>443</v>
      </c>
    </row>
    <row r="103" spans="12:20" ht="15.75" customHeight="1" x14ac:dyDescent="0.2">
      <c r="L103" s="110"/>
      <c r="M103" s="17"/>
      <c r="N103" s="17"/>
      <c r="O103" s="17"/>
      <c r="P103" s="17"/>
      <c r="Q103" s="17"/>
      <c r="R103" s="17"/>
      <c r="S103" s="17"/>
      <c r="T103" s="22"/>
    </row>
    <row r="104" spans="12:20" ht="15.75" customHeight="1" x14ac:dyDescent="0.2">
      <c r="L104" s="35"/>
      <c r="M104" s="36">
        <v>50</v>
      </c>
      <c r="N104" s="36" t="s">
        <v>410</v>
      </c>
      <c r="O104" s="37" t="s">
        <v>444</v>
      </c>
      <c r="P104" s="74">
        <v>185</v>
      </c>
      <c r="Q104" s="74">
        <f>P104/(M104/0.5)</f>
        <v>1.85</v>
      </c>
      <c r="R104" s="74"/>
      <c r="S104" s="74"/>
      <c r="T104" s="75"/>
    </row>
    <row r="105" spans="12:20" ht="15.75" customHeight="1" x14ac:dyDescent="0.2">
      <c r="L105" s="40"/>
      <c r="M105" s="41">
        <v>0.88500000000000001</v>
      </c>
      <c r="N105" s="36" t="s">
        <v>410</v>
      </c>
      <c r="O105" s="37" t="s">
        <v>445</v>
      </c>
      <c r="P105" s="74">
        <v>68</v>
      </c>
      <c r="Q105" s="74">
        <f>(M105*P105)/500</f>
        <v>0.12035999999999999</v>
      </c>
      <c r="R105" s="74"/>
      <c r="S105" s="74"/>
      <c r="T105" s="75"/>
    </row>
    <row r="106" spans="12:20" ht="15.75" customHeight="1" x14ac:dyDescent="0.2">
      <c r="L106" s="40"/>
      <c r="M106" s="41"/>
      <c r="N106" s="36"/>
      <c r="O106" s="37" t="s">
        <v>446</v>
      </c>
      <c r="P106" s="74">
        <v>0</v>
      </c>
      <c r="Q106" s="74">
        <f t="shared" ref="Q106" si="31">M106*P106</f>
        <v>0</v>
      </c>
      <c r="R106" s="74"/>
      <c r="S106" s="74"/>
      <c r="T106" s="75"/>
    </row>
    <row r="107" spans="12:20" ht="15.75" customHeight="1" x14ac:dyDescent="0.2">
      <c r="L107" s="40"/>
      <c r="M107" s="41"/>
      <c r="N107" s="36"/>
      <c r="O107" s="37"/>
      <c r="P107" s="74"/>
      <c r="Q107" s="74">
        <f>SUM(Q104:Q106)</f>
        <v>1.9703600000000001</v>
      </c>
      <c r="R107" s="74">
        <v>5</v>
      </c>
      <c r="S107" s="74">
        <f>R107-Q107</f>
        <v>3.0296399999999997</v>
      </c>
      <c r="T107" s="130">
        <f>S107/R107</f>
        <v>0.60592799999999991</v>
      </c>
    </row>
    <row r="108" spans="12:20" ht="15.75" customHeight="1" x14ac:dyDescent="0.2">
      <c r="L108" s="40"/>
      <c r="M108" s="41"/>
      <c r="N108" s="36"/>
      <c r="O108" s="37"/>
      <c r="P108" s="74"/>
      <c r="Q108" s="74"/>
      <c r="R108" s="74"/>
      <c r="S108" s="74"/>
      <c r="T108" s="75"/>
    </row>
    <row r="109" spans="12:20" ht="15.75" customHeight="1" x14ac:dyDescent="0.2">
      <c r="L109" s="20"/>
      <c r="M109" s="36">
        <v>112</v>
      </c>
      <c r="N109" s="36" t="s">
        <v>447</v>
      </c>
      <c r="O109" s="37" t="s">
        <v>448</v>
      </c>
      <c r="P109" s="74">
        <v>320</v>
      </c>
      <c r="Q109" s="74">
        <f>P109/M109</f>
        <v>2.8571428571428572</v>
      </c>
      <c r="R109" s="74">
        <v>5</v>
      </c>
      <c r="S109" s="74">
        <f>R109-Q109</f>
        <v>2.1428571428571428</v>
      </c>
      <c r="T109" s="130">
        <f>S109/R109</f>
        <v>0.42857142857142855</v>
      </c>
    </row>
    <row r="110" spans="12:20" ht="15.75" customHeight="1" x14ac:dyDescent="0.2"/>
    <row r="111" spans="12:20" ht="15.75" customHeight="1" x14ac:dyDescent="0.2">
      <c r="M111">
        <v>1</v>
      </c>
      <c r="N111" s="81" t="s">
        <v>449</v>
      </c>
      <c r="O111" s="81" t="s">
        <v>450</v>
      </c>
      <c r="P111" s="76">
        <v>483.33</v>
      </c>
    </row>
    <row r="112" spans="12:2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</sheetData>
  <mergeCells count="5">
    <mergeCell ref="L100:P100"/>
    <mergeCell ref="C2:I2"/>
    <mergeCell ref="C3:I3"/>
    <mergeCell ref="C4:I4"/>
    <mergeCell ref="B5:E5"/>
  </mergeCells>
  <dataValidations count="3">
    <dataValidation type="decimal" operator="greaterThanOrEqual" allowBlank="1" showErrorMessage="1" sqref="G41:G43" xr:uid="{0A5C1F07-AC1A-40DF-8045-A5E04808E56C}">
      <formula1>0</formula1>
    </dataValidation>
    <dataValidation type="decimal" operator="lessThanOrEqual" allowBlank="1" showErrorMessage="1" sqref="H41:H43" xr:uid="{A9FEEBFF-CA46-4DC8-848C-77247BF3BE2E}">
      <formula1>0</formula1>
    </dataValidation>
    <dataValidation type="list" allowBlank="1" showInputMessage="1" showErrorMessage="1" sqref="E7:E43" xr:uid="{EEDCA850-564D-4206-BDF8-0EC8C2CA67E4}">
      <formula1>$AA$2:$AA$7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11D1-D3B8-4854-84B7-0B98B1470867}">
  <sheetPr>
    <pageSetUpPr fitToPage="1"/>
  </sheetPr>
  <dimension ref="B1:AA985"/>
  <sheetViews>
    <sheetView showGridLines="0" workbookViewId="0">
      <pane ySplit="6" topLeftCell="A10" activePane="bottomLeft" state="frozen"/>
      <selection pane="bottomLeft" activeCell="B6" sqref="B6:I197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34.109375" customWidth="1"/>
    <col min="7" max="9" width="12.77734375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x14ac:dyDescent="0.25">
      <c r="B1" s="17"/>
      <c r="C1" s="68"/>
      <c r="D1" s="17"/>
      <c r="E1" s="17"/>
      <c r="F1" s="17"/>
      <c r="G1" s="17"/>
      <c r="H1" s="17"/>
      <c r="I1" s="17"/>
      <c r="J1" s="32"/>
      <c r="K1" s="215" t="s">
        <v>0</v>
      </c>
      <c r="L1" s="215"/>
      <c r="M1" s="17"/>
      <c r="AA1" s="48" t="s">
        <v>1</v>
      </c>
    </row>
    <row r="2" spans="2:27" ht="23.25" x14ac:dyDescent="0.35">
      <c r="B2" s="114"/>
      <c r="C2" s="216" t="s">
        <v>2</v>
      </c>
      <c r="D2" s="216"/>
      <c r="E2" s="216"/>
      <c r="F2" s="216"/>
      <c r="G2" s="216"/>
      <c r="H2" s="216"/>
      <c r="I2" s="216"/>
      <c r="J2" s="17"/>
      <c r="K2" s="37" t="s">
        <v>451</v>
      </c>
      <c r="L2" s="1">
        <f>SUMIF(DIAR_245[[#All],[CATEGORIA]],"0_COLUMNAS",DIAR_245[[#All],[EGRESO]])+SUMIF(DIAR_245[[#All],[CATEGORIA]],"0_COLUMNAS",DIAR_245[[#All],[INGRESO]])</f>
        <v>58700</v>
      </c>
      <c r="M2" s="1"/>
      <c r="AA2" s="49" t="s">
        <v>452</v>
      </c>
    </row>
    <row r="3" spans="2:27" ht="23.25" x14ac:dyDescent="0.35">
      <c r="B3" s="115"/>
      <c r="C3" s="207" t="s">
        <v>5</v>
      </c>
      <c r="D3" s="207"/>
      <c r="E3" s="207"/>
      <c r="F3" s="207"/>
      <c r="G3" s="207"/>
      <c r="H3" s="207"/>
      <c r="I3" s="207"/>
      <c r="J3" s="17"/>
      <c r="K3" s="37" t="s">
        <v>453</v>
      </c>
      <c r="L3" s="1">
        <f>SUMIF(DIAR_245[[#All],[CATEGORIA]],"1_WC",DIAR_245[[#All],[INGRESO]])+SUMIF(DIAR_245[[#All],[CATEGORIA]],"4_GASTOS",DIAR_245[[#All],[EGRESO]])+SUMIF(DIAR_245[[#All],[CATEGORIA]],"2_RECICLADO",DIAR_245[[#All],[INGRESO]])+SUMIF(DIAR_245[[#All],[CATEGORIA]],"3_APORTACION",DIAR_245[[#All],[INGRESO]])</f>
        <v>5519</v>
      </c>
      <c r="M3" s="1"/>
      <c r="AA3" s="49" t="s">
        <v>454</v>
      </c>
    </row>
    <row r="4" spans="2:27" ht="18.75" thickBot="1" x14ac:dyDescent="0.3">
      <c r="B4" s="116"/>
      <c r="C4" s="217" t="s">
        <v>455</v>
      </c>
      <c r="D4" s="217"/>
      <c r="E4" s="217"/>
      <c r="F4" s="217"/>
      <c r="G4" s="217"/>
      <c r="H4" s="217"/>
      <c r="I4" s="217"/>
      <c r="J4" s="17"/>
      <c r="K4" s="15" t="s">
        <v>13</v>
      </c>
      <c r="L4" s="16">
        <f>SUM(L2:L3)</f>
        <v>64219</v>
      </c>
      <c r="M4" s="1"/>
      <c r="N4" s="85"/>
      <c r="O4" s="84"/>
      <c r="P4" s="1"/>
      <c r="AA4" s="49" t="s">
        <v>456</v>
      </c>
    </row>
    <row r="5" spans="2:27" ht="16.5" thickTop="1" x14ac:dyDescent="0.25">
      <c r="B5" s="218">
        <f>MAX(DIAR_245[[#All],[FEC_MOV]])</f>
        <v>45418</v>
      </c>
      <c r="C5" s="219"/>
      <c r="D5" s="219"/>
      <c r="E5" s="219"/>
      <c r="F5" s="121" t="s">
        <v>12</v>
      </c>
      <c r="G5" s="1">
        <f>SUBTOTAL(9,$G$7:$G$3444)</f>
        <v>98128</v>
      </c>
      <c r="H5" s="1">
        <f>SUBTOTAL(9,$H$7:$H$3444)</f>
        <v>-33909</v>
      </c>
      <c r="I5" s="122">
        <f>G5+H5</f>
        <v>64219</v>
      </c>
      <c r="J5" s="17"/>
      <c r="K5" s="17"/>
      <c r="L5" s="1">
        <f>L3+542</f>
        <v>6061</v>
      </c>
      <c r="M5" s="17"/>
      <c r="AA5" s="49" t="s">
        <v>457</v>
      </c>
    </row>
    <row r="6" spans="2:27" ht="15.75" x14ac:dyDescent="0.25">
      <c r="B6" s="113" t="s">
        <v>15</v>
      </c>
      <c r="C6" s="113" t="s">
        <v>16</v>
      </c>
      <c r="D6" s="113" t="s">
        <v>17</v>
      </c>
      <c r="E6" s="113" t="s">
        <v>1</v>
      </c>
      <c r="F6" s="113" t="s">
        <v>18</v>
      </c>
      <c r="G6" s="113" t="s">
        <v>19</v>
      </c>
      <c r="H6" s="113" t="s">
        <v>20</v>
      </c>
      <c r="I6" s="113" t="s">
        <v>21</v>
      </c>
      <c r="J6" s="17"/>
      <c r="K6" s="123"/>
      <c r="L6" s="122"/>
      <c r="M6" s="17"/>
      <c r="AA6" s="49" t="s">
        <v>458</v>
      </c>
    </row>
    <row r="7" spans="2:27" x14ac:dyDescent="0.2">
      <c r="B7" s="117">
        <f t="shared" ref="B7:B38" si="0">B6+1</f>
        <v>1</v>
      </c>
      <c r="C7" s="118">
        <v>44946</v>
      </c>
      <c r="D7" s="117" t="s">
        <v>459</v>
      </c>
      <c r="E7" s="157" t="s">
        <v>452</v>
      </c>
      <c r="F7" s="119" t="s">
        <v>460</v>
      </c>
      <c r="G7" s="120">
        <v>12500</v>
      </c>
      <c r="H7" s="120"/>
      <c r="I7" s="120"/>
      <c r="AA7" s="49"/>
    </row>
    <row r="8" spans="2:27" x14ac:dyDescent="0.2">
      <c r="B8" s="50">
        <f t="shared" si="0"/>
        <v>2</v>
      </c>
      <c r="C8" s="51">
        <v>44959</v>
      </c>
      <c r="D8" s="52" t="s">
        <v>461</v>
      </c>
      <c r="E8" s="57" t="s">
        <v>452</v>
      </c>
      <c r="F8" s="53" t="s">
        <v>462</v>
      </c>
      <c r="G8" s="54">
        <v>400</v>
      </c>
      <c r="H8" s="54"/>
      <c r="I8" s="54"/>
    </row>
    <row r="9" spans="2:27" x14ac:dyDescent="0.2">
      <c r="B9" s="50">
        <f t="shared" si="0"/>
        <v>3</v>
      </c>
      <c r="C9" s="51">
        <v>44959</v>
      </c>
      <c r="D9" s="52" t="s">
        <v>461</v>
      </c>
      <c r="E9" s="57" t="s">
        <v>452</v>
      </c>
      <c r="F9" s="53" t="s">
        <v>463</v>
      </c>
      <c r="G9" s="54">
        <v>1000</v>
      </c>
      <c r="H9" s="54"/>
      <c r="I9" s="54"/>
    </row>
    <row r="10" spans="2:27" x14ac:dyDescent="0.2">
      <c r="B10" s="50">
        <f t="shared" si="0"/>
        <v>4</v>
      </c>
      <c r="C10" s="51">
        <v>44964</v>
      </c>
      <c r="D10" s="52" t="s">
        <v>461</v>
      </c>
      <c r="E10" s="57" t="s">
        <v>452</v>
      </c>
      <c r="F10" s="53" t="s">
        <v>464</v>
      </c>
      <c r="G10" s="54">
        <v>1400</v>
      </c>
      <c r="H10" s="54"/>
      <c r="I10" s="54"/>
    </row>
    <row r="11" spans="2:27" x14ac:dyDescent="0.2">
      <c r="B11" s="50">
        <f t="shared" si="0"/>
        <v>5</v>
      </c>
      <c r="C11" s="51">
        <v>44969</v>
      </c>
      <c r="D11" s="52" t="s">
        <v>461</v>
      </c>
      <c r="E11" s="57" t="s">
        <v>452</v>
      </c>
      <c r="F11" s="53" t="s">
        <v>465</v>
      </c>
      <c r="G11" s="54">
        <v>900</v>
      </c>
      <c r="H11" s="54"/>
      <c r="I11" s="54"/>
    </row>
    <row r="12" spans="2:27" x14ac:dyDescent="0.2">
      <c r="B12" s="50">
        <f t="shared" si="0"/>
        <v>6</v>
      </c>
      <c r="C12" s="51">
        <v>44983</v>
      </c>
      <c r="D12" s="52" t="s">
        <v>461</v>
      </c>
      <c r="E12" s="57" t="s">
        <v>452</v>
      </c>
      <c r="F12" s="53" t="s">
        <v>465</v>
      </c>
      <c r="G12" s="55">
        <v>1000</v>
      </c>
      <c r="H12" s="54"/>
      <c r="I12" s="54"/>
    </row>
    <row r="13" spans="2:27" x14ac:dyDescent="0.2">
      <c r="B13" s="50">
        <f t="shared" si="0"/>
        <v>7</v>
      </c>
      <c r="C13" s="51">
        <v>45009</v>
      </c>
      <c r="D13" s="52" t="s">
        <v>466</v>
      </c>
      <c r="E13" s="57" t="s">
        <v>452</v>
      </c>
      <c r="F13" s="53" t="s">
        <v>467</v>
      </c>
      <c r="G13" s="54">
        <v>5000</v>
      </c>
      <c r="H13" s="54"/>
      <c r="I13" s="54"/>
    </row>
    <row r="14" spans="2:27" x14ac:dyDescent="0.2">
      <c r="B14" s="50">
        <f t="shared" si="0"/>
        <v>8</v>
      </c>
      <c r="C14" s="51">
        <v>45011</v>
      </c>
      <c r="D14" s="52" t="s">
        <v>466</v>
      </c>
      <c r="E14" s="57" t="s">
        <v>452</v>
      </c>
      <c r="F14" s="53" t="s">
        <v>468</v>
      </c>
      <c r="G14" s="54">
        <v>500</v>
      </c>
      <c r="H14" s="54"/>
      <c r="I14" s="54"/>
    </row>
    <row r="15" spans="2:27" ht="15" customHeight="1" x14ac:dyDescent="0.2">
      <c r="B15" s="50">
        <f t="shared" si="0"/>
        <v>9</v>
      </c>
      <c r="C15" s="51">
        <v>45039</v>
      </c>
      <c r="D15" s="52" t="s">
        <v>469</v>
      </c>
      <c r="E15" s="57" t="s">
        <v>452</v>
      </c>
      <c r="F15" s="53" t="s">
        <v>470</v>
      </c>
      <c r="G15" s="54">
        <v>2000</v>
      </c>
      <c r="H15" s="54"/>
      <c r="I15" s="54"/>
    </row>
    <row r="16" spans="2:27" ht="15" customHeight="1" x14ac:dyDescent="0.2">
      <c r="B16" s="50">
        <f t="shared" si="0"/>
        <v>10</v>
      </c>
      <c r="C16" s="51">
        <v>45060</v>
      </c>
      <c r="D16" s="52" t="s">
        <v>471</v>
      </c>
      <c r="E16" s="57" t="s">
        <v>452</v>
      </c>
      <c r="F16" s="53" t="s">
        <v>464</v>
      </c>
      <c r="G16" s="54">
        <v>500</v>
      </c>
      <c r="H16" s="54"/>
      <c r="I16" s="54"/>
    </row>
    <row r="17" spans="2:9" ht="15" customHeight="1" x14ac:dyDescent="0.2">
      <c r="B17" s="50">
        <f t="shared" si="0"/>
        <v>11</v>
      </c>
      <c r="C17" s="51">
        <v>45072</v>
      </c>
      <c r="D17" s="52" t="s">
        <v>471</v>
      </c>
      <c r="E17" s="57" t="s">
        <v>452</v>
      </c>
      <c r="F17" s="53" t="s">
        <v>472</v>
      </c>
      <c r="G17" s="54">
        <v>5000</v>
      </c>
      <c r="H17" s="54"/>
      <c r="I17" s="54"/>
    </row>
    <row r="18" spans="2:9" ht="15.75" customHeight="1" x14ac:dyDescent="0.2">
      <c r="B18" s="50">
        <f t="shared" si="0"/>
        <v>12</v>
      </c>
      <c r="C18" s="51">
        <v>45088</v>
      </c>
      <c r="D18" s="52" t="s">
        <v>473</v>
      </c>
      <c r="E18" s="57" t="s">
        <v>452</v>
      </c>
      <c r="F18" s="53" t="s">
        <v>474</v>
      </c>
      <c r="G18" s="54">
        <v>500</v>
      </c>
      <c r="H18" s="54"/>
      <c r="I18" s="54"/>
    </row>
    <row r="19" spans="2:9" ht="15.75" customHeight="1" x14ac:dyDescent="0.2">
      <c r="B19" s="50">
        <f t="shared" si="0"/>
        <v>13</v>
      </c>
      <c r="C19" s="51">
        <v>45106</v>
      </c>
      <c r="D19" s="52" t="s">
        <v>473</v>
      </c>
      <c r="E19" s="57" t="s">
        <v>452</v>
      </c>
      <c r="F19" s="53" t="s">
        <v>464</v>
      </c>
      <c r="G19" s="54">
        <v>1500</v>
      </c>
      <c r="H19" s="54"/>
      <c r="I19" s="54"/>
    </row>
    <row r="20" spans="2:9" ht="15.75" customHeight="1" x14ac:dyDescent="0.2">
      <c r="B20" s="50">
        <f t="shared" si="0"/>
        <v>14</v>
      </c>
      <c r="C20" s="51">
        <v>45109</v>
      </c>
      <c r="D20" s="52" t="s">
        <v>475</v>
      </c>
      <c r="E20" s="57" t="s">
        <v>452</v>
      </c>
      <c r="F20" s="53" t="s">
        <v>476</v>
      </c>
      <c r="G20" s="54">
        <v>2500</v>
      </c>
      <c r="H20" s="54"/>
      <c r="I20" s="54"/>
    </row>
    <row r="21" spans="2:9" ht="15.75" customHeight="1" x14ac:dyDescent="0.2">
      <c r="B21" s="50">
        <f t="shared" si="0"/>
        <v>15</v>
      </c>
      <c r="C21" s="51">
        <v>45109</v>
      </c>
      <c r="D21" s="52" t="s">
        <v>475</v>
      </c>
      <c r="E21" s="57" t="s">
        <v>452</v>
      </c>
      <c r="F21" s="53" t="s">
        <v>476</v>
      </c>
      <c r="G21" s="54">
        <v>1000</v>
      </c>
      <c r="H21" s="54"/>
      <c r="I21" s="54"/>
    </row>
    <row r="22" spans="2:9" ht="15.75" customHeight="1" x14ac:dyDescent="0.2">
      <c r="B22" s="50">
        <f t="shared" si="0"/>
        <v>16</v>
      </c>
      <c r="C22" s="51">
        <v>45113</v>
      </c>
      <c r="D22" s="52" t="s">
        <v>475</v>
      </c>
      <c r="E22" s="57" t="s">
        <v>452</v>
      </c>
      <c r="F22" s="53" t="s">
        <v>460</v>
      </c>
      <c r="G22" s="54">
        <v>5000</v>
      </c>
      <c r="H22" s="54"/>
      <c r="I22" s="54"/>
    </row>
    <row r="23" spans="2:9" ht="15.75" customHeight="1" x14ac:dyDescent="0.2">
      <c r="B23" s="50">
        <f t="shared" si="0"/>
        <v>17</v>
      </c>
      <c r="C23" s="51">
        <v>45144</v>
      </c>
      <c r="D23" s="57" t="s">
        <v>477</v>
      </c>
      <c r="E23" s="57" t="s">
        <v>452</v>
      </c>
      <c r="F23" s="53" t="s">
        <v>464</v>
      </c>
      <c r="G23" s="54">
        <v>400</v>
      </c>
      <c r="H23" s="54"/>
      <c r="I23" s="54"/>
    </row>
    <row r="24" spans="2:9" ht="15.75" customHeight="1" x14ac:dyDescent="0.2">
      <c r="B24" s="50">
        <f t="shared" si="0"/>
        <v>18</v>
      </c>
      <c r="C24" s="51">
        <v>45144</v>
      </c>
      <c r="D24" s="57" t="s">
        <v>477</v>
      </c>
      <c r="E24" s="57" t="s">
        <v>452</v>
      </c>
      <c r="F24" s="53" t="s">
        <v>478</v>
      </c>
      <c r="G24" s="54">
        <v>100</v>
      </c>
      <c r="H24" s="54"/>
      <c r="I24" s="54"/>
    </row>
    <row r="25" spans="2:9" ht="15.75" customHeight="1" x14ac:dyDescent="0.2">
      <c r="B25" s="50">
        <f t="shared" si="0"/>
        <v>19</v>
      </c>
      <c r="C25" s="51">
        <v>45292</v>
      </c>
      <c r="D25" s="57" t="s">
        <v>479</v>
      </c>
      <c r="E25" s="57" t="s">
        <v>457</v>
      </c>
      <c r="F25" s="53" t="s">
        <v>480</v>
      </c>
      <c r="G25" s="54">
        <v>10948</v>
      </c>
      <c r="H25" s="54"/>
      <c r="I25" s="54"/>
    </row>
    <row r="26" spans="2:9" ht="15.75" customHeight="1" x14ac:dyDescent="0.2">
      <c r="B26" s="50">
        <f t="shared" si="0"/>
        <v>20</v>
      </c>
      <c r="C26" s="51">
        <v>45293</v>
      </c>
      <c r="D26" s="57" t="s">
        <v>481</v>
      </c>
      <c r="E26" s="57" t="s">
        <v>456</v>
      </c>
      <c r="F26" s="53" t="s">
        <v>482</v>
      </c>
      <c r="G26" s="54">
        <v>32</v>
      </c>
      <c r="H26" s="54"/>
      <c r="I26" s="54"/>
    </row>
    <row r="27" spans="2:9" ht="15.75" customHeight="1" x14ac:dyDescent="0.2">
      <c r="B27" s="50">
        <f t="shared" si="0"/>
        <v>21</v>
      </c>
      <c r="C27" s="51">
        <v>45294</v>
      </c>
      <c r="D27" s="57" t="s">
        <v>479</v>
      </c>
      <c r="E27" s="57" t="s">
        <v>456</v>
      </c>
      <c r="F27" s="53" t="s">
        <v>482</v>
      </c>
      <c r="G27" s="54">
        <v>318</v>
      </c>
      <c r="H27" s="54"/>
      <c r="I27" s="54"/>
    </row>
    <row r="28" spans="2:9" ht="15.75" customHeight="1" x14ac:dyDescent="0.2">
      <c r="B28" s="50">
        <f t="shared" si="0"/>
        <v>22</v>
      </c>
      <c r="C28" s="51">
        <v>45296</v>
      </c>
      <c r="D28" s="57" t="s">
        <v>479</v>
      </c>
      <c r="E28" s="57" t="s">
        <v>452</v>
      </c>
      <c r="F28" s="53" t="s">
        <v>474</v>
      </c>
      <c r="G28" s="54">
        <v>5000</v>
      </c>
      <c r="H28" s="54"/>
      <c r="I28" s="54"/>
    </row>
    <row r="29" spans="2:9" ht="15.75" customHeight="1" x14ac:dyDescent="0.2">
      <c r="B29" s="50">
        <f t="shared" si="0"/>
        <v>23</v>
      </c>
      <c r="C29" s="51">
        <v>45296</v>
      </c>
      <c r="D29" s="57" t="s">
        <v>479</v>
      </c>
      <c r="E29" s="57" t="s">
        <v>454</v>
      </c>
      <c r="F29" s="53" t="s">
        <v>483</v>
      </c>
      <c r="G29" s="54">
        <v>284</v>
      </c>
      <c r="H29" s="54"/>
      <c r="I29" s="54"/>
    </row>
    <row r="30" spans="2:9" ht="15.75" customHeight="1" x14ac:dyDescent="0.2">
      <c r="B30" s="50">
        <f t="shared" si="0"/>
        <v>24</v>
      </c>
      <c r="C30" s="51">
        <v>45296</v>
      </c>
      <c r="D30" s="57" t="s">
        <v>479</v>
      </c>
      <c r="E30" s="57" t="s">
        <v>456</v>
      </c>
      <c r="F30" s="53" t="s">
        <v>482</v>
      </c>
      <c r="G30" s="54">
        <v>30</v>
      </c>
      <c r="H30" s="54"/>
      <c r="I30" s="54"/>
    </row>
    <row r="31" spans="2:9" ht="15.75" customHeight="1" x14ac:dyDescent="0.2">
      <c r="B31" s="50">
        <f t="shared" si="0"/>
        <v>25</v>
      </c>
      <c r="C31" s="51">
        <v>45298</v>
      </c>
      <c r="D31" s="57" t="s">
        <v>479</v>
      </c>
      <c r="E31" s="57" t="s">
        <v>457</v>
      </c>
      <c r="F31" s="53" t="s">
        <v>476</v>
      </c>
      <c r="G31" s="54">
        <v>500</v>
      </c>
      <c r="H31" s="54"/>
      <c r="I31" s="54"/>
    </row>
    <row r="32" spans="2:9" ht="15.75" customHeight="1" x14ac:dyDescent="0.2">
      <c r="B32" s="50">
        <f t="shared" si="0"/>
        <v>26</v>
      </c>
      <c r="C32" s="51">
        <v>45298</v>
      </c>
      <c r="D32" s="57" t="s">
        <v>479</v>
      </c>
      <c r="E32" s="57" t="s">
        <v>457</v>
      </c>
      <c r="F32" s="53" t="s">
        <v>478</v>
      </c>
      <c r="G32" s="54">
        <v>200</v>
      </c>
      <c r="H32" s="54"/>
      <c r="I32" s="54"/>
    </row>
    <row r="33" spans="2:9" ht="15.75" customHeight="1" x14ac:dyDescent="0.2">
      <c r="B33" s="50">
        <f t="shared" si="0"/>
        <v>27</v>
      </c>
      <c r="C33" s="51">
        <v>45298</v>
      </c>
      <c r="D33" s="57" t="s">
        <v>479</v>
      </c>
      <c r="E33" s="57" t="s">
        <v>457</v>
      </c>
      <c r="F33" s="53" t="s">
        <v>484</v>
      </c>
      <c r="G33" s="54">
        <v>1200</v>
      </c>
      <c r="H33" s="54"/>
      <c r="I33" s="54"/>
    </row>
    <row r="34" spans="2:9" ht="15.75" customHeight="1" x14ac:dyDescent="0.2">
      <c r="B34" s="50">
        <f t="shared" si="0"/>
        <v>28</v>
      </c>
      <c r="C34" s="51">
        <v>45299</v>
      </c>
      <c r="D34" s="57" t="s">
        <v>479</v>
      </c>
      <c r="E34" s="57" t="s">
        <v>456</v>
      </c>
      <c r="F34" s="53" t="s">
        <v>482</v>
      </c>
      <c r="G34" s="54">
        <v>250</v>
      </c>
      <c r="H34" s="54"/>
      <c r="I34" s="54"/>
    </row>
    <row r="35" spans="2:9" ht="15.75" customHeight="1" x14ac:dyDescent="0.2">
      <c r="B35" s="50">
        <f t="shared" si="0"/>
        <v>29</v>
      </c>
      <c r="C35" s="51">
        <v>45303</v>
      </c>
      <c r="D35" s="57" t="s">
        <v>479</v>
      </c>
      <c r="E35" s="57" t="s">
        <v>454</v>
      </c>
      <c r="F35" s="53" t="s">
        <v>483</v>
      </c>
      <c r="G35" s="54">
        <v>316</v>
      </c>
      <c r="H35" s="54"/>
      <c r="I35" s="54"/>
    </row>
    <row r="36" spans="2:9" ht="15.75" customHeight="1" x14ac:dyDescent="0.2">
      <c r="B36" s="50">
        <f t="shared" si="0"/>
        <v>30</v>
      </c>
      <c r="C36" s="51">
        <v>45303</v>
      </c>
      <c r="D36" s="57" t="s">
        <v>479</v>
      </c>
      <c r="E36" s="57" t="s">
        <v>457</v>
      </c>
      <c r="F36" s="53" t="s">
        <v>485</v>
      </c>
      <c r="G36" s="54">
        <v>214.5</v>
      </c>
      <c r="H36" s="54"/>
      <c r="I36" s="54"/>
    </row>
    <row r="37" spans="2:9" ht="15.75" customHeight="1" x14ac:dyDescent="0.2">
      <c r="B37" s="50">
        <f t="shared" si="0"/>
        <v>31</v>
      </c>
      <c r="C37" s="51">
        <v>45303</v>
      </c>
      <c r="D37" s="57" t="s">
        <v>479</v>
      </c>
      <c r="E37" s="57" t="s">
        <v>457</v>
      </c>
      <c r="F37" s="53" t="s">
        <v>486</v>
      </c>
      <c r="G37" s="54">
        <v>0.5</v>
      </c>
      <c r="H37" s="54"/>
      <c r="I37" s="54"/>
    </row>
    <row r="38" spans="2:9" ht="15.75" customHeight="1" x14ac:dyDescent="0.2">
      <c r="B38" s="50">
        <f t="shared" si="0"/>
        <v>32</v>
      </c>
      <c r="C38" s="51">
        <v>45305</v>
      </c>
      <c r="D38" s="57" t="s">
        <v>479</v>
      </c>
      <c r="E38" s="57" t="s">
        <v>456</v>
      </c>
      <c r="F38" s="53" t="s">
        <v>482</v>
      </c>
      <c r="G38" s="54">
        <v>60</v>
      </c>
      <c r="H38" s="54"/>
      <c r="I38" s="54"/>
    </row>
    <row r="39" spans="2:9" ht="15.75" customHeight="1" x14ac:dyDescent="0.2">
      <c r="B39" s="50">
        <f t="shared" ref="B39:B70" si="1">B38+1</f>
        <v>33</v>
      </c>
      <c r="C39" s="51">
        <v>45305</v>
      </c>
      <c r="D39" s="57" t="s">
        <v>479</v>
      </c>
      <c r="E39" s="57" t="s">
        <v>457</v>
      </c>
      <c r="F39" s="53" t="s">
        <v>487</v>
      </c>
      <c r="G39" s="54">
        <v>700</v>
      </c>
      <c r="H39" s="54"/>
      <c r="I39" s="54"/>
    </row>
    <row r="40" spans="2:9" ht="15.75" customHeight="1" x14ac:dyDescent="0.2">
      <c r="B40" s="50">
        <f t="shared" si="1"/>
        <v>34</v>
      </c>
      <c r="C40" s="51">
        <v>45305</v>
      </c>
      <c r="D40" s="57" t="s">
        <v>479</v>
      </c>
      <c r="E40" s="57" t="s">
        <v>457</v>
      </c>
      <c r="F40" s="53" t="s">
        <v>478</v>
      </c>
      <c r="G40" s="54">
        <v>200</v>
      </c>
      <c r="H40" s="54"/>
      <c r="I40" s="54"/>
    </row>
    <row r="41" spans="2:9" ht="15.75" customHeight="1" x14ac:dyDescent="0.2">
      <c r="B41" s="50">
        <f t="shared" si="1"/>
        <v>35</v>
      </c>
      <c r="C41" s="51">
        <v>45310</v>
      </c>
      <c r="D41" s="57" t="s">
        <v>479</v>
      </c>
      <c r="E41" s="57" t="s">
        <v>454</v>
      </c>
      <c r="F41" s="53" t="s">
        <v>483</v>
      </c>
      <c r="G41" s="54">
        <v>233</v>
      </c>
      <c r="H41" s="54"/>
      <c r="I41" s="54"/>
    </row>
    <row r="42" spans="2:9" ht="15.75" customHeight="1" x14ac:dyDescent="0.2">
      <c r="B42" s="50">
        <f t="shared" si="1"/>
        <v>36</v>
      </c>
      <c r="C42" s="51">
        <v>45311</v>
      </c>
      <c r="D42" s="57" t="s">
        <v>479</v>
      </c>
      <c r="E42" s="57" t="s">
        <v>456</v>
      </c>
      <c r="F42" s="53" t="s">
        <v>482</v>
      </c>
      <c r="G42" s="54">
        <v>340</v>
      </c>
      <c r="H42" s="54"/>
      <c r="I42" s="54"/>
    </row>
    <row r="43" spans="2:9" ht="15.75" customHeight="1" x14ac:dyDescent="0.2">
      <c r="B43" s="50">
        <f t="shared" si="1"/>
        <v>37</v>
      </c>
      <c r="C43" s="51">
        <v>45312</v>
      </c>
      <c r="D43" s="57" t="s">
        <v>479</v>
      </c>
      <c r="E43" s="57" t="s">
        <v>457</v>
      </c>
      <c r="F43" s="53" t="s">
        <v>487</v>
      </c>
      <c r="G43" s="54">
        <v>100</v>
      </c>
      <c r="H43" s="54"/>
      <c r="I43" s="54"/>
    </row>
    <row r="44" spans="2:9" ht="15.75" customHeight="1" x14ac:dyDescent="0.2">
      <c r="B44" s="50">
        <f t="shared" si="1"/>
        <v>38</v>
      </c>
      <c r="C44" s="51">
        <v>45312</v>
      </c>
      <c r="D44" s="57" t="s">
        <v>479</v>
      </c>
      <c r="E44" s="57" t="s">
        <v>457</v>
      </c>
      <c r="F44" s="53" t="s">
        <v>478</v>
      </c>
      <c r="G44" s="54">
        <v>200</v>
      </c>
      <c r="H44" s="54"/>
      <c r="I44" s="54"/>
    </row>
    <row r="45" spans="2:9" ht="15.75" customHeight="1" x14ac:dyDescent="0.2">
      <c r="B45" s="50">
        <f t="shared" si="1"/>
        <v>39</v>
      </c>
      <c r="C45" s="51">
        <v>45316</v>
      </c>
      <c r="D45" s="57" t="s">
        <v>479</v>
      </c>
      <c r="E45" s="57" t="s">
        <v>456</v>
      </c>
      <c r="F45" s="53" t="s">
        <v>482</v>
      </c>
      <c r="G45" s="54">
        <v>270</v>
      </c>
      <c r="H45" s="54"/>
      <c r="I45" s="54"/>
    </row>
    <row r="46" spans="2:9" ht="15.75" customHeight="1" x14ac:dyDescent="0.2">
      <c r="B46" s="50">
        <f t="shared" si="1"/>
        <v>40</v>
      </c>
      <c r="C46" s="51">
        <v>45316</v>
      </c>
      <c r="D46" s="57" t="s">
        <v>479</v>
      </c>
      <c r="E46" s="57" t="s">
        <v>457</v>
      </c>
      <c r="F46" s="53" t="s">
        <v>488</v>
      </c>
      <c r="G46" s="54">
        <v>500</v>
      </c>
      <c r="H46" s="54"/>
      <c r="I46" s="54"/>
    </row>
    <row r="47" spans="2:9" ht="15.75" customHeight="1" x14ac:dyDescent="0.2">
      <c r="B47" s="50">
        <f t="shared" si="1"/>
        <v>41</v>
      </c>
      <c r="C47" s="51">
        <v>45317</v>
      </c>
      <c r="D47" s="57" t="s">
        <v>479</v>
      </c>
      <c r="E47" s="57" t="s">
        <v>454</v>
      </c>
      <c r="F47" s="53" t="s">
        <v>483</v>
      </c>
      <c r="G47" s="54">
        <v>233</v>
      </c>
      <c r="H47" s="54"/>
      <c r="I47" s="54"/>
    </row>
    <row r="48" spans="2:9" ht="15.75" customHeight="1" x14ac:dyDescent="0.2">
      <c r="B48" s="50">
        <f t="shared" si="1"/>
        <v>42</v>
      </c>
      <c r="C48" s="51">
        <v>45319</v>
      </c>
      <c r="D48" s="57" t="s">
        <v>479</v>
      </c>
      <c r="E48" s="57" t="s">
        <v>457</v>
      </c>
      <c r="F48" s="53" t="s">
        <v>478</v>
      </c>
      <c r="G48" s="54">
        <v>200</v>
      </c>
      <c r="H48" s="54"/>
      <c r="I48" s="54"/>
    </row>
    <row r="49" spans="2:9" ht="15.75" customHeight="1" x14ac:dyDescent="0.2">
      <c r="B49" s="50">
        <f t="shared" si="1"/>
        <v>43</v>
      </c>
      <c r="C49" s="51">
        <v>45324</v>
      </c>
      <c r="D49" s="57" t="s">
        <v>481</v>
      </c>
      <c r="E49" s="57" t="s">
        <v>454</v>
      </c>
      <c r="F49" s="53" t="s">
        <v>483</v>
      </c>
      <c r="G49" s="54">
        <v>216</v>
      </c>
      <c r="H49" s="54"/>
      <c r="I49" s="54"/>
    </row>
    <row r="50" spans="2:9" ht="15.75" customHeight="1" x14ac:dyDescent="0.2">
      <c r="B50" s="50">
        <f t="shared" si="1"/>
        <v>44</v>
      </c>
      <c r="C50" s="51">
        <v>45326</v>
      </c>
      <c r="D50" s="57" t="s">
        <v>481</v>
      </c>
      <c r="E50" s="57" t="s">
        <v>457</v>
      </c>
      <c r="F50" s="53" t="s">
        <v>476</v>
      </c>
      <c r="G50" s="54">
        <v>1000</v>
      </c>
      <c r="H50" s="54"/>
      <c r="I50" s="54"/>
    </row>
    <row r="51" spans="2:9" ht="15.75" customHeight="1" x14ac:dyDescent="0.2">
      <c r="B51" s="50">
        <f t="shared" si="1"/>
        <v>45</v>
      </c>
      <c r="C51" s="51">
        <v>45326</v>
      </c>
      <c r="D51" s="57" t="s">
        <v>481</v>
      </c>
      <c r="E51" s="57" t="s">
        <v>457</v>
      </c>
      <c r="F51" s="53" t="s">
        <v>489</v>
      </c>
      <c r="G51" s="54">
        <v>162</v>
      </c>
      <c r="H51" s="54"/>
      <c r="I51" s="54"/>
    </row>
    <row r="52" spans="2:9" ht="15.75" customHeight="1" x14ac:dyDescent="0.2">
      <c r="B52" s="50">
        <f t="shared" si="1"/>
        <v>46</v>
      </c>
      <c r="C52" s="51">
        <v>45326</v>
      </c>
      <c r="D52" s="57" t="s">
        <v>481</v>
      </c>
      <c r="E52" s="57" t="s">
        <v>457</v>
      </c>
      <c r="F52" s="53" t="s">
        <v>490</v>
      </c>
      <c r="G52" s="54">
        <v>600</v>
      </c>
      <c r="H52" s="54"/>
      <c r="I52" s="54"/>
    </row>
    <row r="53" spans="2:9" ht="15.75" customHeight="1" x14ac:dyDescent="0.2">
      <c r="B53" s="50">
        <f t="shared" si="1"/>
        <v>47</v>
      </c>
      <c r="C53" s="51">
        <v>45326</v>
      </c>
      <c r="D53" s="57" t="s">
        <v>481</v>
      </c>
      <c r="E53" s="57" t="s">
        <v>457</v>
      </c>
      <c r="F53" s="53" t="s">
        <v>487</v>
      </c>
      <c r="G53" s="54">
        <v>100</v>
      </c>
      <c r="H53" s="54"/>
      <c r="I53" s="54"/>
    </row>
    <row r="54" spans="2:9" ht="15.75" customHeight="1" x14ac:dyDescent="0.2">
      <c r="B54" s="50">
        <f t="shared" si="1"/>
        <v>48</v>
      </c>
      <c r="C54" s="51">
        <v>45326</v>
      </c>
      <c r="D54" s="57" t="s">
        <v>481</v>
      </c>
      <c r="E54" s="57" t="s">
        <v>457</v>
      </c>
      <c r="F54" s="53" t="s">
        <v>491</v>
      </c>
      <c r="G54" s="54">
        <v>200</v>
      </c>
      <c r="H54" s="54"/>
      <c r="I54" s="54"/>
    </row>
    <row r="55" spans="2:9" ht="15.75" customHeight="1" x14ac:dyDescent="0.2">
      <c r="B55" s="50">
        <f t="shared" si="1"/>
        <v>49</v>
      </c>
      <c r="C55" s="51">
        <v>45326</v>
      </c>
      <c r="D55" s="57" t="s">
        <v>481</v>
      </c>
      <c r="E55" s="57" t="s">
        <v>457</v>
      </c>
      <c r="F55" s="53" t="s">
        <v>478</v>
      </c>
      <c r="G55" s="54">
        <v>200</v>
      </c>
      <c r="H55" s="54"/>
      <c r="I55" s="54"/>
    </row>
    <row r="56" spans="2:9" ht="15.75" customHeight="1" x14ac:dyDescent="0.2">
      <c r="B56" s="50">
        <f t="shared" si="1"/>
        <v>50</v>
      </c>
      <c r="C56" s="51">
        <v>45331</v>
      </c>
      <c r="D56" s="57" t="s">
        <v>481</v>
      </c>
      <c r="E56" s="57" t="s">
        <v>454</v>
      </c>
      <c r="F56" s="53" t="s">
        <v>483</v>
      </c>
      <c r="G56" s="54">
        <v>200</v>
      </c>
      <c r="H56" s="54"/>
      <c r="I56" s="54"/>
    </row>
    <row r="57" spans="2:9" ht="15.75" customHeight="1" x14ac:dyDescent="0.2">
      <c r="B57" s="50">
        <f t="shared" si="1"/>
        <v>51</v>
      </c>
      <c r="C57" s="51">
        <v>45332</v>
      </c>
      <c r="D57" s="57" t="s">
        <v>481</v>
      </c>
      <c r="E57" s="57" t="s">
        <v>458</v>
      </c>
      <c r="F57" s="53" t="s">
        <v>492</v>
      </c>
      <c r="G57" s="54"/>
      <c r="H57" s="54">
        <v>-296</v>
      </c>
      <c r="I57" s="54"/>
    </row>
    <row r="58" spans="2:9" ht="15.75" customHeight="1" x14ac:dyDescent="0.2">
      <c r="B58" s="50">
        <f t="shared" si="1"/>
        <v>52</v>
      </c>
      <c r="C58" s="51">
        <v>45332</v>
      </c>
      <c r="D58" s="57" t="s">
        <v>481</v>
      </c>
      <c r="E58" s="57" t="s">
        <v>458</v>
      </c>
      <c r="F58" s="53" t="s">
        <v>493</v>
      </c>
      <c r="G58" s="54"/>
      <c r="H58" s="54">
        <v>-966</v>
      </c>
      <c r="I58" s="54"/>
    </row>
    <row r="59" spans="2:9" ht="15.75" customHeight="1" x14ac:dyDescent="0.2">
      <c r="B59" s="50">
        <f t="shared" si="1"/>
        <v>53</v>
      </c>
      <c r="C59" s="51">
        <v>45332</v>
      </c>
      <c r="D59" s="57" t="s">
        <v>481</v>
      </c>
      <c r="E59" s="57" t="s">
        <v>458</v>
      </c>
      <c r="F59" s="53" t="s">
        <v>494</v>
      </c>
      <c r="G59" s="54"/>
      <c r="H59" s="54">
        <v>-1220</v>
      </c>
      <c r="I59" s="54"/>
    </row>
    <row r="60" spans="2:9" ht="15.75" customHeight="1" x14ac:dyDescent="0.2">
      <c r="B60" s="50">
        <f t="shared" si="1"/>
        <v>54</v>
      </c>
      <c r="C60" s="51">
        <v>45333</v>
      </c>
      <c r="D60" s="57" t="s">
        <v>481</v>
      </c>
      <c r="E60" s="57" t="s">
        <v>457</v>
      </c>
      <c r="F60" s="53" t="s">
        <v>476</v>
      </c>
      <c r="G60" s="54">
        <v>50</v>
      </c>
      <c r="H60" s="54"/>
      <c r="I60" s="54"/>
    </row>
    <row r="61" spans="2:9" ht="15.75" customHeight="1" x14ac:dyDescent="0.2">
      <c r="B61" s="50">
        <f t="shared" si="1"/>
        <v>55</v>
      </c>
      <c r="C61" s="51">
        <v>45333</v>
      </c>
      <c r="D61" s="57" t="s">
        <v>481</v>
      </c>
      <c r="E61" s="57" t="s">
        <v>457</v>
      </c>
      <c r="F61" s="53" t="s">
        <v>495</v>
      </c>
      <c r="G61" s="54">
        <v>611</v>
      </c>
      <c r="H61" s="54"/>
      <c r="I61" s="54"/>
    </row>
    <row r="62" spans="2:9" ht="15.75" customHeight="1" x14ac:dyDescent="0.2">
      <c r="B62" s="50">
        <f t="shared" si="1"/>
        <v>56</v>
      </c>
      <c r="C62" s="51">
        <v>45333</v>
      </c>
      <c r="D62" s="57" t="s">
        <v>481</v>
      </c>
      <c r="E62" s="57" t="s">
        <v>457</v>
      </c>
      <c r="F62" s="53" t="s">
        <v>478</v>
      </c>
      <c r="G62" s="54">
        <v>200</v>
      </c>
      <c r="H62" s="54"/>
      <c r="I62" s="54"/>
    </row>
    <row r="63" spans="2:9" ht="15.75" customHeight="1" x14ac:dyDescent="0.2">
      <c r="B63" s="50">
        <f t="shared" si="1"/>
        <v>57</v>
      </c>
      <c r="C63" s="51">
        <v>45334</v>
      </c>
      <c r="D63" s="57" t="s">
        <v>481</v>
      </c>
      <c r="E63" s="57" t="s">
        <v>456</v>
      </c>
      <c r="F63" s="53" t="s">
        <v>482</v>
      </c>
      <c r="G63" s="54">
        <v>250</v>
      </c>
      <c r="H63" s="54"/>
      <c r="I63" s="54"/>
    </row>
    <row r="64" spans="2:9" ht="15.75" customHeight="1" x14ac:dyDescent="0.2">
      <c r="B64" s="50">
        <f t="shared" si="1"/>
        <v>58</v>
      </c>
      <c r="C64" s="51">
        <v>45334</v>
      </c>
      <c r="D64" s="57" t="s">
        <v>481</v>
      </c>
      <c r="E64" s="57" t="s">
        <v>457</v>
      </c>
      <c r="F64" s="53" t="s">
        <v>489</v>
      </c>
      <c r="G64" s="54">
        <v>2000</v>
      </c>
      <c r="H64" s="54"/>
      <c r="I64" s="54"/>
    </row>
    <row r="65" spans="2:9" ht="15.75" customHeight="1" x14ac:dyDescent="0.2">
      <c r="B65" s="50">
        <f t="shared" si="1"/>
        <v>59</v>
      </c>
      <c r="C65" s="51">
        <v>45336</v>
      </c>
      <c r="D65" s="57" t="s">
        <v>481</v>
      </c>
      <c r="E65" s="57" t="s">
        <v>457</v>
      </c>
      <c r="F65" s="53" t="s">
        <v>476</v>
      </c>
      <c r="G65" s="54">
        <v>500</v>
      </c>
      <c r="H65" s="54"/>
      <c r="I65" s="54"/>
    </row>
    <row r="66" spans="2:9" ht="15.75" customHeight="1" x14ac:dyDescent="0.2">
      <c r="B66" s="50">
        <f t="shared" si="1"/>
        <v>60</v>
      </c>
      <c r="C66" s="51">
        <v>45336</v>
      </c>
      <c r="D66" s="57" t="s">
        <v>481</v>
      </c>
      <c r="E66" s="57" t="s">
        <v>457</v>
      </c>
      <c r="F66" s="53" t="s">
        <v>496</v>
      </c>
      <c r="G66" s="54">
        <v>1000</v>
      </c>
      <c r="H66" s="54"/>
      <c r="I66" s="54"/>
    </row>
    <row r="67" spans="2:9" ht="15.75" customHeight="1" x14ac:dyDescent="0.2">
      <c r="B67" s="50">
        <f t="shared" si="1"/>
        <v>61</v>
      </c>
      <c r="C67" s="51">
        <v>45338</v>
      </c>
      <c r="D67" s="57" t="s">
        <v>481</v>
      </c>
      <c r="E67" s="57" t="s">
        <v>454</v>
      </c>
      <c r="F67" s="53" t="s">
        <v>483</v>
      </c>
      <c r="G67" s="54">
        <v>193</v>
      </c>
      <c r="H67" s="54"/>
      <c r="I67" s="54"/>
    </row>
    <row r="68" spans="2:9" ht="15.75" customHeight="1" x14ac:dyDescent="0.2">
      <c r="B68" s="58">
        <f t="shared" si="1"/>
        <v>62</v>
      </c>
      <c r="C68" s="51">
        <v>45339</v>
      </c>
      <c r="D68" s="57" t="s">
        <v>481</v>
      </c>
      <c r="E68" s="57" t="s">
        <v>458</v>
      </c>
      <c r="F68" s="60" t="s">
        <v>497</v>
      </c>
      <c r="G68" s="61"/>
      <c r="H68" s="61">
        <v>-1960</v>
      </c>
      <c r="I68" s="61"/>
    </row>
    <row r="69" spans="2:9" ht="15.75" customHeight="1" x14ac:dyDescent="0.2">
      <c r="B69" s="50">
        <f t="shared" si="1"/>
        <v>63</v>
      </c>
      <c r="C69" s="51">
        <v>45339</v>
      </c>
      <c r="D69" s="57" t="s">
        <v>481</v>
      </c>
      <c r="E69" s="57" t="s">
        <v>458</v>
      </c>
      <c r="F69" s="53" t="s">
        <v>498</v>
      </c>
      <c r="G69" s="54"/>
      <c r="H69" s="54">
        <v>-2675</v>
      </c>
      <c r="I69" s="54"/>
    </row>
    <row r="70" spans="2:9" ht="15.75" customHeight="1" x14ac:dyDescent="0.2">
      <c r="B70" s="50">
        <f t="shared" si="1"/>
        <v>64</v>
      </c>
      <c r="C70" s="51">
        <v>45340</v>
      </c>
      <c r="D70" s="57" t="s">
        <v>481</v>
      </c>
      <c r="E70" s="57" t="s">
        <v>457</v>
      </c>
      <c r="F70" s="53" t="s">
        <v>487</v>
      </c>
      <c r="G70" s="54">
        <v>200</v>
      </c>
      <c r="H70" s="54"/>
      <c r="I70" s="54"/>
    </row>
    <row r="71" spans="2:9" ht="15.75" customHeight="1" x14ac:dyDescent="0.2">
      <c r="B71" s="50">
        <f t="shared" ref="B71:B102" si="2">B70+1</f>
        <v>65</v>
      </c>
      <c r="C71" s="51">
        <v>45340</v>
      </c>
      <c r="D71" s="57" t="s">
        <v>481</v>
      </c>
      <c r="E71" s="57" t="s">
        <v>457</v>
      </c>
      <c r="F71" s="53" t="s">
        <v>478</v>
      </c>
      <c r="G71" s="54">
        <v>200</v>
      </c>
      <c r="H71" s="54"/>
      <c r="I71" s="54"/>
    </row>
    <row r="72" spans="2:9" ht="15.75" customHeight="1" x14ac:dyDescent="0.2">
      <c r="B72" s="50">
        <f t="shared" si="2"/>
        <v>66</v>
      </c>
      <c r="C72" s="51">
        <v>45340</v>
      </c>
      <c r="D72" s="57" t="s">
        <v>481</v>
      </c>
      <c r="E72" s="57" t="s">
        <v>458</v>
      </c>
      <c r="F72" s="53" t="s">
        <v>499</v>
      </c>
      <c r="G72" s="54"/>
      <c r="H72" s="54">
        <v>-128</v>
      </c>
      <c r="I72" s="54"/>
    </row>
    <row r="73" spans="2:9" ht="15.75" customHeight="1" x14ac:dyDescent="0.2">
      <c r="B73" s="50">
        <f t="shared" si="2"/>
        <v>67</v>
      </c>
      <c r="C73" s="51">
        <v>45340</v>
      </c>
      <c r="D73" s="57" t="s">
        <v>481</v>
      </c>
      <c r="E73" s="57" t="s">
        <v>458</v>
      </c>
      <c r="F73" s="53" t="s">
        <v>500</v>
      </c>
      <c r="G73" s="54"/>
      <c r="H73" s="54">
        <v>-900</v>
      </c>
      <c r="I73" s="54"/>
    </row>
    <row r="74" spans="2:9" ht="15.75" customHeight="1" x14ac:dyDescent="0.2">
      <c r="B74" s="50">
        <f t="shared" si="2"/>
        <v>68</v>
      </c>
      <c r="C74" s="51">
        <v>45345</v>
      </c>
      <c r="D74" s="57" t="s">
        <v>481</v>
      </c>
      <c r="E74" s="57" t="s">
        <v>454</v>
      </c>
      <c r="F74" s="53" t="s">
        <v>483</v>
      </c>
      <c r="G74" s="54">
        <v>185</v>
      </c>
      <c r="H74" s="54"/>
      <c r="I74" s="54"/>
    </row>
    <row r="75" spans="2:9" ht="15.75" customHeight="1" x14ac:dyDescent="0.2">
      <c r="B75" s="50">
        <f t="shared" si="2"/>
        <v>69</v>
      </c>
      <c r="C75" s="51">
        <v>45345</v>
      </c>
      <c r="D75" s="57" t="s">
        <v>481</v>
      </c>
      <c r="E75" s="57" t="s">
        <v>456</v>
      </c>
      <c r="F75" s="53" t="s">
        <v>482</v>
      </c>
      <c r="G75" s="54">
        <v>175</v>
      </c>
      <c r="H75" s="54"/>
      <c r="I75" s="54"/>
    </row>
    <row r="76" spans="2:9" ht="15.75" customHeight="1" x14ac:dyDescent="0.2">
      <c r="B76" s="50">
        <f t="shared" si="2"/>
        <v>70</v>
      </c>
      <c r="C76" s="51">
        <v>45345</v>
      </c>
      <c r="D76" s="57" t="s">
        <v>481</v>
      </c>
      <c r="E76" s="57" t="s">
        <v>458</v>
      </c>
      <c r="F76" s="53" t="s">
        <v>501</v>
      </c>
      <c r="G76" s="54"/>
      <c r="H76" s="54">
        <v>-115</v>
      </c>
      <c r="I76" s="54"/>
    </row>
    <row r="77" spans="2:9" ht="15.75" customHeight="1" x14ac:dyDescent="0.2">
      <c r="B77" s="50">
        <f t="shared" si="2"/>
        <v>71</v>
      </c>
      <c r="C77" s="51">
        <v>45345</v>
      </c>
      <c r="D77" s="57" t="s">
        <v>481</v>
      </c>
      <c r="E77" s="57" t="s">
        <v>458</v>
      </c>
      <c r="F77" s="53" t="s">
        <v>502</v>
      </c>
      <c r="G77" s="54"/>
      <c r="H77" s="54">
        <v>-245</v>
      </c>
      <c r="I77" s="54"/>
    </row>
    <row r="78" spans="2:9" ht="15.75" customHeight="1" x14ac:dyDescent="0.2">
      <c r="B78" s="50">
        <f t="shared" si="2"/>
        <v>72</v>
      </c>
      <c r="C78" s="51">
        <v>45345</v>
      </c>
      <c r="D78" s="57" t="s">
        <v>481</v>
      </c>
      <c r="E78" s="57" t="s">
        <v>458</v>
      </c>
      <c r="F78" s="53" t="s">
        <v>503</v>
      </c>
      <c r="G78" s="54"/>
      <c r="H78" s="54">
        <v>-490</v>
      </c>
      <c r="I78" s="54"/>
    </row>
    <row r="79" spans="2:9" ht="15.75" customHeight="1" x14ac:dyDescent="0.2">
      <c r="B79" s="50">
        <f t="shared" si="2"/>
        <v>73</v>
      </c>
      <c r="C79" s="51">
        <v>45347</v>
      </c>
      <c r="D79" s="57" t="s">
        <v>481</v>
      </c>
      <c r="E79" s="57" t="s">
        <v>457</v>
      </c>
      <c r="F79" s="53" t="s">
        <v>504</v>
      </c>
      <c r="G79" s="54">
        <v>265</v>
      </c>
      <c r="H79" s="54"/>
      <c r="I79" s="54"/>
    </row>
    <row r="80" spans="2:9" ht="15.75" customHeight="1" x14ac:dyDescent="0.2">
      <c r="B80" s="50">
        <f t="shared" si="2"/>
        <v>74</v>
      </c>
      <c r="C80" s="51">
        <v>45347</v>
      </c>
      <c r="D80" s="57" t="s">
        <v>481</v>
      </c>
      <c r="E80" s="57" t="s">
        <v>457</v>
      </c>
      <c r="F80" s="53" t="s">
        <v>487</v>
      </c>
      <c r="G80" s="54">
        <v>100</v>
      </c>
      <c r="H80" s="54"/>
      <c r="I80" s="54"/>
    </row>
    <row r="81" spans="2:9" ht="15.75" customHeight="1" x14ac:dyDescent="0.2">
      <c r="B81" s="50">
        <f t="shared" si="2"/>
        <v>75</v>
      </c>
      <c r="C81" s="51">
        <v>45347</v>
      </c>
      <c r="D81" s="57" t="s">
        <v>481</v>
      </c>
      <c r="E81" s="57" t="s">
        <v>457</v>
      </c>
      <c r="F81" s="53" t="s">
        <v>478</v>
      </c>
      <c r="G81" s="54">
        <v>200</v>
      </c>
      <c r="H81" s="54"/>
      <c r="I81" s="54"/>
    </row>
    <row r="82" spans="2:9" ht="15.75" customHeight="1" x14ac:dyDescent="0.2">
      <c r="B82" s="50">
        <f t="shared" si="2"/>
        <v>76</v>
      </c>
      <c r="C82" s="51">
        <v>45348</v>
      </c>
      <c r="D82" s="57" t="s">
        <v>481</v>
      </c>
      <c r="E82" s="57" t="s">
        <v>456</v>
      </c>
      <c r="F82" s="53" t="s">
        <v>482</v>
      </c>
      <c r="G82" s="55">
        <v>286</v>
      </c>
      <c r="H82" s="54"/>
      <c r="I82" s="54"/>
    </row>
    <row r="83" spans="2:9" ht="15.75" customHeight="1" x14ac:dyDescent="0.2">
      <c r="B83" s="50">
        <f t="shared" si="2"/>
        <v>77</v>
      </c>
      <c r="C83" s="51">
        <v>45349</v>
      </c>
      <c r="D83" s="57" t="s">
        <v>481</v>
      </c>
      <c r="E83" s="57" t="s">
        <v>458</v>
      </c>
      <c r="F83" s="53" t="s">
        <v>505</v>
      </c>
      <c r="G83" s="54"/>
      <c r="H83" s="54">
        <v>-3440</v>
      </c>
      <c r="I83" s="54"/>
    </row>
    <row r="84" spans="2:9" ht="15.75" customHeight="1" x14ac:dyDescent="0.2">
      <c r="B84" s="50">
        <f t="shared" si="2"/>
        <v>78</v>
      </c>
      <c r="C84" s="51">
        <v>45351</v>
      </c>
      <c r="D84" s="57" t="s">
        <v>481</v>
      </c>
      <c r="E84" s="57" t="s">
        <v>457</v>
      </c>
      <c r="F84" s="53" t="s">
        <v>506</v>
      </c>
      <c r="G84" s="54">
        <v>400</v>
      </c>
      <c r="H84" s="54"/>
      <c r="I84" s="54"/>
    </row>
    <row r="85" spans="2:9" ht="15.75" customHeight="1" x14ac:dyDescent="0.2">
      <c r="B85" s="50">
        <f t="shared" si="2"/>
        <v>79</v>
      </c>
      <c r="C85" s="51">
        <v>45352</v>
      </c>
      <c r="D85" s="57" t="s">
        <v>507</v>
      </c>
      <c r="E85" s="57" t="s">
        <v>454</v>
      </c>
      <c r="F85" s="53" t="s">
        <v>483</v>
      </c>
      <c r="G85" s="54">
        <v>193</v>
      </c>
      <c r="H85" s="54"/>
      <c r="I85" s="54"/>
    </row>
    <row r="86" spans="2:9" ht="15.75" customHeight="1" x14ac:dyDescent="0.2">
      <c r="B86" s="50">
        <f t="shared" si="2"/>
        <v>80</v>
      </c>
      <c r="C86" s="51">
        <v>45354</v>
      </c>
      <c r="D86" s="57" t="s">
        <v>507</v>
      </c>
      <c r="E86" s="57" t="s">
        <v>457</v>
      </c>
      <c r="F86" s="53" t="s">
        <v>504</v>
      </c>
      <c r="G86" s="54">
        <v>187</v>
      </c>
      <c r="H86" s="54"/>
      <c r="I86" s="54"/>
    </row>
    <row r="87" spans="2:9" ht="15.75" customHeight="1" x14ac:dyDescent="0.2">
      <c r="B87" s="50">
        <f t="shared" si="2"/>
        <v>81</v>
      </c>
      <c r="C87" s="51">
        <v>45354</v>
      </c>
      <c r="D87" s="57" t="s">
        <v>507</v>
      </c>
      <c r="E87" s="57" t="s">
        <v>457</v>
      </c>
      <c r="F87" s="53" t="s">
        <v>508</v>
      </c>
      <c r="G87" s="54">
        <v>500</v>
      </c>
      <c r="H87" s="54"/>
      <c r="I87" s="54"/>
    </row>
    <row r="88" spans="2:9" ht="15.75" customHeight="1" x14ac:dyDescent="0.2">
      <c r="B88" s="50">
        <f t="shared" si="2"/>
        <v>82</v>
      </c>
      <c r="C88" s="51">
        <v>45354</v>
      </c>
      <c r="D88" s="57" t="s">
        <v>507</v>
      </c>
      <c r="E88" s="57" t="s">
        <v>457</v>
      </c>
      <c r="F88" s="53" t="s">
        <v>478</v>
      </c>
      <c r="G88" s="54">
        <v>200</v>
      </c>
      <c r="H88" s="54"/>
      <c r="I88" s="54"/>
    </row>
    <row r="89" spans="2:9" ht="15.75" customHeight="1" x14ac:dyDescent="0.2">
      <c r="B89" s="50">
        <f t="shared" si="2"/>
        <v>83</v>
      </c>
      <c r="C89" s="51">
        <v>45354</v>
      </c>
      <c r="D89" s="57" t="s">
        <v>507</v>
      </c>
      <c r="E89" s="57" t="s">
        <v>457</v>
      </c>
      <c r="F89" s="53" t="s">
        <v>509</v>
      </c>
      <c r="G89" s="54">
        <v>500</v>
      </c>
      <c r="H89" s="54"/>
      <c r="I89" s="54"/>
    </row>
    <row r="90" spans="2:9" ht="15.75" customHeight="1" x14ac:dyDescent="0.2">
      <c r="B90" s="50">
        <f t="shared" si="2"/>
        <v>84</v>
      </c>
      <c r="C90" s="51">
        <v>45358</v>
      </c>
      <c r="D90" s="57" t="s">
        <v>507</v>
      </c>
      <c r="E90" s="57" t="s">
        <v>458</v>
      </c>
      <c r="F90" s="53" t="s">
        <v>510</v>
      </c>
      <c r="G90" s="54"/>
      <c r="H90" s="54">
        <v>-3050</v>
      </c>
      <c r="I90" s="54"/>
    </row>
    <row r="91" spans="2:9" ht="15.75" customHeight="1" x14ac:dyDescent="0.2">
      <c r="B91" s="50">
        <f t="shared" si="2"/>
        <v>85</v>
      </c>
      <c r="C91" s="51">
        <v>45358</v>
      </c>
      <c r="D91" s="57" t="s">
        <v>507</v>
      </c>
      <c r="E91" s="57" t="s">
        <v>458</v>
      </c>
      <c r="F91" s="53" t="s">
        <v>511</v>
      </c>
      <c r="G91" s="54"/>
      <c r="H91" s="54">
        <v>-384</v>
      </c>
      <c r="I91" s="54"/>
    </row>
    <row r="92" spans="2:9" ht="15.75" customHeight="1" x14ac:dyDescent="0.2">
      <c r="B92" s="50">
        <f t="shared" si="2"/>
        <v>86</v>
      </c>
      <c r="C92" s="51">
        <v>45359</v>
      </c>
      <c r="D92" s="57" t="s">
        <v>507</v>
      </c>
      <c r="E92" s="57" t="s">
        <v>454</v>
      </c>
      <c r="F92" s="53" t="s">
        <v>483</v>
      </c>
      <c r="G92" s="54">
        <v>140</v>
      </c>
      <c r="H92" s="54"/>
      <c r="I92" s="54"/>
    </row>
    <row r="93" spans="2:9" ht="15.75" customHeight="1" x14ac:dyDescent="0.2">
      <c r="B93" s="50">
        <f t="shared" si="2"/>
        <v>87</v>
      </c>
      <c r="C93" s="51">
        <v>45359</v>
      </c>
      <c r="D93" s="57" t="s">
        <v>507</v>
      </c>
      <c r="E93" s="57" t="s">
        <v>456</v>
      </c>
      <c r="F93" s="53" t="s">
        <v>482</v>
      </c>
      <c r="G93" s="54">
        <v>807</v>
      </c>
      <c r="H93" s="54"/>
      <c r="I93" s="54"/>
    </row>
    <row r="94" spans="2:9" ht="15.75" customHeight="1" x14ac:dyDescent="0.2">
      <c r="B94" s="50">
        <f t="shared" si="2"/>
        <v>88</v>
      </c>
      <c r="C94" s="51">
        <v>45360</v>
      </c>
      <c r="D94" s="57" t="s">
        <v>507</v>
      </c>
      <c r="E94" s="57" t="s">
        <v>458</v>
      </c>
      <c r="F94" s="53" t="s">
        <v>512</v>
      </c>
      <c r="G94" s="54"/>
      <c r="H94" s="54">
        <v>-1800</v>
      </c>
      <c r="I94" s="54"/>
    </row>
    <row r="95" spans="2:9" ht="15.75" customHeight="1" x14ac:dyDescent="0.2">
      <c r="B95" s="50">
        <f t="shared" si="2"/>
        <v>89</v>
      </c>
      <c r="C95" s="51">
        <v>45360</v>
      </c>
      <c r="D95" s="57" t="s">
        <v>507</v>
      </c>
      <c r="E95" s="57" t="s">
        <v>458</v>
      </c>
      <c r="F95" s="53" t="s">
        <v>513</v>
      </c>
      <c r="G95" s="54"/>
      <c r="H95" s="54">
        <v>-200</v>
      </c>
      <c r="I95" s="54"/>
    </row>
    <row r="96" spans="2:9" ht="15.75" customHeight="1" x14ac:dyDescent="0.2">
      <c r="B96" s="50">
        <f t="shared" si="2"/>
        <v>90</v>
      </c>
      <c r="C96" s="51">
        <v>45361</v>
      </c>
      <c r="D96" s="57" t="s">
        <v>507</v>
      </c>
      <c r="E96" s="57" t="s">
        <v>457</v>
      </c>
      <c r="F96" s="53" t="s">
        <v>514</v>
      </c>
      <c r="G96" s="54">
        <v>375</v>
      </c>
      <c r="H96" s="54"/>
      <c r="I96" s="54"/>
    </row>
    <row r="97" spans="2:9" ht="15.75" customHeight="1" x14ac:dyDescent="0.2">
      <c r="B97" s="50">
        <f t="shared" si="2"/>
        <v>91</v>
      </c>
      <c r="C97" s="51">
        <v>45361</v>
      </c>
      <c r="D97" s="57" t="s">
        <v>507</v>
      </c>
      <c r="E97" s="57" t="s">
        <v>457</v>
      </c>
      <c r="F97" s="53" t="s">
        <v>515</v>
      </c>
      <c r="G97" s="54">
        <v>600</v>
      </c>
      <c r="H97" s="54"/>
      <c r="I97" s="54"/>
    </row>
    <row r="98" spans="2:9" ht="15.75" customHeight="1" x14ac:dyDescent="0.2">
      <c r="B98" s="50">
        <f t="shared" si="2"/>
        <v>92</v>
      </c>
      <c r="C98" s="51">
        <v>45361</v>
      </c>
      <c r="D98" s="57" t="s">
        <v>507</v>
      </c>
      <c r="E98" s="57" t="s">
        <v>457</v>
      </c>
      <c r="F98" s="53" t="s">
        <v>478</v>
      </c>
      <c r="G98" s="54">
        <v>200</v>
      </c>
      <c r="H98" s="54"/>
      <c r="I98" s="54"/>
    </row>
    <row r="99" spans="2:9" ht="15.75" customHeight="1" x14ac:dyDescent="0.2">
      <c r="B99" s="50">
        <f t="shared" si="2"/>
        <v>93</v>
      </c>
      <c r="C99" s="51">
        <v>45363</v>
      </c>
      <c r="D99" s="57" t="s">
        <v>507</v>
      </c>
      <c r="E99" s="57" t="s">
        <v>452</v>
      </c>
      <c r="F99" s="53" t="s">
        <v>489</v>
      </c>
      <c r="G99" s="54">
        <v>6000</v>
      </c>
      <c r="H99" s="54"/>
      <c r="I99" s="54"/>
    </row>
    <row r="100" spans="2:9" ht="15.75" customHeight="1" x14ac:dyDescent="0.2">
      <c r="B100" s="50">
        <f t="shared" si="2"/>
        <v>94</v>
      </c>
      <c r="C100" s="51">
        <v>45366</v>
      </c>
      <c r="D100" s="57" t="s">
        <v>507</v>
      </c>
      <c r="E100" s="57" t="s">
        <v>454</v>
      </c>
      <c r="F100" s="53" t="s">
        <v>483</v>
      </c>
      <c r="G100" s="54">
        <v>243</v>
      </c>
      <c r="H100" s="54"/>
      <c r="I100" s="54"/>
    </row>
    <row r="101" spans="2:9" ht="15.75" customHeight="1" x14ac:dyDescent="0.2">
      <c r="B101" s="50">
        <f t="shared" si="2"/>
        <v>95</v>
      </c>
      <c r="C101" s="51">
        <v>45366</v>
      </c>
      <c r="D101" s="57" t="s">
        <v>507</v>
      </c>
      <c r="E101" s="57" t="s">
        <v>456</v>
      </c>
      <c r="F101" s="53" t="s">
        <v>482</v>
      </c>
      <c r="G101" s="54">
        <v>95</v>
      </c>
      <c r="H101" s="54"/>
      <c r="I101" s="54"/>
    </row>
    <row r="102" spans="2:9" ht="15.75" customHeight="1" x14ac:dyDescent="0.2">
      <c r="B102" s="50">
        <f t="shared" si="2"/>
        <v>96</v>
      </c>
      <c r="C102" s="51">
        <v>45368</v>
      </c>
      <c r="D102" s="57" t="s">
        <v>507</v>
      </c>
      <c r="E102" s="57" t="s">
        <v>457</v>
      </c>
      <c r="F102" s="53" t="s">
        <v>516</v>
      </c>
      <c r="G102" s="54">
        <v>15</v>
      </c>
      <c r="H102" s="54"/>
      <c r="I102" s="54"/>
    </row>
    <row r="103" spans="2:9" ht="15.75" customHeight="1" x14ac:dyDescent="0.2">
      <c r="B103" s="50">
        <f t="shared" ref="B103:B134" si="3">B102+1</f>
        <v>97</v>
      </c>
      <c r="C103" s="51">
        <v>45368</v>
      </c>
      <c r="D103" s="57" t="s">
        <v>507</v>
      </c>
      <c r="E103" s="57" t="s">
        <v>457</v>
      </c>
      <c r="F103" s="53" t="s">
        <v>476</v>
      </c>
      <c r="G103" s="54">
        <v>50</v>
      </c>
      <c r="H103" s="54"/>
      <c r="I103" s="54"/>
    </row>
    <row r="104" spans="2:9" ht="15.75" customHeight="1" x14ac:dyDescent="0.2">
      <c r="B104" s="50">
        <f t="shared" si="3"/>
        <v>98</v>
      </c>
      <c r="C104" s="51">
        <v>45368</v>
      </c>
      <c r="D104" s="57" t="s">
        <v>507</v>
      </c>
      <c r="E104" s="57" t="s">
        <v>457</v>
      </c>
      <c r="F104" s="53" t="s">
        <v>476</v>
      </c>
      <c r="G104" s="54">
        <v>50</v>
      </c>
      <c r="H104" s="54"/>
      <c r="I104" s="54"/>
    </row>
    <row r="105" spans="2:9" ht="15.75" customHeight="1" x14ac:dyDescent="0.2">
      <c r="B105" s="50">
        <f t="shared" si="3"/>
        <v>99</v>
      </c>
      <c r="C105" s="51">
        <v>45368</v>
      </c>
      <c r="D105" s="57" t="s">
        <v>507</v>
      </c>
      <c r="E105" s="57" t="s">
        <v>457</v>
      </c>
      <c r="F105" s="53" t="s">
        <v>517</v>
      </c>
      <c r="G105" s="54">
        <v>120</v>
      </c>
      <c r="H105" s="54"/>
      <c r="I105" s="54"/>
    </row>
    <row r="106" spans="2:9" ht="15.75" customHeight="1" x14ac:dyDescent="0.2">
      <c r="B106" s="50">
        <f t="shared" si="3"/>
        <v>100</v>
      </c>
      <c r="C106" s="51">
        <v>45368</v>
      </c>
      <c r="D106" s="57" t="s">
        <v>507</v>
      </c>
      <c r="E106" s="57" t="s">
        <v>457</v>
      </c>
      <c r="F106" s="53" t="s">
        <v>487</v>
      </c>
      <c r="G106" s="54">
        <v>200</v>
      </c>
      <c r="H106" s="54"/>
      <c r="I106" s="54"/>
    </row>
    <row r="107" spans="2:9" ht="15.75" customHeight="1" x14ac:dyDescent="0.2">
      <c r="B107" s="50">
        <f t="shared" si="3"/>
        <v>101</v>
      </c>
      <c r="C107" s="51">
        <v>45368</v>
      </c>
      <c r="D107" s="57" t="s">
        <v>507</v>
      </c>
      <c r="E107" s="57" t="s">
        <v>457</v>
      </c>
      <c r="F107" s="53" t="s">
        <v>478</v>
      </c>
      <c r="G107" s="54">
        <v>200</v>
      </c>
      <c r="H107" s="54"/>
      <c r="I107" s="54"/>
    </row>
    <row r="108" spans="2:9" ht="15.75" customHeight="1" x14ac:dyDescent="0.2">
      <c r="B108" s="50">
        <f t="shared" si="3"/>
        <v>102</v>
      </c>
      <c r="C108" s="51">
        <v>45370</v>
      </c>
      <c r="D108" s="57" t="s">
        <v>507</v>
      </c>
      <c r="E108" s="57" t="s">
        <v>456</v>
      </c>
      <c r="F108" s="53" t="s">
        <v>482</v>
      </c>
      <c r="G108" s="54">
        <v>389</v>
      </c>
      <c r="H108" s="54"/>
      <c r="I108" s="54"/>
    </row>
    <row r="109" spans="2:9" ht="15.75" customHeight="1" x14ac:dyDescent="0.2">
      <c r="B109" s="50">
        <f t="shared" si="3"/>
        <v>103</v>
      </c>
      <c r="C109" s="51">
        <v>45372</v>
      </c>
      <c r="D109" s="57" t="s">
        <v>507</v>
      </c>
      <c r="E109" s="57" t="s">
        <v>458</v>
      </c>
      <c r="F109" s="53" t="s">
        <v>518</v>
      </c>
      <c r="G109" s="54"/>
      <c r="H109" s="54">
        <v>-5000</v>
      </c>
      <c r="I109" s="54"/>
    </row>
    <row r="110" spans="2:9" ht="15.75" customHeight="1" x14ac:dyDescent="0.2">
      <c r="B110" s="50">
        <f t="shared" si="3"/>
        <v>104</v>
      </c>
      <c r="C110" s="51">
        <v>45372</v>
      </c>
      <c r="D110" s="57" t="s">
        <v>507</v>
      </c>
      <c r="E110" s="57" t="s">
        <v>458</v>
      </c>
      <c r="F110" s="53" t="s">
        <v>519</v>
      </c>
      <c r="G110" s="54"/>
      <c r="H110" s="54">
        <v>-1800</v>
      </c>
      <c r="I110" s="54"/>
    </row>
    <row r="111" spans="2:9" ht="15.75" customHeight="1" x14ac:dyDescent="0.2">
      <c r="B111" s="50">
        <f t="shared" si="3"/>
        <v>105</v>
      </c>
      <c r="C111" s="51">
        <v>45373</v>
      </c>
      <c r="D111" s="57" t="s">
        <v>507</v>
      </c>
      <c r="E111" s="57" t="s">
        <v>454</v>
      </c>
      <c r="F111" s="53" t="s">
        <v>483</v>
      </c>
      <c r="G111" s="54">
        <v>220</v>
      </c>
      <c r="H111" s="54"/>
      <c r="I111" s="54"/>
    </row>
    <row r="112" spans="2:9" ht="15.75" customHeight="1" x14ac:dyDescent="0.2">
      <c r="B112" s="50">
        <f t="shared" si="3"/>
        <v>106</v>
      </c>
      <c r="C112" s="51">
        <v>45373</v>
      </c>
      <c r="D112" s="57" t="s">
        <v>507</v>
      </c>
      <c r="E112" s="57" t="s">
        <v>458</v>
      </c>
      <c r="F112" s="53" t="s">
        <v>520</v>
      </c>
      <c r="G112" s="54"/>
      <c r="H112" s="54">
        <v>-60</v>
      </c>
      <c r="I112" s="54"/>
    </row>
    <row r="113" spans="2:9" ht="15.75" customHeight="1" x14ac:dyDescent="0.2">
      <c r="B113" s="50">
        <f t="shared" si="3"/>
        <v>107</v>
      </c>
      <c r="C113" s="51">
        <v>45375</v>
      </c>
      <c r="D113" s="57" t="s">
        <v>507</v>
      </c>
      <c r="E113" s="57" t="s">
        <v>457</v>
      </c>
      <c r="F113" s="53" t="s">
        <v>476</v>
      </c>
      <c r="G113" s="54">
        <v>50</v>
      </c>
      <c r="H113" s="54"/>
      <c r="I113" s="54"/>
    </row>
    <row r="114" spans="2:9" ht="15.75" customHeight="1" x14ac:dyDescent="0.2">
      <c r="B114" s="50">
        <f t="shared" si="3"/>
        <v>108</v>
      </c>
      <c r="C114" s="51">
        <v>45375</v>
      </c>
      <c r="D114" s="57" t="s">
        <v>507</v>
      </c>
      <c r="E114" s="57" t="s">
        <v>457</v>
      </c>
      <c r="F114" s="53" t="s">
        <v>476</v>
      </c>
      <c r="G114" s="54">
        <v>500</v>
      </c>
      <c r="H114" s="54"/>
      <c r="I114" s="54"/>
    </row>
    <row r="115" spans="2:9" ht="15.75" customHeight="1" x14ac:dyDescent="0.2">
      <c r="B115" s="50">
        <f t="shared" si="3"/>
        <v>109</v>
      </c>
      <c r="C115" s="51">
        <v>45375</v>
      </c>
      <c r="D115" s="57" t="s">
        <v>507</v>
      </c>
      <c r="E115" s="57" t="s">
        <v>457</v>
      </c>
      <c r="F115" s="53" t="s">
        <v>476</v>
      </c>
      <c r="G115" s="54">
        <v>500</v>
      </c>
      <c r="H115" s="54"/>
      <c r="I115" s="54"/>
    </row>
    <row r="116" spans="2:9" ht="15.75" customHeight="1" x14ac:dyDescent="0.2">
      <c r="B116" s="50">
        <f t="shared" si="3"/>
        <v>110</v>
      </c>
      <c r="C116" s="51">
        <v>45375</v>
      </c>
      <c r="D116" s="57" t="s">
        <v>507</v>
      </c>
      <c r="E116" s="57" t="s">
        <v>457</v>
      </c>
      <c r="F116" s="53" t="s">
        <v>504</v>
      </c>
      <c r="G116" s="54">
        <v>250</v>
      </c>
      <c r="H116" s="54"/>
      <c r="I116" s="54"/>
    </row>
    <row r="117" spans="2:9" ht="15.75" customHeight="1" x14ac:dyDescent="0.2">
      <c r="B117" s="50">
        <f t="shared" si="3"/>
        <v>111</v>
      </c>
      <c r="C117" s="51">
        <v>45375</v>
      </c>
      <c r="D117" s="57" t="s">
        <v>507</v>
      </c>
      <c r="E117" s="57" t="s">
        <v>457</v>
      </c>
      <c r="F117" s="53" t="s">
        <v>517</v>
      </c>
      <c r="G117" s="54">
        <v>225</v>
      </c>
      <c r="H117" s="54"/>
      <c r="I117" s="54"/>
    </row>
    <row r="118" spans="2:9" ht="15.75" customHeight="1" x14ac:dyDescent="0.2">
      <c r="B118" s="50">
        <f t="shared" si="3"/>
        <v>112</v>
      </c>
      <c r="C118" s="51">
        <v>45375</v>
      </c>
      <c r="D118" s="57" t="s">
        <v>507</v>
      </c>
      <c r="E118" s="57" t="s">
        <v>457</v>
      </c>
      <c r="F118" s="53" t="s">
        <v>487</v>
      </c>
      <c r="G118" s="54">
        <v>100</v>
      </c>
      <c r="H118" s="54"/>
      <c r="I118" s="54"/>
    </row>
    <row r="119" spans="2:9" ht="15.75" customHeight="1" x14ac:dyDescent="0.2">
      <c r="B119" s="50">
        <f t="shared" si="3"/>
        <v>113</v>
      </c>
      <c r="C119" s="51">
        <v>45375</v>
      </c>
      <c r="D119" s="57" t="s">
        <v>507</v>
      </c>
      <c r="E119" s="57" t="s">
        <v>457</v>
      </c>
      <c r="F119" s="53" t="s">
        <v>478</v>
      </c>
      <c r="G119" s="54">
        <v>200</v>
      </c>
      <c r="H119" s="54"/>
      <c r="I119" s="54"/>
    </row>
    <row r="120" spans="2:9" ht="15.75" customHeight="1" x14ac:dyDescent="0.2">
      <c r="B120" s="50">
        <f t="shared" si="3"/>
        <v>114</v>
      </c>
      <c r="C120" s="51">
        <v>45376</v>
      </c>
      <c r="D120" s="57" t="s">
        <v>507</v>
      </c>
      <c r="E120" s="57" t="s">
        <v>456</v>
      </c>
      <c r="F120" s="53" t="s">
        <v>482</v>
      </c>
      <c r="G120" s="54">
        <v>160</v>
      </c>
      <c r="H120" s="54"/>
      <c r="I120" s="54"/>
    </row>
    <row r="121" spans="2:9" ht="15.75" customHeight="1" x14ac:dyDescent="0.2">
      <c r="B121" s="50">
        <f t="shared" si="3"/>
        <v>115</v>
      </c>
      <c r="C121" s="51">
        <v>45376</v>
      </c>
      <c r="D121" s="57" t="s">
        <v>507</v>
      </c>
      <c r="E121" s="57" t="s">
        <v>458</v>
      </c>
      <c r="F121" s="53" t="s">
        <v>521</v>
      </c>
      <c r="G121" s="54"/>
      <c r="H121" s="54">
        <v>-100</v>
      </c>
      <c r="I121" s="54"/>
    </row>
    <row r="122" spans="2:9" ht="15.75" customHeight="1" x14ac:dyDescent="0.2">
      <c r="B122" s="50">
        <f t="shared" si="3"/>
        <v>116</v>
      </c>
      <c r="C122" s="51">
        <v>45380</v>
      </c>
      <c r="D122" s="57" t="s">
        <v>507</v>
      </c>
      <c r="E122" s="57" t="s">
        <v>454</v>
      </c>
      <c r="F122" s="53" t="s">
        <v>483</v>
      </c>
      <c r="G122" s="54">
        <v>220</v>
      </c>
      <c r="H122" s="54"/>
      <c r="I122" s="54"/>
    </row>
    <row r="123" spans="2:9" ht="15.75" customHeight="1" x14ac:dyDescent="0.2">
      <c r="B123" s="50">
        <f t="shared" si="3"/>
        <v>117</v>
      </c>
      <c r="C123" s="51">
        <v>45380</v>
      </c>
      <c r="D123" s="57" t="s">
        <v>507</v>
      </c>
      <c r="E123" s="57" t="s">
        <v>458</v>
      </c>
      <c r="F123" s="53" t="s">
        <v>522</v>
      </c>
      <c r="G123" s="54"/>
      <c r="H123" s="54">
        <v>-4500</v>
      </c>
      <c r="I123" s="54"/>
    </row>
    <row r="124" spans="2:9" ht="15.75" customHeight="1" x14ac:dyDescent="0.2">
      <c r="B124" s="50">
        <f t="shared" si="3"/>
        <v>118</v>
      </c>
      <c r="C124" s="51">
        <v>45382</v>
      </c>
      <c r="D124" s="57" t="s">
        <v>507</v>
      </c>
      <c r="E124" s="57" t="s">
        <v>457</v>
      </c>
      <c r="F124" s="53" t="s">
        <v>476</v>
      </c>
      <c r="G124" s="54">
        <v>50</v>
      </c>
      <c r="H124" s="54"/>
      <c r="I124" s="54"/>
    </row>
    <row r="125" spans="2:9" ht="15.75" customHeight="1" x14ac:dyDescent="0.2">
      <c r="B125" s="50">
        <f t="shared" si="3"/>
        <v>119</v>
      </c>
      <c r="C125" s="51">
        <v>45382</v>
      </c>
      <c r="D125" s="57" t="s">
        <v>507</v>
      </c>
      <c r="E125" s="57" t="s">
        <v>457</v>
      </c>
      <c r="F125" s="53" t="s">
        <v>523</v>
      </c>
      <c r="G125" s="54">
        <v>360</v>
      </c>
      <c r="H125" s="54"/>
      <c r="I125" s="54"/>
    </row>
    <row r="126" spans="2:9" ht="15.75" customHeight="1" x14ac:dyDescent="0.2">
      <c r="B126" s="50">
        <f t="shared" si="3"/>
        <v>120</v>
      </c>
      <c r="C126" s="51">
        <v>45382</v>
      </c>
      <c r="D126" s="57" t="s">
        <v>507</v>
      </c>
      <c r="E126" s="57" t="s">
        <v>457</v>
      </c>
      <c r="F126" s="53" t="s">
        <v>517</v>
      </c>
      <c r="G126" s="54">
        <v>120</v>
      </c>
      <c r="H126" s="54"/>
      <c r="I126" s="54"/>
    </row>
    <row r="127" spans="2:9" ht="15.75" customHeight="1" x14ac:dyDescent="0.2">
      <c r="B127" s="50">
        <f t="shared" si="3"/>
        <v>121</v>
      </c>
      <c r="C127" s="51">
        <v>45382</v>
      </c>
      <c r="D127" s="57" t="s">
        <v>507</v>
      </c>
      <c r="E127" s="57" t="s">
        <v>457</v>
      </c>
      <c r="F127" s="53" t="s">
        <v>478</v>
      </c>
      <c r="G127" s="54">
        <v>200</v>
      </c>
      <c r="H127" s="54"/>
      <c r="I127" s="54"/>
    </row>
    <row r="128" spans="2:9" ht="15.75" customHeight="1" x14ac:dyDescent="0.2">
      <c r="B128" s="50">
        <f t="shared" si="3"/>
        <v>122</v>
      </c>
      <c r="C128" s="51">
        <v>45387</v>
      </c>
      <c r="D128" s="57" t="s">
        <v>524</v>
      </c>
      <c r="E128" s="57" t="s">
        <v>454</v>
      </c>
      <c r="F128" s="53" t="s">
        <v>483</v>
      </c>
      <c r="G128" s="54">
        <v>240</v>
      </c>
      <c r="H128" s="54"/>
      <c r="I128" s="54"/>
    </row>
    <row r="129" spans="2:11" ht="15.75" customHeight="1" x14ac:dyDescent="0.2">
      <c r="B129" s="50">
        <f t="shared" si="3"/>
        <v>123</v>
      </c>
      <c r="C129" s="51">
        <v>45389</v>
      </c>
      <c r="D129" s="57" t="s">
        <v>524</v>
      </c>
      <c r="E129" s="57" t="s">
        <v>457</v>
      </c>
      <c r="F129" s="53" t="s">
        <v>525</v>
      </c>
      <c r="G129" s="54">
        <v>756</v>
      </c>
      <c r="H129" s="54"/>
      <c r="I129" s="54"/>
    </row>
    <row r="130" spans="2:11" ht="15.75" customHeight="1" x14ac:dyDescent="0.2">
      <c r="B130" s="50">
        <f t="shared" si="3"/>
        <v>124</v>
      </c>
      <c r="C130" s="51">
        <v>45389</v>
      </c>
      <c r="D130" s="57" t="s">
        <v>524</v>
      </c>
      <c r="E130" s="57" t="s">
        <v>457</v>
      </c>
      <c r="F130" s="53" t="s">
        <v>487</v>
      </c>
      <c r="G130" s="54">
        <v>100</v>
      </c>
      <c r="H130" s="54"/>
      <c r="I130" s="54"/>
    </row>
    <row r="131" spans="2:11" ht="15.75" customHeight="1" x14ac:dyDescent="0.2">
      <c r="B131" s="50">
        <f t="shared" si="3"/>
        <v>125</v>
      </c>
      <c r="C131" s="51">
        <v>45389</v>
      </c>
      <c r="D131" s="57" t="s">
        <v>524</v>
      </c>
      <c r="E131" s="57" t="s">
        <v>457</v>
      </c>
      <c r="F131" s="53" t="s">
        <v>478</v>
      </c>
      <c r="G131" s="54">
        <v>200</v>
      </c>
      <c r="H131" s="54"/>
      <c r="I131" s="54"/>
    </row>
    <row r="132" spans="2:11" ht="15.75" customHeight="1" x14ac:dyDescent="0.2">
      <c r="B132" s="50">
        <f t="shared" si="3"/>
        <v>126</v>
      </c>
      <c r="C132" s="51">
        <v>45390</v>
      </c>
      <c r="D132" s="57" t="s">
        <v>524</v>
      </c>
      <c r="E132" s="57" t="s">
        <v>456</v>
      </c>
      <c r="F132" s="53" t="s">
        <v>482</v>
      </c>
      <c r="G132" s="54">
        <v>120</v>
      </c>
      <c r="H132" s="54"/>
      <c r="I132" s="54"/>
    </row>
    <row r="133" spans="2:11" ht="15.75" customHeight="1" x14ac:dyDescent="0.2">
      <c r="B133" s="50">
        <f t="shared" si="3"/>
        <v>127</v>
      </c>
      <c r="C133" s="51">
        <v>45394</v>
      </c>
      <c r="D133" s="57" t="s">
        <v>524</v>
      </c>
      <c r="E133" s="57" t="s">
        <v>454</v>
      </c>
      <c r="F133" s="53" t="s">
        <v>483</v>
      </c>
      <c r="G133" s="54">
        <v>140</v>
      </c>
      <c r="H133" s="54"/>
      <c r="I133" s="54"/>
    </row>
    <row r="134" spans="2:11" ht="15.75" customHeight="1" x14ac:dyDescent="0.2">
      <c r="B134" s="50">
        <f t="shared" si="3"/>
        <v>128</v>
      </c>
      <c r="C134" s="51">
        <v>45394</v>
      </c>
      <c r="D134" s="57" t="s">
        <v>524</v>
      </c>
      <c r="E134" s="57" t="s">
        <v>458</v>
      </c>
      <c r="F134" s="53" t="s">
        <v>520</v>
      </c>
      <c r="G134" s="54"/>
      <c r="H134" s="54">
        <v>-65</v>
      </c>
      <c r="I134" s="54"/>
    </row>
    <row r="135" spans="2:11" ht="15.75" customHeight="1" x14ac:dyDescent="0.2">
      <c r="B135" s="50">
        <f t="shared" ref="B135:B166" si="4">B134+1</f>
        <v>129</v>
      </c>
      <c r="C135" s="51">
        <v>45396</v>
      </c>
      <c r="D135" s="57" t="s">
        <v>524</v>
      </c>
      <c r="E135" s="57" t="s">
        <v>457</v>
      </c>
      <c r="F135" s="53" t="s">
        <v>525</v>
      </c>
      <c r="G135" s="54">
        <v>400</v>
      </c>
      <c r="H135" s="54"/>
      <c r="I135" s="54"/>
    </row>
    <row r="136" spans="2:11" ht="15.75" customHeight="1" x14ac:dyDescent="0.2">
      <c r="B136" s="50">
        <f t="shared" si="4"/>
        <v>130</v>
      </c>
      <c r="C136" s="51">
        <v>45396</v>
      </c>
      <c r="D136" s="57" t="s">
        <v>524</v>
      </c>
      <c r="E136" s="57" t="s">
        <v>457</v>
      </c>
      <c r="F136" s="53" t="s">
        <v>487</v>
      </c>
      <c r="G136" s="54">
        <v>100</v>
      </c>
      <c r="H136" s="54"/>
      <c r="I136" s="54"/>
    </row>
    <row r="137" spans="2:11" ht="15.75" customHeight="1" x14ac:dyDescent="0.2">
      <c r="B137" s="50">
        <f t="shared" si="4"/>
        <v>131</v>
      </c>
      <c r="C137" s="51">
        <v>45396</v>
      </c>
      <c r="D137" s="57" t="s">
        <v>524</v>
      </c>
      <c r="E137" s="57" t="s">
        <v>457</v>
      </c>
      <c r="F137" s="53" t="s">
        <v>478</v>
      </c>
      <c r="G137" s="54">
        <v>200</v>
      </c>
      <c r="H137" s="54"/>
      <c r="I137" s="54"/>
    </row>
    <row r="138" spans="2:11" ht="15.75" customHeight="1" x14ac:dyDescent="0.2">
      <c r="B138" s="50">
        <f t="shared" si="4"/>
        <v>132</v>
      </c>
      <c r="C138" s="51">
        <v>45401</v>
      </c>
      <c r="D138" s="57" t="s">
        <v>524</v>
      </c>
      <c r="E138" s="57" t="s">
        <v>452</v>
      </c>
      <c r="F138" s="53" t="s">
        <v>526</v>
      </c>
      <c r="G138" s="54">
        <v>5000</v>
      </c>
      <c r="H138" s="54"/>
      <c r="I138" s="54"/>
    </row>
    <row r="139" spans="2:11" ht="15.75" customHeight="1" x14ac:dyDescent="0.2">
      <c r="B139" s="50">
        <f t="shared" si="4"/>
        <v>133</v>
      </c>
      <c r="C139" s="51">
        <v>45401</v>
      </c>
      <c r="D139" s="57" t="s">
        <v>524</v>
      </c>
      <c r="E139" s="57" t="s">
        <v>454</v>
      </c>
      <c r="F139" s="53" t="s">
        <v>483</v>
      </c>
      <c r="G139" s="54">
        <v>170</v>
      </c>
      <c r="H139" s="54"/>
      <c r="I139" s="54"/>
      <c r="K139" s="84"/>
    </row>
    <row r="140" spans="2:11" ht="15.75" customHeight="1" x14ac:dyDescent="0.2">
      <c r="B140" s="50">
        <f t="shared" si="4"/>
        <v>134</v>
      </c>
      <c r="C140" s="51">
        <v>45402</v>
      </c>
      <c r="D140" s="57" t="s">
        <v>524</v>
      </c>
      <c r="E140" s="57" t="s">
        <v>458</v>
      </c>
      <c r="F140" s="53" t="s">
        <v>527</v>
      </c>
      <c r="G140" s="54"/>
      <c r="H140" s="54">
        <v>-270</v>
      </c>
      <c r="I140" s="54"/>
    </row>
    <row r="141" spans="2:11" ht="15.75" customHeight="1" x14ac:dyDescent="0.2">
      <c r="B141" s="50">
        <f t="shared" si="4"/>
        <v>135</v>
      </c>
      <c r="C141" s="51">
        <v>45402</v>
      </c>
      <c r="D141" s="57" t="s">
        <v>524</v>
      </c>
      <c r="E141" s="57" t="s">
        <v>458</v>
      </c>
      <c r="F141" s="53" t="s">
        <v>528</v>
      </c>
      <c r="G141" s="54"/>
      <c r="H141" s="54">
        <v>-400</v>
      </c>
      <c r="I141" s="54"/>
    </row>
    <row r="142" spans="2:11" ht="15.75" customHeight="1" x14ac:dyDescent="0.2">
      <c r="B142" s="50">
        <f t="shared" si="4"/>
        <v>136</v>
      </c>
      <c r="C142" s="51">
        <v>45403</v>
      </c>
      <c r="D142" s="57" t="s">
        <v>524</v>
      </c>
      <c r="E142" s="57" t="s">
        <v>457</v>
      </c>
      <c r="F142" s="53" t="s">
        <v>529</v>
      </c>
      <c r="G142" s="54">
        <v>330</v>
      </c>
      <c r="H142" s="54"/>
      <c r="I142" s="54"/>
    </row>
    <row r="143" spans="2:11" ht="15.75" customHeight="1" x14ac:dyDescent="0.2">
      <c r="B143" s="50">
        <f t="shared" si="4"/>
        <v>137</v>
      </c>
      <c r="C143" s="51">
        <v>45403</v>
      </c>
      <c r="D143" s="57" t="s">
        <v>524</v>
      </c>
      <c r="E143" s="57" t="s">
        <v>457</v>
      </c>
      <c r="F143" s="53" t="s">
        <v>476</v>
      </c>
      <c r="G143" s="54">
        <v>50</v>
      </c>
      <c r="H143" s="54"/>
      <c r="I143" s="54"/>
    </row>
    <row r="144" spans="2:11" ht="15.75" customHeight="1" x14ac:dyDescent="0.2">
      <c r="B144" s="50">
        <f t="shared" si="4"/>
        <v>138</v>
      </c>
      <c r="C144" s="51">
        <v>45403</v>
      </c>
      <c r="D144" s="57" t="s">
        <v>524</v>
      </c>
      <c r="E144" s="57" t="s">
        <v>457</v>
      </c>
      <c r="F144" s="53" t="s">
        <v>478</v>
      </c>
      <c r="G144" s="54">
        <v>200</v>
      </c>
      <c r="H144" s="54"/>
      <c r="I144" s="54"/>
    </row>
    <row r="145" spans="2:9" ht="15.75" customHeight="1" x14ac:dyDescent="0.2">
      <c r="B145" s="50">
        <f t="shared" si="4"/>
        <v>139</v>
      </c>
      <c r="C145" s="51">
        <v>45408</v>
      </c>
      <c r="D145" s="57" t="s">
        <v>524</v>
      </c>
      <c r="E145" s="57" t="s">
        <v>454</v>
      </c>
      <c r="F145" s="53" t="s">
        <v>483</v>
      </c>
      <c r="G145" s="54">
        <v>221</v>
      </c>
      <c r="H145" s="54"/>
      <c r="I145" s="54"/>
    </row>
    <row r="146" spans="2:9" ht="15.75" customHeight="1" x14ac:dyDescent="0.2">
      <c r="B146" s="50">
        <f t="shared" si="4"/>
        <v>140</v>
      </c>
      <c r="C146" s="51">
        <v>45410</v>
      </c>
      <c r="D146" s="57" t="s">
        <v>524</v>
      </c>
      <c r="E146" s="57" t="s">
        <v>452</v>
      </c>
      <c r="F146" s="53" t="s">
        <v>476</v>
      </c>
      <c r="G146" s="54">
        <v>500</v>
      </c>
      <c r="H146" s="54"/>
      <c r="I146" s="54"/>
    </row>
    <row r="147" spans="2:9" ht="15.75" customHeight="1" x14ac:dyDescent="0.2">
      <c r="B147" s="50">
        <f t="shared" si="4"/>
        <v>141</v>
      </c>
      <c r="C147" s="51">
        <v>45410</v>
      </c>
      <c r="D147" s="57" t="s">
        <v>524</v>
      </c>
      <c r="E147" s="57" t="s">
        <v>452</v>
      </c>
      <c r="F147" s="53" t="s">
        <v>496</v>
      </c>
      <c r="G147" s="54">
        <v>1000</v>
      </c>
      <c r="H147" s="54"/>
      <c r="I147" s="54"/>
    </row>
    <row r="148" spans="2:9" ht="15.75" customHeight="1" x14ac:dyDescent="0.2">
      <c r="B148" s="50">
        <f t="shared" si="4"/>
        <v>142</v>
      </c>
      <c r="C148" s="51">
        <v>45410</v>
      </c>
      <c r="D148" s="57" t="s">
        <v>524</v>
      </c>
      <c r="E148" s="57" t="s">
        <v>457</v>
      </c>
      <c r="F148" s="53" t="s">
        <v>476</v>
      </c>
      <c r="G148" s="54">
        <v>100</v>
      </c>
      <c r="H148" s="54"/>
      <c r="I148" s="54"/>
    </row>
    <row r="149" spans="2:9" ht="15.75" customHeight="1" x14ac:dyDescent="0.2">
      <c r="B149" s="50">
        <f t="shared" si="4"/>
        <v>143</v>
      </c>
      <c r="C149" s="51">
        <v>45410</v>
      </c>
      <c r="D149" s="57" t="s">
        <v>524</v>
      </c>
      <c r="E149" s="57" t="s">
        <v>457</v>
      </c>
      <c r="F149" s="53" t="s">
        <v>487</v>
      </c>
      <c r="G149" s="54">
        <v>200</v>
      </c>
      <c r="H149" s="54"/>
      <c r="I149" s="54"/>
    </row>
    <row r="150" spans="2:9" ht="15.75" customHeight="1" x14ac:dyDescent="0.2">
      <c r="B150" s="50">
        <f t="shared" si="4"/>
        <v>144</v>
      </c>
      <c r="C150" s="51">
        <v>45410</v>
      </c>
      <c r="D150" s="57" t="s">
        <v>524</v>
      </c>
      <c r="E150" s="57" t="s">
        <v>457</v>
      </c>
      <c r="F150" s="53" t="s">
        <v>478</v>
      </c>
      <c r="G150" s="54">
        <v>200</v>
      </c>
      <c r="H150" s="54"/>
      <c r="I150" s="54"/>
    </row>
    <row r="151" spans="2:9" ht="15.75" customHeight="1" x14ac:dyDescent="0.2">
      <c r="B151" s="50">
        <f t="shared" si="4"/>
        <v>145</v>
      </c>
      <c r="C151" s="51">
        <v>45410</v>
      </c>
      <c r="D151" s="57" t="s">
        <v>524</v>
      </c>
      <c r="E151" s="57" t="s">
        <v>458</v>
      </c>
      <c r="F151" s="53" t="s">
        <v>530</v>
      </c>
      <c r="G151" s="54"/>
      <c r="H151" s="54">
        <v>-235</v>
      </c>
      <c r="I151" s="54"/>
    </row>
    <row r="152" spans="2:9" ht="15.75" customHeight="1" x14ac:dyDescent="0.2">
      <c r="B152" s="50">
        <f t="shared" si="4"/>
        <v>146</v>
      </c>
      <c r="C152" s="51">
        <v>45411</v>
      </c>
      <c r="D152" s="57" t="s">
        <v>524</v>
      </c>
      <c r="E152" s="57" t="s">
        <v>456</v>
      </c>
      <c r="F152" s="53" t="s">
        <v>482</v>
      </c>
      <c r="G152" s="54">
        <v>200</v>
      </c>
      <c r="H152" s="54"/>
      <c r="I152" s="54"/>
    </row>
    <row r="153" spans="2:9" ht="15.75" customHeight="1" x14ac:dyDescent="0.2">
      <c r="B153" s="50">
        <f t="shared" si="4"/>
        <v>147</v>
      </c>
      <c r="C153" s="51">
        <v>45412</v>
      </c>
      <c r="D153" s="57" t="s">
        <v>524</v>
      </c>
      <c r="E153" s="57" t="s">
        <v>458</v>
      </c>
      <c r="F153" s="53" t="s">
        <v>531</v>
      </c>
      <c r="G153" s="54"/>
      <c r="H153" s="54">
        <f>-245</f>
        <v>-245</v>
      </c>
      <c r="I153" s="54"/>
    </row>
    <row r="154" spans="2:9" ht="15.75" customHeight="1" x14ac:dyDescent="0.2">
      <c r="B154" s="50">
        <f t="shared" si="4"/>
        <v>148</v>
      </c>
      <c r="C154" s="51">
        <v>45412</v>
      </c>
      <c r="D154" s="57" t="s">
        <v>524</v>
      </c>
      <c r="E154" s="57" t="s">
        <v>458</v>
      </c>
      <c r="F154" s="53" t="s">
        <v>532</v>
      </c>
      <c r="G154" s="54"/>
      <c r="H154" s="54">
        <v>-685</v>
      </c>
      <c r="I154" s="54"/>
    </row>
    <row r="155" spans="2:9" ht="15.75" customHeight="1" x14ac:dyDescent="0.2">
      <c r="B155" s="50">
        <f t="shared" si="4"/>
        <v>149</v>
      </c>
      <c r="C155" s="51">
        <v>45412</v>
      </c>
      <c r="D155" s="57" t="s">
        <v>524</v>
      </c>
      <c r="E155" s="57" t="s">
        <v>458</v>
      </c>
      <c r="F155" s="53" t="s">
        <v>533</v>
      </c>
      <c r="G155" s="54"/>
      <c r="H155" s="54">
        <v>-960</v>
      </c>
      <c r="I155" s="54"/>
    </row>
    <row r="156" spans="2:9" ht="15.75" customHeight="1" x14ac:dyDescent="0.2">
      <c r="B156" s="50">
        <f t="shared" si="4"/>
        <v>150</v>
      </c>
      <c r="C156" s="51">
        <v>45415</v>
      </c>
      <c r="D156" s="57" t="s">
        <v>534</v>
      </c>
      <c r="E156" s="57" t="s">
        <v>458</v>
      </c>
      <c r="F156" s="53" t="s">
        <v>535</v>
      </c>
      <c r="G156" s="54"/>
      <c r="H156" s="54">
        <v>-1000</v>
      </c>
      <c r="I156" s="54"/>
    </row>
    <row r="157" spans="2:9" ht="15.75" customHeight="1" x14ac:dyDescent="0.2">
      <c r="B157" s="50">
        <f t="shared" si="4"/>
        <v>151</v>
      </c>
      <c r="C157" s="51">
        <v>45417</v>
      </c>
      <c r="D157" s="57" t="s">
        <v>534</v>
      </c>
      <c r="E157" s="57" t="s">
        <v>457</v>
      </c>
      <c r="F157" s="53" t="s">
        <v>536</v>
      </c>
      <c r="G157" s="54">
        <v>160</v>
      </c>
      <c r="H157" s="54"/>
      <c r="I157" s="54"/>
    </row>
    <row r="158" spans="2:9" ht="15.75" customHeight="1" x14ac:dyDescent="0.2">
      <c r="B158" s="50">
        <f t="shared" si="4"/>
        <v>152</v>
      </c>
      <c r="C158" s="51">
        <v>45417</v>
      </c>
      <c r="D158" s="57" t="s">
        <v>534</v>
      </c>
      <c r="E158" s="57" t="s">
        <v>457</v>
      </c>
      <c r="F158" s="53" t="s">
        <v>487</v>
      </c>
      <c r="G158" s="54">
        <v>100</v>
      </c>
      <c r="H158" s="54"/>
      <c r="I158" s="54"/>
    </row>
    <row r="159" spans="2:9" ht="15.75" customHeight="1" x14ac:dyDescent="0.2">
      <c r="B159" s="50">
        <f t="shared" si="4"/>
        <v>153</v>
      </c>
      <c r="C159" s="51">
        <v>45417</v>
      </c>
      <c r="D159" s="57" t="s">
        <v>534</v>
      </c>
      <c r="E159" s="57" t="s">
        <v>457</v>
      </c>
      <c r="F159" s="53" t="s">
        <v>478</v>
      </c>
      <c r="G159" s="54">
        <v>200</v>
      </c>
      <c r="H159" s="54"/>
      <c r="I159" s="54"/>
    </row>
    <row r="160" spans="2:9" ht="15.75" customHeight="1" x14ac:dyDescent="0.2">
      <c r="B160" s="50">
        <f t="shared" si="4"/>
        <v>154</v>
      </c>
      <c r="C160" s="51">
        <v>45418</v>
      </c>
      <c r="D160" s="57" t="s">
        <v>534</v>
      </c>
      <c r="E160" s="57" t="s">
        <v>458</v>
      </c>
      <c r="F160" s="53" t="s">
        <v>537</v>
      </c>
      <c r="G160" s="54"/>
      <c r="H160" s="54">
        <v>-720</v>
      </c>
      <c r="I160" s="54"/>
    </row>
    <row r="161" spans="2:9" ht="15.75" customHeight="1" x14ac:dyDescent="0.2">
      <c r="B161" s="50">
        <f t="shared" si="4"/>
        <v>155</v>
      </c>
      <c r="C161" s="51"/>
      <c r="D161" s="57"/>
      <c r="E161" s="57"/>
      <c r="F161" s="53"/>
      <c r="G161" s="54"/>
      <c r="H161" s="54"/>
      <c r="I161" s="54"/>
    </row>
    <row r="162" spans="2:9" ht="15.75" customHeight="1" x14ac:dyDescent="0.2">
      <c r="B162" s="50">
        <f t="shared" si="4"/>
        <v>156</v>
      </c>
      <c r="C162" s="51"/>
      <c r="D162" s="57"/>
      <c r="E162" s="57"/>
      <c r="F162" s="53"/>
      <c r="G162" s="54"/>
      <c r="H162" s="54"/>
      <c r="I162" s="54"/>
    </row>
    <row r="163" spans="2:9" ht="15.75" customHeight="1" x14ac:dyDescent="0.2">
      <c r="B163" s="50">
        <f t="shared" si="4"/>
        <v>157</v>
      </c>
      <c r="C163" s="51"/>
      <c r="D163" s="57"/>
      <c r="E163" s="57"/>
      <c r="F163" s="53"/>
      <c r="G163" s="54"/>
      <c r="H163" s="54"/>
      <c r="I163" s="54"/>
    </row>
    <row r="164" spans="2:9" ht="15.75" customHeight="1" x14ac:dyDescent="0.2">
      <c r="B164" s="50">
        <f t="shared" si="4"/>
        <v>158</v>
      </c>
      <c r="C164" s="51"/>
      <c r="D164" s="57"/>
      <c r="E164" s="57"/>
      <c r="F164" s="53"/>
      <c r="G164" s="54"/>
      <c r="H164" s="54"/>
      <c r="I164" s="54"/>
    </row>
    <row r="165" spans="2:9" ht="15.75" customHeight="1" x14ac:dyDescent="0.2">
      <c r="B165" s="50">
        <f t="shared" si="4"/>
        <v>159</v>
      </c>
      <c r="C165" s="51"/>
      <c r="D165" s="57"/>
      <c r="E165" s="57"/>
      <c r="F165" s="53"/>
      <c r="G165" s="54"/>
      <c r="H165" s="54"/>
      <c r="I165" s="54"/>
    </row>
    <row r="166" spans="2:9" ht="15.75" customHeight="1" x14ac:dyDescent="0.2">
      <c r="B166" s="50">
        <f t="shared" si="4"/>
        <v>160</v>
      </c>
      <c r="C166" s="51"/>
      <c r="D166" s="57"/>
      <c r="E166" s="57"/>
      <c r="F166" s="53"/>
      <c r="G166" s="54"/>
      <c r="H166" s="54"/>
      <c r="I166" s="54"/>
    </row>
    <row r="167" spans="2:9" ht="15.75" customHeight="1" x14ac:dyDescent="0.2">
      <c r="B167" s="50">
        <f t="shared" ref="B167:B197" si="5">B166+1</f>
        <v>161</v>
      </c>
      <c r="C167" s="51"/>
      <c r="D167" s="57"/>
      <c r="E167" s="57"/>
      <c r="F167" s="53"/>
      <c r="G167" s="54"/>
      <c r="H167" s="54"/>
      <c r="I167" s="54"/>
    </row>
    <row r="168" spans="2:9" ht="15.75" customHeight="1" x14ac:dyDescent="0.2">
      <c r="B168" s="50">
        <f t="shared" si="5"/>
        <v>162</v>
      </c>
      <c r="C168" s="51"/>
      <c r="D168" s="57"/>
      <c r="E168" s="57"/>
      <c r="F168" s="53"/>
      <c r="G168" s="54"/>
      <c r="H168" s="54"/>
      <c r="I168" s="54"/>
    </row>
    <row r="169" spans="2:9" ht="15.75" customHeight="1" x14ac:dyDescent="0.2">
      <c r="B169" s="50">
        <f t="shared" si="5"/>
        <v>163</v>
      </c>
      <c r="C169" s="51"/>
      <c r="D169" s="57"/>
      <c r="E169" s="57"/>
      <c r="F169" s="53"/>
      <c r="G169" s="54"/>
      <c r="H169" s="54"/>
      <c r="I169" s="54"/>
    </row>
    <row r="170" spans="2:9" ht="15.75" customHeight="1" x14ac:dyDescent="0.2">
      <c r="B170" s="50">
        <f t="shared" si="5"/>
        <v>164</v>
      </c>
      <c r="C170" s="51"/>
      <c r="D170" s="57"/>
      <c r="E170" s="57"/>
      <c r="F170" s="53"/>
      <c r="G170" s="54"/>
      <c r="H170" s="54"/>
      <c r="I170" s="54"/>
    </row>
    <row r="171" spans="2:9" ht="15.75" customHeight="1" x14ac:dyDescent="0.2">
      <c r="B171" s="50">
        <f t="shared" si="5"/>
        <v>165</v>
      </c>
      <c r="C171" s="51"/>
      <c r="D171" s="57"/>
      <c r="E171" s="57"/>
      <c r="F171" s="53"/>
      <c r="G171" s="54"/>
      <c r="H171" s="54"/>
      <c r="I171" s="54"/>
    </row>
    <row r="172" spans="2:9" ht="15.75" customHeight="1" x14ac:dyDescent="0.2">
      <c r="B172" s="50">
        <f t="shared" si="5"/>
        <v>166</v>
      </c>
      <c r="C172" s="51"/>
      <c r="D172" s="57"/>
      <c r="E172" s="57"/>
      <c r="F172" s="53"/>
      <c r="G172" s="54"/>
      <c r="H172" s="54"/>
      <c r="I172" s="54"/>
    </row>
    <row r="173" spans="2:9" ht="15.75" customHeight="1" x14ac:dyDescent="0.2">
      <c r="B173" s="50">
        <f t="shared" si="5"/>
        <v>167</v>
      </c>
      <c r="C173" s="51"/>
      <c r="D173" s="57"/>
      <c r="E173" s="57"/>
      <c r="F173" s="53"/>
      <c r="G173" s="54"/>
      <c r="H173" s="54"/>
      <c r="I173" s="54"/>
    </row>
    <row r="174" spans="2:9" ht="15.75" customHeight="1" x14ac:dyDescent="0.2">
      <c r="B174" s="50">
        <f t="shared" si="5"/>
        <v>168</v>
      </c>
      <c r="C174" s="51"/>
      <c r="D174" s="57"/>
      <c r="E174" s="57"/>
      <c r="F174" s="53"/>
      <c r="G174" s="54"/>
      <c r="H174" s="54"/>
      <c r="I174" s="54"/>
    </row>
    <row r="175" spans="2:9" ht="15.75" customHeight="1" x14ac:dyDescent="0.2">
      <c r="B175" s="50">
        <f t="shared" si="5"/>
        <v>169</v>
      </c>
      <c r="C175" s="51"/>
      <c r="D175" s="57"/>
      <c r="E175" s="57"/>
      <c r="F175" s="53"/>
      <c r="G175" s="54"/>
      <c r="H175" s="54"/>
      <c r="I175" s="54"/>
    </row>
    <row r="176" spans="2:9" ht="15.75" customHeight="1" x14ac:dyDescent="0.2">
      <c r="B176" s="50">
        <f t="shared" si="5"/>
        <v>170</v>
      </c>
      <c r="C176" s="51"/>
      <c r="D176" s="57"/>
      <c r="E176" s="57"/>
      <c r="F176" s="53"/>
      <c r="G176" s="54"/>
      <c r="H176" s="54"/>
      <c r="I176" s="54"/>
    </row>
    <row r="177" spans="2:9" ht="15.75" customHeight="1" x14ac:dyDescent="0.2">
      <c r="B177" s="50">
        <f t="shared" si="5"/>
        <v>171</v>
      </c>
      <c r="C177" s="51"/>
      <c r="D177" s="57"/>
      <c r="E177" s="57"/>
      <c r="F177" s="53"/>
      <c r="G177" s="54"/>
      <c r="H177" s="54"/>
      <c r="I177" s="54"/>
    </row>
    <row r="178" spans="2:9" ht="15.75" customHeight="1" x14ac:dyDescent="0.2">
      <c r="B178" s="50">
        <f t="shared" si="5"/>
        <v>172</v>
      </c>
      <c r="C178" s="51"/>
      <c r="D178" s="57"/>
      <c r="E178" s="57"/>
      <c r="F178" s="53"/>
      <c r="G178" s="54"/>
      <c r="H178" s="54"/>
      <c r="I178" s="54"/>
    </row>
    <row r="179" spans="2:9" ht="15.75" customHeight="1" x14ac:dyDescent="0.2">
      <c r="B179" s="50">
        <f t="shared" si="5"/>
        <v>173</v>
      </c>
      <c r="C179" s="51"/>
      <c r="D179" s="57"/>
      <c r="E179" s="57"/>
      <c r="F179" s="53"/>
      <c r="G179" s="54"/>
      <c r="H179" s="54"/>
      <c r="I179" s="54"/>
    </row>
    <row r="180" spans="2:9" ht="15.75" customHeight="1" x14ac:dyDescent="0.2">
      <c r="B180" s="50">
        <f t="shared" si="5"/>
        <v>174</v>
      </c>
      <c r="C180" s="51"/>
      <c r="D180" s="57"/>
      <c r="E180" s="57"/>
      <c r="F180" s="53"/>
      <c r="G180" s="54"/>
      <c r="H180" s="54"/>
      <c r="I180" s="54"/>
    </row>
    <row r="181" spans="2:9" ht="15.75" customHeight="1" x14ac:dyDescent="0.2">
      <c r="B181" s="50">
        <f t="shared" si="5"/>
        <v>175</v>
      </c>
      <c r="C181" s="51"/>
      <c r="D181" s="57"/>
      <c r="E181" s="57"/>
      <c r="F181" s="53"/>
      <c r="G181" s="54"/>
      <c r="H181" s="54"/>
      <c r="I181" s="54"/>
    </row>
    <row r="182" spans="2:9" ht="15.75" customHeight="1" x14ac:dyDescent="0.2">
      <c r="B182" s="50">
        <f t="shared" si="5"/>
        <v>176</v>
      </c>
      <c r="C182" s="51"/>
      <c r="D182" s="57"/>
      <c r="E182" s="57"/>
      <c r="F182" s="53"/>
      <c r="G182" s="54"/>
      <c r="H182" s="54"/>
      <c r="I182" s="54"/>
    </row>
    <row r="183" spans="2:9" ht="15.75" customHeight="1" x14ac:dyDescent="0.2">
      <c r="B183" s="50">
        <f t="shared" si="5"/>
        <v>177</v>
      </c>
      <c r="C183" s="51"/>
      <c r="D183" s="57"/>
      <c r="E183" s="57"/>
      <c r="F183" s="53"/>
      <c r="G183" s="54"/>
      <c r="H183" s="54"/>
      <c r="I183" s="54"/>
    </row>
    <row r="184" spans="2:9" ht="15.75" customHeight="1" x14ac:dyDescent="0.2">
      <c r="B184" s="50">
        <f t="shared" si="5"/>
        <v>178</v>
      </c>
      <c r="C184" s="51"/>
      <c r="D184" s="57"/>
      <c r="E184" s="57"/>
      <c r="F184" s="53"/>
      <c r="G184" s="54"/>
      <c r="H184" s="54"/>
      <c r="I184" s="54"/>
    </row>
    <row r="185" spans="2:9" ht="15.75" customHeight="1" x14ac:dyDescent="0.2">
      <c r="B185" s="50">
        <f t="shared" si="5"/>
        <v>179</v>
      </c>
      <c r="C185" s="51"/>
      <c r="D185" s="57"/>
      <c r="E185" s="57"/>
      <c r="F185" s="53"/>
      <c r="G185" s="54"/>
      <c r="H185" s="54"/>
      <c r="I185" s="54"/>
    </row>
    <row r="186" spans="2:9" ht="15.75" customHeight="1" x14ac:dyDescent="0.2">
      <c r="B186" s="50">
        <f t="shared" si="5"/>
        <v>180</v>
      </c>
      <c r="C186" s="51"/>
      <c r="D186" s="57"/>
      <c r="E186" s="57"/>
      <c r="F186" s="53"/>
      <c r="G186" s="54"/>
      <c r="H186" s="54"/>
      <c r="I186" s="54"/>
    </row>
    <row r="187" spans="2:9" ht="15.75" customHeight="1" x14ac:dyDescent="0.2">
      <c r="B187" s="50">
        <f t="shared" si="5"/>
        <v>181</v>
      </c>
      <c r="C187" s="51"/>
      <c r="D187" s="57"/>
      <c r="E187" s="57"/>
      <c r="F187" s="53"/>
      <c r="G187" s="54"/>
      <c r="H187" s="54"/>
      <c r="I187" s="54"/>
    </row>
    <row r="188" spans="2:9" ht="15.75" customHeight="1" x14ac:dyDescent="0.2">
      <c r="B188" s="50">
        <f t="shared" si="5"/>
        <v>182</v>
      </c>
      <c r="C188" s="51"/>
      <c r="D188" s="57"/>
      <c r="E188" s="57"/>
      <c r="F188" s="53"/>
      <c r="G188" s="54"/>
      <c r="H188" s="54"/>
      <c r="I188" s="54"/>
    </row>
    <row r="189" spans="2:9" ht="15.75" customHeight="1" x14ac:dyDescent="0.2">
      <c r="B189" s="50">
        <f t="shared" si="5"/>
        <v>183</v>
      </c>
      <c r="C189" s="51"/>
      <c r="D189" s="57"/>
      <c r="E189" s="57"/>
      <c r="F189" s="53"/>
      <c r="G189" s="54"/>
      <c r="H189" s="54"/>
      <c r="I189" s="54"/>
    </row>
    <row r="190" spans="2:9" ht="15.75" customHeight="1" x14ac:dyDescent="0.2">
      <c r="B190" s="50">
        <f t="shared" si="5"/>
        <v>184</v>
      </c>
      <c r="C190" s="51"/>
      <c r="D190" s="57"/>
      <c r="E190" s="57"/>
      <c r="F190" s="53"/>
      <c r="G190" s="54"/>
      <c r="H190" s="54"/>
      <c r="I190" s="54"/>
    </row>
    <row r="191" spans="2:9" ht="15.75" customHeight="1" x14ac:dyDescent="0.2">
      <c r="B191" s="50">
        <f t="shared" si="5"/>
        <v>185</v>
      </c>
      <c r="C191" s="51"/>
      <c r="D191" s="57"/>
      <c r="E191" s="57"/>
      <c r="F191" s="53"/>
      <c r="G191" s="54"/>
      <c r="H191" s="54"/>
      <c r="I191" s="54"/>
    </row>
    <row r="192" spans="2:9" ht="15.75" customHeight="1" x14ac:dyDescent="0.2">
      <c r="B192" s="50">
        <f t="shared" si="5"/>
        <v>186</v>
      </c>
      <c r="C192" s="51"/>
      <c r="D192" s="57"/>
      <c r="E192" s="57"/>
      <c r="F192" s="53"/>
      <c r="G192" s="54"/>
      <c r="H192" s="54"/>
      <c r="I192" s="54"/>
    </row>
    <row r="193" spans="2:9" ht="15.75" customHeight="1" x14ac:dyDescent="0.2">
      <c r="B193" s="50">
        <f t="shared" si="5"/>
        <v>187</v>
      </c>
      <c r="C193" s="51"/>
      <c r="D193" s="57"/>
      <c r="E193" s="57"/>
      <c r="F193" s="53"/>
      <c r="G193" s="54"/>
      <c r="H193" s="54"/>
      <c r="I193" s="54"/>
    </row>
    <row r="194" spans="2:9" ht="15.75" customHeight="1" x14ac:dyDescent="0.2">
      <c r="B194" s="50">
        <f t="shared" si="5"/>
        <v>188</v>
      </c>
      <c r="C194" s="51"/>
      <c r="D194" s="57"/>
      <c r="E194" s="57"/>
      <c r="F194" s="53"/>
      <c r="G194" s="54"/>
      <c r="H194" s="54"/>
      <c r="I194" s="54"/>
    </row>
    <row r="195" spans="2:9" ht="15.75" customHeight="1" x14ac:dyDescent="0.2">
      <c r="B195" s="50">
        <f t="shared" si="5"/>
        <v>189</v>
      </c>
      <c r="C195" s="51"/>
      <c r="D195" s="57"/>
      <c r="E195" s="57"/>
      <c r="F195" s="53"/>
      <c r="G195" s="54"/>
      <c r="H195" s="54"/>
      <c r="I195" s="54"/>
    </row>
    <row r="196" spans="2:9" ht="15.75" customHeight="1" x14ac:dyDescent="0.2">
      <c r="B196" s="50">
        <f t="shared" si="5"/>
        <v>190</v>
      </c>
      <c r="C196" s="51"/>
      <c r="D196" s="57"/>
      <c r="E196" s="57"/>
      <c r="F196" s="53"/>
      <c r="G196" s="54"/>
      <c r="H196" s="54"/>
      <c r="I196" s="54"/>
    </row>
    <row r="197" spans="2:9" ht="15.75" customHeight="1" x14ac:dyDescent="0.2">
      <c r="B197" s="50">
        <f t="shared" si="5"/>
        <v>191</v>
      </c>
      <c r="C197" s="51"/>
      <c r="D197" s="57"/>
      <c r="E197" s="57"/>
      <c r="F197" s="53"/>
      <c r="G197" s="54"/>
      <c r="H197" s="54"/>
      <c r="I197" s="54"/>
    </row>
    <row r="198" spans="2:9" ht="15.75" customHeight="1" x14ac:dyDescent="0.2">
      <c r="E198" s="86"/>
    </row>
    <row r="199" spans="2:9" ht="15.75" customHeight="1" x14ac:dyDescent="0.2">
      <c r="E199" s="86"/>
    </row>
    <row r="200" spans="2:9" ht="15.75" customHeight="1" x14ac:dyDescent="0.2">
      <c r="E200" s="86"/>
    </row>
    <row r="201" spans="2:9" ht="15.75" customHeight="1" x14ac:dyDescent="0.2">
      <c r="E201" s="86"/>
    </row>
    <row r="202" spans="2:9" ht="15.75" customHeight="1" x14ac:dyDescent="0.2">
      <c r="E202" s="86"/>
    </row>
    <row r="203" spans="2:9" ht="15.75" customHeight="1" x14ac:dyDescent="0.2">
      <c r="E203" s="86"/>
    </row>
    <row r="204" spans="2:9" ht="15.75" customHeight="1" x14ac:dyDescent="0.2">
      <c r="E204" s="86"/>
    </row>
    <row r="205" spans="2:9" ht="15.75" customHeight="1" x14ac:dyDescent="0.2">
      <c r="E205" s="86"/>
    </row>
    <row r="206" spans="2:9" ht="15.75" customHeight="1" x14ac:dyDescent="0.2">
      <c r="E206" s="86"/>
    </row>
    <row r="207" spans="2:9" ht="15.75" customHeight="1" x14ac:dyDescent="0.2">
      <c r="E207" s="86"/>
    </row>
    <row r="208" spans="2:9" ht="15.75" customHeight="1" x14ac:dyDescent="0.2">
      <c r="E208" s="86"/>
    </row>
    <row r="209" spans="5:5" ht="15.75" customHeight="1" x14ac:dyDescent="0.2">
      <c r="E209" s="86"/>
    </row>
    <row r="210" spans="5:5" ht="15.75" customHeight="1" x14ac:dyDescent="0.2">
      <c r="E210" s="86"/>
    </row>
    <row r="211" spans="5:5" ht="15.75" customHeight="1" x14ac:dyDescent="0.2">
      <c r="E211" s="86"/>
    </row>
    <row r="212" spans="5:5" ht="15.75" customHeight="1" x14ac:dyDescent="0.2">
      <c r="E212" s="86"/>
    </row>
    <row r="213" spans="5:5" ht="15.75" customHeight="1" x14ac:dyDescent="0.2">
      <c r="E213" s="86"/>
    </row>
    <row r="214" spans="5:5" ht="15.75" customHeight="1" x14ac:dyDescent="0.2">
      <c r="E214" s="86"/>
    </row>
    <row r="215" spans="5:5" ht="15.75" customHeight="1" x14ac:dyDescent="0.2">
      <c r="E215" s="86"/>
    </row>
    <row r="216" spans="5:5" ht="15.75" customHeight="1" x14ac:dyDescent="0.2"/>
    <row r="217" spans="5:5" ht="15.75" customHeight="1" x14ac:dyDescent="0.2"/>
    <row r="218" spans="5:5" ht="15.75" customHeight="1" x14ac:dyDescent="0.2"/>
    <row r="219" spans="5:5" ht="15.75" customHeight="1" x14ac:dyDescent="0.2"/>
    <row r="220" spans="5:5" ht="15.75" customHeight="1" x14ac:dyDescent="0.2"/>
    <row r="221" spans="5:5" ht="15.75" customHeight="1" x14ac:dyDescent="0.2"/>
    <row r="222" spans="5:5" ht="15.75" customHeight="1" x14ac:dyDescent="0.2"/>
    <row r="223" spans="5:5" ht="15.75" customHeight="1" x14ac:dyDescent="0.2"/>
    <row r="224" spans="5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5">
    <mergeCell ref="K1:L1"/>
    <mergeCell ref="C2:I2"/>
    <mergeCell ref="C3:I3"/>
    <mergeCell ref="C4:I4"/>
    <mergeCell ref="B5:E5"/>
  </mergeCells>
  <dataValidations count="3">
    <dataValidation type="list" allowBlank="1" showInputMessage="1" showErrorMessage="1" sqref="E7:E198" xr:uid="{C6051BC0-8DF5-427F-9452-5D1AC3AFF858}">
      <formula1>$AA$2:$AA$7</formula1>
    </dataValidation>
    <dataValidation type="decimal" operator="greaterThanOrEqual" allowBlank="1" showErrorMessage="1" sqref="G7:G10" xr:uid="{C94FC490-38DD-4959-85AF-4DEFD3379702}">
      <formula1>0</formula1>
    </dataValidation>
    <dataValidation type="decimal" operator="lessThanOrEqual" allowBlank="1" showErrorMessage="1" sqref="H7:H10" xr:uid="{BEE4E67E-121C-4F02-B83D-515459246DF5}">
      <formula1>0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17</vt:i4>
      </vt:variant>
    </vt:vector>
  </HeadingPairs>
  <TitlesOfParts>
    <vt:vector size="28" baseType="lpstr">
      <vt:lpstr>DIARIO_2023</vt:lpstr>
      <vt:lpstr>RES23</vt:lpstr>
      <vt:lpstr>BALANZA</vt:lpstr>
      <vt:lpstr>DIARIO_2024</vt:lpstr>
      <vt:lpstr>DIARIO_2025</vt:lpstr>
      <vt:lpstr>RES25</vt:lpstr>
      <vt:lpstr>DDD</vt:lpstr>
      <vt:lpstr>VENTAS</vt:lpstr>
      <vt:lpstr>CONTRUCCION_2024</vt:lpstr>
      <vt:lpstr>RECON_24</vt:lpstr>
      <vt:lpstr>FIESTA_2023</vt:lpstr>
      <vt:lpstr>BALANZA!Área_de_impresión</vt:lpstr>
      <vt:lpstr>CONTRUCCION_2024!Área_de_impresión</vt:lpstr>
      <vt:lpstr>DDD!Área_de_impresión</vt:lpstr>
      <vt:lpstr>DIARIO_2023!Área_de_impresión</vt:lpstr>
      <vt:lpstr>DIARIO_2024!Área_de_impresión</vt:lpstr>
      <vt:lpstr>DIARIO_2025!Área_de_impresión</vt:lpstr>
      <vt:lpstr>FIESTA_2023!Área_de_impresión</vt:lpstr>
      <vt:lpstr>RECON_24!Área_de_impresión</vt:lpstr>
      <vt:lpstr>'RES23'!Área_de_impresión</vt:lpstr>
      <vt:lpstr>'RES25'!Área_de_impresión</vt:lpstr>
      <vt:lpstr>DIARIO_2025!CATEGORIA</vt:lpstr>
      <vt:lpstr>CATEGORIA</vt:lpstr>
      <vt:lpstr>CONTRUYE</vt:lpstr>
      <vt:lpstr>CONTRUCCION_2024!Títulos_a_imprimir</vt:lpstr>
      <vt:lpstr>DIARIO_2023!Títulos_a_imprimir</vt:lpstr>
      <vt:lpstr>DIARIO_2024!Títulos_a_imprimir</vt:lpstr>
      <vt:lpstr>DIARIO_2025!Títulos_a_imprimir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Vicente Cueva R</dc:creator>
  <cp:keywords/>
  <dc:description/>
  <cp:lastModifiedBy>Vicente Cueva</cp:lastModifiedBy>
  <cp:revision/>
  <cp:lastPrinted>2025-01-20T16:44:05Z</cp:lastPrinted>
  <dcterms:created xsi:type="dcterms:W3CDTF">2023-02-14T23:39:23Z</dcterms:created>
  <dcterms:modified xsi:type="dcterms:W3CDTF">2025-02-17T19:16:56Z</dcterms:modified>
  <cp:category/>
  <cp:contentStatus/>
</cp:coreProperties>
</file>