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03 VIC\ADMON CHNT\"/>
    </mc:Choice>
  </mc:AlternateContent>
  <xr:revisionPtr revIDLastSave="0" documentId="13_ncr:1_{DCA55071-365D-4D7A-9A09-7D0DBD7E6D9C}" xr6:coauthVersionLast="47" xr6:coauthVersionMax="47" xr10:uidLastSave="{00000000-0000-0000-0000-000000000000}"/>
  <bookViews>
    <workbookView xWindow="-120" yWindow="-120" windowWidth="20730" windowHeight="11040" activeTab="3" xr2:uid="{B2911F0F-54E0-4866-9751-B5505F174BEA}"/>
  </bookViews>
  <sheets>
    <sheet name="PWS" sheetId="7" r:id="rId1"/>
    <sheet name="DOC" sheetId="6" r:id="rId2"/>
    <sheet name="CUENTA" sheetId="14" r:id="rId3"/>
    <sheet name="DDD" sheetId="8" r:id="rId4"/>
    <sheet name="PRESUPUESTO" sheetId="5" r:id="rId5"/>
    <sheet name="RESUMEN" sheetId="4" r:id="rId6"/>
    <sheet name="DIARIO_2024" sheetId="1" r:id="rId7"/>
    <sheet name="VIVIENDA" sheetId="12" r:id="rId8"/>
    <sheet name="CATEGORIAS" sheetId="3" r:id="rId9"/>
    <sheet name="AUTO" sheetId="9" r:id="rId10"/>
    <sheet name="HIPOTECA" sheetId="11" r:id="rId11"/>
    <sheet name="TERTIUS" sheetId="10" r:id="rId12"/>
  </sheets>
  <definedNames>
    <definedName name="_xlnm._FilterDatabase" localSheetId="4" hidden="1">PRESUPUESTO!$B$6:$J$101</definedName>
    <definedName name="_xlnm.Print_Area" localSheetId="2">CUENTA!$B$2:$G$34</definedName>
    <definedName name="_xlnm.Print_Area" localSheetId="3">DDD!$B$1:$D$24</definedName>
    <definedName name="AUTOMOVIL">CATEGORIAS!$B$8:$B$14</definedName>
    <definedName name="BANCOS">CATEGORIAS!$C$8:$C$19</definedName>
    <definedName name="CAPACITACION">CATEGORIAS!$D$8:$D$9</definedName>
    <definedName name="CASA">CATEGORIAS!$E$8:$E$13</definedName>
    <definedName name="CATEGORIA">CATEGORIAS!$B$6:$L$6</definedName>
    <definedName name="CUE_CON">CATEGORIAS!$L$8:$L$18</definedName>
    <definedName name="EXTRAS">CATEGORIAS!$F$8:$F$13</definedName>
    <definedName name="INGRESOS">CATEGORIAS!$G$8:$G$11</definedName>
    <definedName name="OCIO">CATEGORIAS!$H$8:$H$11</definedName>
    <definedName name="PERSONALES">CATEGORIAS!$I$8:$I$9</definedName>
    <definedName name="SEMANAL">CATEGORIAS!$J$8:$J$10</definedName>
    <definedName name="SERVICIOS">CATEGORIAS!$K$8:$K$26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3" i="1" l="1"/>
  <c r="B34" i="14"/>
  <c r="I895" i="1" l="1"/>
  <c r="E85" i="5"/>
  <c r="F82" i="5"/>
  <c r="E82" i="5"/>
  <c r="F70" i="5"/>
  <c r="G862" i="1"/>
  <c r="Q11" i="4"/>
  <c r="E18" i="4"/>
  <c r="I24" i="4"/>
  <c r="E26" i="4"/>
  <c r="J8" i="12"/>
  <c r="Q10" i="4"/>
  <c r="G82" i="5" l="1"/>
  <c r="I861" i="1"/>
  <c r="Q9" i="4"/>
  <c r="F85" i="5"/>
  <c r="E79" i="12" l="1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F8" i="12"/>
  <c r="K8" i="12" s="1"/>
  <c r="F9" i="12" s="1"/>
  <c r="E8" i="12"/>
  <c r="I3" i="12"/>
  <c r="H789" i="1"/>
  <c r="Q8" i="4"/>
  <c r="I795" i="1"/>
  <c r="Q20" i="4"/>
  <c r="I760" i="1"/>
  <c r="I756" i="1"/>
  <c r="Q19" i="4"/>
  <c r="H9" i="12" l="1"/>
  <c r="I741" i="1"/>
  <c r="I740" i="1"/>
  <c r="Q18" i="4"/>
  <c r="Q17" i="4" l="1"/>
  <c r="I685" i="1" l="1"/>
  <c r="G676" i="1"/>
  <c r="G679" i="1"/>
  <c r="I671" i="1"/>
  <c r="J13" i="9" l="1"/>
  <c r="I642" i="1" l="1"/>
  <c r="I641" i="1"/>
  <c r="Q16" i="4"/>
  <c r="B3" i="8"/>
  <c r="I15" i="4" l="1"/>
  <c r="K11" i="4"/>
  <c r="Q15" i="4"/>
  <c r="I623" i="1"/>
  <c r="I593" i="1"/>
  <c r="Q14" i="4"/>
  <c r="G586" i="1"/>
  <c r="G585" i="1"/>
  <c r="I565" i="1" l="1"/>
  <c r="H9" i="11"/>
  <c r="H8" i="11"/>
  <c r="E9" i="11"/>
  <c r="H4" i="11"/>
  <c r="I3" i="9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F8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8" i="11"/>
  <c r="J5" i="11"/>
  <c r="K5" i="11" s="1"/>
  <c r="G551" i="1"/>
  <c r="I546" i="1"/>
  <c r="I554" i="1"/>
  <c r="G8" i="11" l="1"/>
  <c r="K8" i="11" s="1"/>
  <c r="I544" i="1"/>
  <c r="F9" i="11" l="1"/>
  <c r="J12" i="9"/>
  <c r="I524" i="1"/>
  <c r="Q12" i="4"/>
  <c r="H519" i="1"/>
  <c r="G520" i="1"/>
  <c r="G521" i="1"/>
  <c r="I523" i="1"/>
  <c r="I510" i="1" l="1"/>
  <c r="M71" i="10"/>
  <c r="M70" i="10"/>
  <c r="I469" i="1"/>
  <c r="I463" i="1"/>
  <c r="G402" i="1" l="1"/>
  <c r="G404" i="1"/>
  <c r="J11" i="9" l="1"/>
  <c r="M69" i="10"/>
  <c r="M68" i="10"/>
  <c r="M67" i="10"/>
  <c r="M66" i="10"/>
  <c r="M65" i="10"/>
  <c r="M64" i="10"/>
  <c r="M63" i="10"/>
  <c r="M62" i="10"/>
  <c r="M60" i="10"/>
  <c r="M58" i="10"/>
  <c r="M57" i="10"/>
  <c r="M56" i="10"/>
  <c r="M55" i="10"/>
  <c r="M53" i="10"/>
  <c r="M52" i="10"/>
  <c r="M51" i="10"/>
  <c r="M50" i="10"/>
  <c r="M49" i="10"/>
  <c r="M48" i="10"/>
  <c r="M47" i="10"/>
  <c r="M46" i="10"/>
  <c r="M45" i="10"/>
  <c r="H45" i="10"/>
  <c r="M44" i="10"/>
  <c r="M43" i="10"/>
  <c r="M42" i="10"/>
  <c r="M41" i="10"/>
  <c r="M40" i="10"/>
  <c r="G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G18" i="10"/>
  <c r="B16" i="10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60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O7" i="10"/>
  <c r="F8" i="10" s="1"/>
  <c r="N5" i="10"/>
  <c r="L5" i="10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J10" i="9"/>
  <c r="E10" i="9"/>
  <c r="J9" i="9"/>
  <c r="E9" i="9"/>
  <c r="K8" i="9"/>
  <c r="F9" i="9" s="1"/>
  <c r="K9" i="9" s="1"/>
  <c r="F10" i="9" s="1"/>
  <c r="K10" i="9" s="1"/>
  <c r="F11" i="9" s="1"/>
  <c r="J8" i="9"/>
  <c r="F8" i="9"/>
  <c r="E8" i="9"/>
  <c r="J5" i="9"/>
  <c r="K5" i="9" s="1"/>
  <c r="O8" i="10" l="1"/>
  <c r="F9" i="10" s="1"/>
  <c r="O9" i="10" s="1"/>
  <c r="F10" i="10" s="1"/>
  <c r="O10" i="10" s="1"/>
  <c r="F11" i="10" s="1"/>
  <c r="O11" i="10" s="1"/>
  <c r="F12" i="10" s="1"/>
  <c r="O12" i="10" s="1"/>
  <c r="F13" i="10" s="1"/>
  <c r="O13" i="10" s="1"/>
  <c r="F14" i="10" s="1"/>
  <c r="O14" i="10" s="1"/>
  <c r="F15" i="10" s="1"/>
  <c r="I8" i="10"/>
  <c r="M8" i="10" s="1"/>
  <c r="I15" i="10" l="1"/>
  <c r="H15" i="10" s="1"/>
  <c r="M15" i="10" s="1"/>
  <c r="O15" i="10" l="1"/>
  <c r="F16" i="10" s="1"/>
  <c r="K11" i="9"/>
  <c r="F12" i="9" s="1"/>
  <c r="I16" i="10" l="1"/>
  <c r="H16" i="10" s="1"/>
  <c r="M16" i="10" s="1"/>
  <c r="O16" i="10" l="1"/>
  <c r="F17" i="10" s="1"/>
  <c r="I17" i="10" l="1"/>
  <c r="H17" i="10" s="1"/>
  <c r="M17" i="10" s="1"/>
  <c r="O17" i="10" l="1"/>
  <c r="F18" i="10" s="1"/>
  <c r="O18" i="10" s="1"/>
  <c r="F19" i="10" s="1"/>
  <c r="O19" i="10" s="1"/>
  <c r="F20" i="10" s="1"/>
  <c r="O20" i="10" s="1"/>
  <c r="F21" i="10" s="1"/>
  <c r="O21" i="10" s="1"/>
  <c r="F22" i="10" s="1"/>
  <c r="O22" i="10" s="1"/>
  <c r="F23" i="10" s="1"/>
  <c r="O23" i="10" s="1"/>
  <c r="F24" i="10" s="1"/>
  <c r="O24" i="10" s="1"/>
  <c r="F25" i="10" s="1"/>
  <c r="O25" i="10" s="1"/>
  <c r="F26" i="10" s="1"/>
  <c r="O26" i="10" s="1"/>
  <c r="F27" i="10" s="1"/>
  <c r="O27" i="10" s="1"/>
  <c r="F28" i="10" s="1"/>
  <c r="O28" i="10" s="1"/>
  <c r="F29" i="10" s="1"/>
  <c r="O29" i="10" s="1"/>
  <c r="F30" i="10" s="1"/>
  <c r="O30" i="10" s="1"/>
  <c r="F31" i="10" s="1"/>
  <c r="O31" i="10" s="1"/>
  <c r="F32" i="10" s="1"/>
  <c r="O32" i="10" s="1"/>
  <c r="F33" i="10" s="1"/>
  <c r="O33" i="10" s="1"/>
  <c r="F34" i="10" s="1"/>
  <c r="O34" i="10" s="1"/>
  <c r="F35" i="10" s="1"/>
  <c r="O35" i="10" s="1"/>
  <c r="F36" i="10" s="1"/>
  <c r="O36" i="10" s="1"/>
  <c r="F37" i="10" s="1"/>
  <c r="O37" i="10" s="1"/>
  <c r="F38" i="10" s="1"/>
  <c r="O38" i="10" s="1"/>
  <c r="F39" i="10" s="1"/>
  <c r="O39" i="10" s="1"/>
  <c r="F40" i="10" s="1"/>
  <c r="O40" i="10" s="1"/>
  <c r="F41" i="10" s="1"/>
  <c r="O41" i="10" s="1"/>
  <c r="F42" i="10" s="1"/>
  <c r="O42" i="10" s="1"/>
  <c r="F43" i="10" s="1"/>
  <c r="O43" i="10" s="1"/>
  <c r="F44" i="10" s="1"/>
  <c r="O44" i="10" s="1"/>
  <c r="F45" i="10" s="1"/>
  <c r="O45" i="10" s="1"/>
  <c r="F46" i="10" s="1"/>
  <c r="O46" i="10" s="1"/>
  <c r="F47" i="10" s="1"/>
  <c r="O47" i="10" s="1"/>
  <c r="F48" i="10" s="1"/>
  <c r="O48" i="10" s="1"/>
  <c r="F49" i="10" s="1"/>
  <c r="O49" i="10" s="1"/>
  <c r="F50" i="10" s="1"/>
  <c r="O50" i="10" s="1"/>
  <c r="F51" i="10" s="1"/>
  <c r="O51" i="10" s="1"/>
  <c r="F52" i="10" s="1"/>
  <c r="O52" i="10" s="1"/>
  <c r="F53" i="10" s="1"/>
  <c r="O53" i="10" s="1"/>
  <c r="F54" i="10" s="1"/>
  <c r="K12" i="9"/>
  <c r="F13" i="9" s="1"/>
  <c r="I54" i="10" l="1"/>
  <c r="H54" i="10" s="1"/>
  <c r="M54" i="10" s="1"/>
  <c r="M5" i="10" s="1"/>
  <c r="O5" i="10" s="1"/>
  <c r="O54" i="10" l="1"/>
  <c r="F55" i="10" s="1"/>
  <c r="O55" i="10" s="1"/>
  <c r="F56" i="10" s="1"/>
  <c r="O56" i="10" s="1"/>
  <c r="F57" i="10" s="1"/>
  <c r="O57" i="10" s="1"/>
  <c r="F58" i="10" s="1"/>
  <c r="O58" i="10" s="1"/>
  <c r="F59" i="10" s="1"/>
  <c r="O59" i="10" s="1"/>
  <c r="F60" i="10" s="1"/>
  <c r="O60" i="10" s="1"/>
  <c r="F61" i="10" s="1"/>
  <c r="O61" i="10" s="1"/>
  <c r="F62" i="10" s="1"/>
  <c r="O62" i="10" s="1"/>
  <c r="F63" i="10" s="1"/>
  <c r="O63" i="10" s="1"/>
  <c r="F64" i="10" s="1"/>
  <c r="O64" i="10" s="1"/>
  <c r="F65" i="10" s="1"/>
  <c r="O65" i="10" s="1"/>
  <c r="F66" i="10" s="1"/>
  <c r="O66" i="10" s="1"/>
  <c r="F67" i="10" s="1"/>
  <c r="O67" i="10" s="1"/>
  <c r="F68" i="10" s="1"/>
  <c r="O68" i="10" s="1"/>
  <c r="F69" i="10" s="1"/>
  <c r="O69" i="10" s="1"/>
  <c r="F70" i="10" s="1"/>
  <c r="O70" i="10" l="1"/>
  <c r="F71" i="10" s="1"/>
  <c r="O71" i="10" l="1"/>
  <c r="F72" i="10" s="1"/>
  <c r="K13" i="9"/>
  <c r="F14" i="9" s="1"/>
  <c r="I72" i="10" l="1"/>
  <c r="H72" i="10" s="1"/>
  <c r="O72" i="10" s="1"/>
  <c r="F73" i="10" s="1"/>
  <c r="H14" i="9"/>
  <c r="I73" i="10" l="1"/>
  <c r="H73" i="10" s="1"/>
  <c r="O73" i="10" s="1"/>
  <c r="F74" i="10" s="1"/>
  <c r="I14" i="9"/>
  <c r="G14" i="9" s="1"/>
  <c r="I74" i="10" l="1"/>
  <c r="H74" i="10" s="1"/>
  <c r="O74" i="10" s="1"/>
  <c r="F75" i="10" s="1"/>
  <c r="K14" i="9"/>
  <c r="F15" i="9" s="1"/>
  <c r="I75" i="10" l="1"/>
  <c r="H75" i="10" s="1"/>
  <c r="O75" i="10" s="1"/>
  <c r="F76" i="10" s="1"/>
  <c r="H15" i="9"/>
  <c r="I76" i="10" l="1"/>
  <c r="H76" i="10" s="1"/>
  <c r="O76" i="10" s="1"/>
  <c r="F77" i="10" s="1"/>
  <c r="I15" i="9"/>
  <c r="G15" i="9" s="1"/>
  <c r="I77" i="10" l="1"/>
  <c r="H77" i="10" s="1"/>
  <c r="O77" i="10" s="1"/>
  <c r="F78" i="10" s="1"/>
  <c r="K15" i="9"/>
  <c r="F16" i="9" s="1"/>
  <c r="I78" i="10" l="1"/>
  <c r="H78" i="10" s="1"/>
  <c r="O78" i="10" s="1"/>
  <c r="F79" i="10" s="1"/>
  <c r="H16" i="9"/>
  <c r="I79" i="10" l="1"/>
  <c r="H79" i="10" s="1"/>
  <c r="O79" i="10" s="1"/>
  <c r="F80" i="10" s="1"/>
  <c r="I16" i="9"/>
  <c r="G16" i="9" s="1"/>
  <c r="K16" i="9" s="1"/>
  <c r="F17" i="9" s="1"/>
  <c r="I80" i="10" l="1"/>
  <c r="H80" i="10" s="1"/>
  <c r="O80" i="10" s="1"/>
  <c r="F81" i="10" s="1"/>
  <c r="H17" i="9"/>
  <c r="I81" i="10" l="1"/>
  <c r="H81" i="10" s="1"/>
  <c r="O81" i="10" s="1"/>
  <c r="F82" i="10" s="1"/>
  <c r="I17" i="9"/>
  <c r="G17" i="9" s="1"/>
  <c r="K17" i="9" s="1"/>
  <c r="F18" i="9" s="1"/>
  <c r="I82" i="10" l="1"/>
  <c r="H82" i="10" s="1"/>
  <c r="O82" i="10" s="1"/>
  <c r="F83" i="10" s="1"/>
  <c r="H18" i="9"/>
  <c r="I83" i="10" l="1"/>
  <c r="H83" i="10" s="1"/>
  <c r="O83" i="10" s="1"/>
  <c r="F84" i="10" s="1"/>
  <c r="I18" i="9"/>
  <c r="G18" i="9" s="1"/>
  <c r="K18" i="9" s="1"/>
  <c r="F19" i="9" s="1"/>
  <c r="I84" i="10" l="1"/>
  <c r="H84" i="10" s="1"/>
  <c r="O84" i="10" s="1"/>
  <c r="F85" i="10" s="1"/>
  <c r="H19" i="9"/>
  <c r="I85" i="10" l="1"/>
  <c r="H85" i="10" s="1"/>
  <c r="O85" i="10" s="1"/>
  <c r="F86" i="10" s="1"/>
  <c r="I19" i="9"/>
  <c r="G19" i="9" s="1"/>
  <c r="K19" i="9" s="1"/>
  <c r="F20" i="9" s="1"/>
  <c r="I86" i="10" l="1"/>
  <c r="H86" i="10" s="1"/>
  <c r="O86" i="10" s="1"/>
  <c r="F87" i="10" s="1"/>
  <c r="H20" i="9"/>
  <c r="I87" i="10" l="1"/>
  <c r="H87" i="10" s="1"/>
  <c r="O87" i="10" s="1"/>
  <c r="F88" i="10" s="1"/>
  <c r="I20" i="9"/>
  <c r="G20" i="9" s="1"/>
  <c r="K20" i="9" s="1"/>
  <c r="F21" i="9" s="1"/>
  <c r="I88" i="10" l="1"/>
  <c r="H88" i="10" s="1"/>
  <c r="O88" i="10" s="1"/>
  <c r="F89" i="10" s="1"/>
  <c r="H21" i="9"/>
  <c r="I89" i="10" l="1"/>
  <c r="H89" i="10" s="1"/>
  <c r="O89" i="10" s="1"/>
  <c r="F90" i="10" s="1"/>
  <c r="I21" i="9"/>
  <c r="G21" i="9" s="1"/>
  <c r="K21" i="9" s="1"/>
  <c r="F22" i="9" s="1"/>
  <c r="I90" i="10" l="1"/>
  <c r="H90" i="10" s="1"/>
  <c r="O90" i="10" s="1"/>
  <c r="F91" i="10" s="1"/>
  <c r="H22" i="9"/>
  <c r="I91" i="10" l="1"/>
  <c r="H91" i="10" s="1"/>
  <c r="O91" i="10" s="1"/>
  <c r="F92" i="10" s="1"/>
  <c r="I22" i="9"/>
  <c r="G22" i="9" s="1"/>
  <c r="K22" i="9" s="1"/>
  <c r="F23" i="9" s="1"/>
  <c r="I92" i="10" l="1"/>
  <c r="H92" i="10" s="1"/>
  <c r="O92" i="10" s="1"/>
  <c r="F93" i="10" s="1"/>
  <c r="H23" i="9"/>
  <c r="I93" i="10" l="1"/>
  <c r="H93" i="10" s="1"/>
  <c r="O93" i="10" s="1"/>
  <c r="F94" i="10" s="1"/>
  <c r="I23" i="9"/>
  <c r="G23" i="9" s="1"/>
  <c r="K23" i="9" s="1"/>
  <c r="F24" i="9" s="1"/>
  <c r="I94" i="10" l="1"/>
  <c r="H94" i="10" s="1"/>
  <c r="O94" i="10" s="1"/>
  <c r="F95" i="10" s="1"/>
  <c r="H24" i="9"/>
  <c r="I95" i="10" l="1"/>
  <c r="H95" i="10" s="1"/>
  <c r="O95" i="10" s="1"/>
  <c r="F96" i="10" s="1"/>
  <c r="I24" i="9"/>
  <c r="G24" i="9" s="1"/>
  <c r="K24" i="9" s="1"/>
  <c r="F25" i="9" s="1"/>
  <c r="I96" i="10" l="1"/>
  <c r="H96" i="10" s="1"/>
  <c r="O96" i="10" s="1"/>
  <c r="F97" i="10" s="1"/>
  <c r="H25" i="9"/>
  <c r="I97" i="10" l="1"/>
  <c r="H97" i="10" s="1"/>
  <c r="O97" i="10" s="1"/>
  <c r="F98" i="10" s="1"/>
  <c r="I25" i="9"/>
  <c r="G25" i="9" s="1"/>
  <c r="K25" i="9" s="1"/>
  <c r="F26" i="9" s="1"/>
  <c r="I98" i="10" l="1"/>
  <c r="H98" i="10" s="1"/>
  <c r="O98" i="10" s="1"/>
  <c r="F99" i="10" s="1"/>
  <c r="H26" i="9"/>
  <c r="I99" i="10" l="1"/>
  <c r="H99" i="10" s="1"/>
  <c r="O99" i="10" s="1"/>
  <c r="F100" i="10" s="1"/>
  <c r="I26" i="9"/>
  <c r="G26" i="9" s="1"/>
  <c r="K26" i="9" s="1"/>
  <c r="F27" i="9" s="1"/>
  <c r="I100" i="10" l="1"/>
  <c r="H100" i="10" s="1"/>
  <c r="O100" i="10" s="1"/>
  <c r="F101" i="10" s="1"/>
  <c r="H27" i="9"/>
  <c r="I101" i="10" l="1"/>
  <c r="H101" i="10" s="1"/>
  <c r="O101" i="10" s="1"/>
  <c r="F102" i="10" s="1"/>
  <c r="I27" i="9"/>
  <c r="G27" i="9" s="1"/>
  <c r="K27" i="9" s="1"/>
  <c r="F28" i="9" s="1"/>
  <c r="I102" i="10" l="1"/>
  <c r="H102" i="10" s="1"/>
  <c r="O102" i="10" s="1"/>
  <c r="F103" i="10" s="1"/>
  <c r="H28" i="9"/>
  <c r="I103" i="10" l="1"/>
  <c r="H103" i="10" s="1"/>
  <c r="O103" i="10" s="1"/>
  <c r="F104" i="10" s="1"/>
  <c r="I28" i="9"/>
  <c r="G28" i="9" s="1"/>
  <c r="K28" i="9" s="1"/>
  <c r="F29" i="9" s="1"/>
  <c r="I104" i="10" l="1"/>
  <c r="H104" i="10" s="1"/>
  <c r="O104" i="10" s="1"/>
  <c r="F105" i="10" s="1"/>
  <c r="H29" i="9"/>
  <c r="I105" i="10" l="1"/>
  <c r="H105" i="10" s="1"/>
  <c r="O105" i="10" s="1"/>
  <c r="F106" i="10" s="1"/>
  <c r="I29" i="9"/>
  <c r="G29" i="9" s="1"/>
  <c r="K29" i="9" s="1"/>
  <c r="F30" i="9" s="1"/>
  <c r="I106" i="10" l="1"/>
  <c r="H106" i="10" s="1"/>
  <c r="O106" i="10" s="1"/>
  <c r="F107" i="10" s="1"/>
  <c r="H30" i="9"/>
  <c r="I107" i="10" l="1"/>
  <c r="H107" i="10" s="1"/>
  <c r="O107" i="10" s="1"/>
  <c r="F108" i="10" s="1"/>
  <c r="I30" i="9"/>
  <c r="G30" i="9" s="1"/>
  <c r="K30" i="9" s="1"/>
  <c r="F31" i="9" s="1"/>
  <c r="I108" i="10" l="1"/>
  <c r="H108" i="10" s="1"/>
  <c r="O108" i="10" s="1"/>
  <c r="F109" i="10" s="1"/>
  <c r="H31" i="9"/>
  <c r="I109" i="10" l="1"/>
  <c r="H109" i="10" s="1"/>
  <c r="O109" i="10" s="1"/>
  <c r="F110" i="10" s="1"/>
  <c r="I31" i="9"/>
  <c r="G31" i="9" s="1"/>
  <c r="K31" i="9" s="1"/>
  <c r="F32" i="9" s="1"/>
  <c r="I110" i="10" l="1"/>
  <c r="H110" i="10" s="1"/>
  <c r="O110" i="10" s="1"/>
  <c r="F111" i="10" s="1"/>
  <c r="H32" i="9"/>
  <c r="I111" i="10" l="1"/>
  <c r="H111" i="10" s="1"/>
  <c r="O111" i="10" s="1"/>
  <c r="F112" i="10" s="1"/>
  <c r="I32" i="9"/>
  <c r="G32" i="9" s="1"/>
  <c r="K32" i="9" s="1"/>
  <c r="F33" i="9" s="1"/>
  <c r="I112" i="10" l="1"/>
  <c r="H112" i="10" s="1"/>
  <c r="O112" i="10" s="1"/>
  <c r="F113" i="10" s="1"/>
  <c r="H33" i="9"/>
  <c r="I113" i="10" l="1"/>
  <c r="H113" i="10" s="1"/>
  <c r="O113" i="10" s="1"/>
  <c r="F114" i="10" s="1"/>
  <c r="I33" i="9"/>
  <c r="G33" i="9" s="1"/>
  <c r="K33" i="9" s="1"/>
  <c r="F34" i="9" s="1"/>
  <c r="I114" i="10" l="1"/>
  <c r="H114" i="10" s="1"/>
  <c r="O114" i="10" s="1"/>
  <c r="F115" i="10" s="1"/>
  <c r="H34" i="9"/>
  <c r="I115" i="10" l="1"/>
  <c r="H115" i="10" s="1"/>
  <c r="O115" i="10" s="1"/>
  <c r="F116" i="10" s="1"/>
  <c r="I34" i="9"/>
  <c r="G34" i="9"/>
  <c r="K34" i="9" s="1"/>
  <c r="F35" i="9" s="1"/>
  <c r="I116" i="10" l="1"/>
  <c r="H116" i="10" s="1"/>
  <c r="O116" i="10" s="1"/>
  <c r="F117" i="10" s="1"/>
  <c r="H35" i="9"/>
  <c r="I117" i="10" l="1"/>
  <c r="H117" i="10" s="1"/>
  <c r="O117" i="10" s="1"/>
  <c r="F118" i="10" s="1"/>
  <c r="I35" i="9"/>
  <c r="G35" i="9" s="1"/>
  <c r="K35" i="9" s="1"/>
  <c r="F36" i="9" s="1"/>
  <c r="I118" i="10" l="1"/>
  <c r="H118" i="10" s="1"/>
  <c r="O118" i="10" s="1"/>
  <c r="F119" i="10" s="1"/>
  <c r="H36" i="9"/>
  <c r="I119" i="10" l="1"/>
  <c r="H119" i="10" s="1"/>
  <c r="O119" i="10" s="1"/>
  <c r="F120" i="10" s="1"/>
  <c r="I36" i="9"/>
  <c r="G36" i="9" s="1"/>
  <c r="K36" i="9" s="1"/>
  <c r="F37" i="9" s="1"/>
  <c r="I120" i="10" l="1"/>
  <c r="O120" i="10"/>
  <c r="H37" i="9"/>
  <c r="I37" i="9" l="1"/>
  <c r="G37" i="9" s="1"/>
  <c r="K37" i="9" s="1"/>
  <c r="F38" i="9" s="1"/>
  <c r="H38" i="9" l="1"/>
  <c r="I38" i="9" l="1"/>
  <c r="G38" i="9" s="1"/>
  <c r="K38" i="9" s="1"/>
  <c r="F39" i="9" s="1"/>
  <c r="H39" i="9" l="1"/>
  <c r="I39" i="9" l="1"/>
  <c r="G39" i="9" s="1"/>
  <c r="K39" i="9" s="1"/>
  <c r="F40" i="9" s="1"/>
  <c r="H40" i="9" l="1"/>
  <c r="I40" i="9" l="1"/>
  <c r="G40" i="9" s="1"/>
  <c r="K40" i="9" s="1"/>
  <c r="F41" i="9" s="1"/>
  <c r="H41" i="9" l="1"/>
  <c r="I41" i="9" l="1"/>
  <c r="G41" i="9" s="1"/>
  <c r="K41" i="9" s="1"/>
  <c r="F42" i="9" s="1"/>
  <c r="H42" i="9" l="1"/>
  <c r="I42" i="9" l="1"/>
  <c r="G42" i="9" s="1"/>
  <c r="K42" i="9" s="1"/>
  <c r="F43" i="9" s="1"/>
  <c r="H43" i="9" l="1"/>
  <c r="I43" i="9" l="1"/>
  <c r="G43" i="9" s="1"/>
  <c r="K43" i="9" s="1"/>
  <c r="F44" i="9" s="1"/>
  <c r="H44" i="9" l="1"/>
  <c r="I44" i="9" l="1"/>
  <c r="G44" i="9" s="1"/>
  <c r="K44" i="9" s="1"/>
  <c r="F45" i="9" s="1"/>
  <c r="H45" i="9" l="1"/>
  <c r="I45" i="9" l="1"/>
  <c r="G45" i="9" s="1"/>
  <c r="K45" i="9" s="1"/>
  <c r="F46" i="9" s="1"/>
  <c r="H46" i="9" l="1"/>
  <c r="I46" i="9" l="1"/>
  <c r="G46" i="9" s="1"/>
  <c r="K46" i="9" s="1"/>
  <c r="F47" i="9" s="1"/>
  <c r="H47" i="9" l="1"/>
  <c r="I47" i="9" l="1"/>
  <c r="G47" i="9" s="1"/>
  <c r="K47" i="9" s="1"/>
  <c r="F48" i="9" s="1"/>
  <c r="H48" i="9" l="1"/>
  <c r="I48" i="9" l="1"/>
  <c r="G48" i="9" s="1"/>
  <c r="K48" i="9" s="1"/>
  <c r="F49" i="9" s="1"/>
  <c r="H49" i="9" l="1"/>
  <c r="I49" i="9" l="1"/>
  <c r="G49" i="9" s="1"/>
  <c r="K49" i="9" s="1"/>
  <c r="F50" i="9" s="1"/>
  <c r="H50" i="9" l="1"/>
  <c r="I50" i="9" l="1"/>
  <c r="G50" i="9" s="1"/>
  <c r="K50" i="9" s="1"/>
  <c r="F51" i="9" s="1"/>
  <c r="H51" i="9" l="1"/>
  <c r="I51" i="9" l="1"/>
  <c r="G51" i="9" s="1"/>
  <c r="K51" i="9" s="1"/>
  <c r="F52" i="9" s="1"/>
  <c r="H52" i="9" l="1"/>
  <c r="I52" i="9" l="1"/>
  <c r="G52" i="9" s="1"/>
  <c r="K52" i="9" s="1"/>
  <c r="F53" i="9" s="1"/>
  <c r="H53" i="9" l="1"/>
  <c r="I53" i="9" l="1"/>
  <c r="G53" i="9" s="1"/>
  <c r="K53" i="9" s="1"/>
  <c r="F54" i="9" s="1"/>
  <c r="H54" i="9" l="1"/>
  <c r="I54" i="9" l="1"/>
  <c r="G54" i="9" s="1"/>
  <c r="K54" i="9" s="1"/>
  <c r="F55" i="9" s="1"/>
  <c r="H55" i="9" l="1"/>
  <c r="I55" i="9" l="1"/>
  <c r="G55" i="9" s="1"/>
  <c r="K55" i="9" s="1"/>
  <c r="F56" i="9" s="1"/>
  <c r="H56" i="9" l="1"/>
  <c r="I56" i="9" l="1"/>
  <c r="G56" i="9" s="1"/>
  <c r="K56" i="9" s="1"/>
  <c r="F57" i="9" s="1"/>
  <c r="H57" i="9" l="1"/>
  <c r="I57" i="9" l="1"/>
  <c r="G57" i="9" s="1"/>
  <c r="K57" i="9" s="1"/>
  <c r="F58" i="9" s="1"/>
  <c r="H58" i="9" l="1"/>
  <c r="I58" i="9" l="1"/>
  <c r="G58" i="9" s="1"/>
  <c r="K58" i="9" s="1"/>
  <c r="F59" i="9" s="1"/>
  <c r="H59" i="9" l="1"/>
  <c r="I59" i="9" l="1"/>
  <c r="G59" i="9" s="1"/>
  <c r="K59" i="9" s="1"/>
  <c r="F60" i="9" s="1"/>
  <c r="H60" i="9" l="1"/>
  <c r="I60" i="9" l="1"/>
  <c r="G60" i="9" s="1"/>
  <c r="K60" i="9" s="1"/>
  <c r="F61" i="9" s="1"/>
  <c r="H61" i="9" l="1"/>
  <c r="I61" i="9" l="1"/>
  <c r="G61" i="9" s="1"/>
  <c r="K61" i="9" s="1"/>
  <c r="F62" i="9" s="1"/>
  <c r="H62" i="9" l="1"/>
  <c r="I62" i="9" l="1"/>
  <c r="G62" i="9"/>
  <c r="K62" i="9" s="1"/>
  <c r="F63" i="9" s="1"/>
  <c r="H63" i="9" l="1"/>
  <c r="I63" i="9" l="1"/>
  <c r="G63" i="9" s="1"/>
  <c r="K63" i="9" s="1"/>
  <c r="F64" i="9" s="1"/>
  <c r="H64" i="9" l="1"/>
  <c r="I64" i="9" l="1"/>
  <c r="G64" i="9" s="1"/>
  <c r="K64" i="9" s="1"/>
  <c r="F65" i="9" s="1"/>
  <c r="H65" i="9" l="1"/>
  <c r="I65" i="9" l="1"/>
  <c r="G65" i="9" s="1"/>
  <c r="K65" i="9" s="1"/>
  <c r="F66" i="9" s="1"/>
  <c r="H66" i="9" l="1"/>
  <c r="I66" i="9" l="1"/>
  <c r="G66" i="9" s="1"/>
  <c r="K66" i="9" s="1"/>
  <c r="F67" i="9" s="1"/>
  <c r="H67" i="9" l="1"/>
  <c r="I67" i="9" l="1"/>
  <c r="G67" i="9" s="1"/>
  <c r="K67" i="9" s="1"/>
  <c r="F68" i="9" s="1"/>
  <c r="H68" i="9" l="1"/>
  <c r="I68" i="9" l="1"/>
  <c r="G68" i="9" s="1"/>
  <c r="K68" i="9" s="1"/>
  <c r="F69" i="9" s="1"/>
  <c r="H69" i="9" l="1"/>
  <c r="I69" i="9" l="1"/>
  <c r="G69" i="9" s="1"/>
  <c r="K69" i="9" s="1"/>
  <c r="F70" i="9" s="1"/>
  <c r="H70" i="9" l="1"/>
  <c r="I70" i="9" l="1"/>
  <c r="G70" i="9"/>
  <c r="K70" i="9" s="1"/>
  <c r="F71" i="9" s="1"/>
  <c r="K15" i="4"/>
  <c r="H71" i="9" l="1"/>
  <c r="D15" i="8"/>
  <c r="D14" i="8"/>
  <c r="D13" i="8"/>
  <c r="D12" i="8"/>
  <c r="D11" i="8"/>
  <c r="D10" i="8"/>
  <c r="D9" i="8"/>
  <c r="D8" i="8"/>
  <c r="D7" i="8"/>
  <c r="D6" i="8"/>
  <c r="D5" i="8"/>
  <c r="I71" i="9" l="1"/>
  <c r="G71" i="9" s="1"/>
  <c r="K71" i="9" s="1"/>
  <c r="F72" i="9" s="1"/>
  <c r="D17" i="8"/>
  <c r="B4" i="7"/>
  <c r="F100" i="5"/>
  <c r="F99" i="5"/>
  <c r="F98" i="5"/>
  <c r="F97" i="5"/>
  <c r="F96" i="5"/>
  <c r="F95" i="5"/>
  <c r="F94" i="5"/>
  <c r="F93" i="5"/>
  <c r="F92" i="5"/>
  <c r="F91" i="5"/>
  <c r="F90" i="5"/>
  <c r="F86" i="5"/>
  <c r="F84" i="5"/>
  <c r="F83" i="5"/>
  <c r="G83" i="5" s="1"/>
  <c r="F81" i="5"/>
  <c r="F80" i="5"/>
  <c r="F79" i="5"/>
  <c r="F78" i="5"/>
  <c r="F77" i="5"/>
  <c r="F76" i="5"/>
  <c r="F75" i="5"/>
  <c r="F74" i="5"/>
  <c r="F73" i="5"/>
  <c r="F72" i="5"/>
  <c r="F71" i="5"/>
  <c r="G71" i="5" s="1"/>
  <c r="F69" i="5"/>
  <c r="F68" i="5"/>
  <c r="F62" i="5"/>
  <c r="F58" i="5"/>
  <c r="F57" i="5"/>
  <c r="F53" i="5"/>
  <c r="F52" i="5"/>
  <c r="F51" i="5"/>
  <c r="F47" i="5"/>
  <c r="F46" i="5"/>
  <c r="F45" i="5"/>
  <c r="F44" i="5"/>
  <c r="F43" i="5"/>
  <c r="F42" i="5"/>
  <c r="F38" i="5"/>
  <c r="F37" i="5"/>
  <c r="F36" i="5"/>
  <c r="F35" i="5"/>
  <c r="F31" i="5"/>
  <c r="F30" i="5"/>
  <c r="F26" i="5"/>
  <c r="F25" i="5"/>
  <c r="F24" i="5"/>
  <c r="F23" i="5"/>
  <c r="F22" i="5"/>
  <c r="F21" i="5"/>
  <c r="F20" i="5"/>
  <c r="F16" i="5"/>
  <c r="F15" i="5"/>
  <c r="F13" i="5"/>
  <c r="D89" i="5"/>
  <c r="C89" i="5"/>
  <c r="D67" i="5"/>
  <c r="C67" i="5"/>
  <c r="D61" i="5"/>
  <c r="C61" i="5"/>
  <c r="D56" i="5"/>
  <c r="C56" i="5"/>
  <c r="D50" i="5"/>
  <c r="C50" i="5"/>
  <c r="D41" i="5"/>
  <c r="C41" i="5"/>
  <c r="D34" i="5"/>
  <c r="C34" i="5"/>
  <c r="G29" i="5"/>
  <c r="D29" i="5"/>
  <c r="C29" i="5"/>
  <c r="D19" i="5"/>
  <c r="C19" i="5"/>
  <c r="C12" i="5"/>
  <c r="E10" i="5"/>
  <c r="E70" i="5" s="1"/>
  <c r="G70" i="5" s="1"/>
  <c r="D7" i="5"/>
  <c r="C7" i="5"/>
  <c r="H6" i="5"/>
  <c r="D5" i="4"/>
  <c r="K12" i="4"/>
  <c r="E15" i="4"/>
  <c r="E14" i="4"/>
  <c r="E11" i="4"/>
  <c r="B26" i="4"/>
  <c r="I25" i="4"/>
  <c r="B25" i="4"/>
  <c r="C5" i="1"/>
  <c r="I239" i="1"/>
  <c r="I194" i="1"/>
  <c r="I114" i="1"/>
  <c r="I102" i="1"/>
  <c r="G93" i="1"/>
  <c r="G92" i="1"/>
  <c r="I86" i="1"/>
  <c r="H37" i="1"/>
  <c r="I11" i="4" s="1"/>
  <c r="H15" i="1"/>
  <c r="I13" i="4" s="1"/>
  <c r="H12" i="1"/>
  <c r="H10" i="1"/>
  <c r="E98" i="5" l="1"/>
  <c r="G98" i="5" s="1"/>
  <c r="G85" i="5"/>
  <c r="I14" i="4"/>
  <c r="K13" i="4"/>
  <c r="K14" i="4"/>
  <c r="I5" i="1"/>
  <c r="H5" i="1"/>
  <c r="H72" i="9"/>
  <c r="F14" i="5"/>
  <c r="F12" i="5" s="1"/>
  <c r="I12" i="4"/>
  <c r="E13" i="4"/>
  <c r="F64" i="5"/>
  <c r="E12" i="4"/>
  <c r="F63" i="5"/>
  <c r="D8" i="5"/>
  <c r="D9" i="5" s="1"/>
  <c r="C8" i="5"/>
  <c r="C9" i="5" s="1"/>
  <c r="F89" i="5"/>
  <c r="F67" i="5"/>
  <c r="F56" i="5"/>
  <c r="F50" i="5"/>
  <c r="F41" i="5"/>
  <c r="F34" i="5"/>
  <c r="F29" i="5"/>
  <c r="F19" i="5"/>
  <c r="E52" i="5"/>
  <c r="G52" i="5" s="1"/>
  <c r="E76" i="5"/>
  <c r="G76" i="5" s="1"/>
  <c r="E93" i="5"/>
  <c r="G93" i="5" s="1"/>
  <c r="E13" i="5"/>
  <c r="E25" i="5"/>
  <c r="G25" i="5" s="1"/>
  <c r="E43" i="5"/>
  <c r="G43" i="5" s="1"/>
  <c r="E63" i="5"/>
  <c r="E79" i="5"/>
  <c r="G79" i="5" s="1"/>
  <c r="E96" i="5"/>
  <c r="G96" i="5" s="1"/>
  <c r="E22" i="5"/>
  <c r="G22" i="5" s="1"/>
  <c r="E16" i="5"/>
  <c r="G16" i="5" s="1"/>
  <c r="E20" i="5"/>
  <c r="E46" i="5"/>
  <c r="G46" i="5" s="1"/>
  <c r="E99" i="5"/>
  <c r="G99" i="5" s="1"/>
  <c r="E23" i="5"/>
  <c r="G23" i="5" s="1"/>
  <c r="E37" i="5"/>
  <c r="G37" i="5" s="1"/>
  <c r="E53" i="5"/>
  <c r="G53" i="5" s="1"/>
  <c r="E57" i="5"/>
  <c r="E77" i="5"/>
  <c r="G77" i="5" s="1"/>
  <c r="E94" i="5"/>
  <c r="G94" i="5" s="1"/>
  <c r="E14" i="5"/>
  <c r="E26" i="5"/>
  <c r="G26" i="5" s="1"/>
  <c r="E30" i="5"/>
  <c r="E44" i="5"/>
  <c r="G44" i="5" s="1"/>
  <c r="E64" i="5"/>
  <c r="E68" i="5"/>
  <c r="E72" i="5"/>
  <c r="G72" i="5" s="1"/>
  <c r="E80" i="5"/>
  <c r="G80" i="5" s="1"/>
  <c r="E84" i="5"/>
  <c r="G84" i="5" s="1"/>
  <c r="E97" i="5"/>
  <c r="G97" i="5" s="1"/>
  <c r="E91" i="5"/>
  <c r="G91" i="5" s="1"/>
  <c r="E47" i="5"/>
  <c r="G47" i="5" s="1"/>
  <c r="E51" i="5"/>
  <c r="E75" i="5"/>
  <c r="G75" i="5" s="1"/>
  <c r="E92" i="5"/>
  <c r="G92" i="5" s="1"/>
  <c r="E100" i="5"/>
  <c r="G100" i="5" s="1"/>
  <c r="E36" i="5"/>
  <c r="G36" i="5" s="1"/>
  <c r="E74" i="5"/>
  <c r="G74" i="5" s="1"/>
  <c r="E21" i="5"/>
  <c r="G21" i="5" s="1"/>
  <c r="E35" i="5"/>
  <c r="E24" i="5"/>
  <c r="G24" i="5" s="1"/>
  <c r="E31" i="5"/>
  <c r="E38" i="5"/>
  <c r="G38" i="5" s="1"/>
  <c r="E42" i="5"/>
  <c r="E58" i="5"/>
  <c r="G58" i="5" s="1"/>
  <c r="E62" i="5"/>
  <c r="E78" i="5"/>
  <c r="G78" i="5" s="1"/>
  <c r="E95" i="5"/>
  <c r="G95" i="5" s="1"/>
  <c r="E15" i="5"/>
  <c r="G15" i="5" s="1"/>
  <c r="E45" i="5"/>
  <c r="G45" i="5" s="1"/>
  <c r="E69" i="5"/>
  <c r="G69" i="5" s="1"/>
  <c r="E73" i="5"/>
  <c r="G73" i="5" s="1"/>
  <c r="E81" i="5"/>
  <c r="G81" i="5" s="1"/>
  <c r="E86" i="5"/>
  <c r="G86" i="5" s="1"/>
  <c r="E90" i="5"/>
  <c r="G5" i="1"/>
  <c r="I16" i="4" l="1"/>
  <c r="I4" i="1"/>
  <c r="I72" i="9"/>
  <c r="G72" i="9" s="1"/>
  <c r="K72" i="9" s="1"/>
  <c r="F73" i="9" s="1"/>
  <c r="F7" i="5"/>
  <c r="G14" i="5"/>
  <c r="E16" i="4"/>
  <c r="F61" i="5"/>
  <c r="F8" i="5" s="1"/>
  <c r="G63" i="5"/>
  <c r="G64" i="5"/>
  <c r="G68" i="5"/>
  <c r="G67" i="5" s="1"/>
  <c r="E67" i="5"/>
  <c r="G35" i="5"/>
  <c r="G34" i="5" s="1"/>
  <c r="E34" i="5"/>
  <c r="G51" i="5"/>
  <c r="G50" i="5" s="1"/>
  <c r="E50" i="5"/>
  <c r="E89" i="5"/>
  <c r="G90" i="5"/>
  <c r="G89" i="5" s="1"/>
  <c r="E61" i="5"/>
  <c r="G62" i="5"/>
  <c r="E29" i="5"/>
  <c r="G57" i="5"/>
  <c r="G56" i="5" s="1"/>
  <c r="E56" i="5"/>
  <c r="E41" i="5"/>
  <c r="G42" i="5"/>
  <c r="G41" i="5" s="1"/>
  <c r="E19" i="5"/>
  <c r="G20" i="5"/>
  <c r="G19" i="5" s="1"/>
  <c r="E7" i="5"/>
  <c r="E12" i="5"/>
  <c r="G13" i="5"/>
  <c r="E19" i="4" l="1"/>
  <c r="I18" i="4"/>
  <c r="K18" i="4" s="1"/>
  <c r="H73" i="9"/>
  <c r="F9" i="5"/>
  <c r="G61" i="5"/>
  <c r="G8" i="5" s="1"/>
  <c r="E8" i="5"/>
  <c r="E9" i="5" s="1"/>
  <c r="G12" i="5"/>
  <c r="G7" i="5"/>
  <c r="I73" i="9" l="1"/>
  <c r="G73" i="9" s="1"/>
  <c r="K73" i="9" s="1"/>
  <c r="F74" i="9" s="1"/>
  <c r="G9" i="5"/>
  <c r="H74" i="9" l="1"/>
  <c r="I74" i="9" l="1"/>
  <c r="G74" i="9"/>
  <c r="K74" i="9" s="1"/>
  <c r="F75" i="9" s="1"/>
  <c r="H75" i="9" l="1"/>
  <c r="I75" i="9" l="1"/>
  <c r="G75" i="9" s="1"/>
  <c r="K75" i="9" s="1"/>
  <c r="F76" i="9" s="1"/>
  <c r="H76" i="9" l="1"/>
  <c r="I76" i="9" l="1"/>
  <c r="G76" i="9" s="1"/>
  <c r="K76" i="9" s="1"/>
  <c r="F77" i="9" s="1"/>
  <c r="H77" i="9" l="1"/>
  <c r="I77" i="9" l="1"/>
  <c r="G77" i="9" s="1"/>
  <c r="G5" i="9" l="1"/>
  <c r="K77" i="9"/>
  <c r="F78" i="9" s="1"/>
  <c r="K78" i="9" l="1"/>
  <c r="F79" i="9" s="1"/>
  <c r="H78" i="9"/>
  <c r="I78" i="9" s="1"/>
  <c r="K79" i="9" l="1"/>
  <c r="H79" i="9"/>
  <c r="I79" i="9" l="1"/>
  <c r="I5" i="9" s="1"/>
  <c r="H5" i="9"/>
  <c r="I5" i="11" l="1"/>
  <c r="G9" i="11"/>
  <c r="K9" i="11" s="1"/>
  <c r="F10" i="11" s="1"/>
  <c r="H10" i="11" s="1"/>
  <c r="G10" i="11" s="1"/>
  <c r="K10" i="11" l="1"/>
  <c r="F11" i="11" s="1"/>
  <c r="H11" i="11" s="1"/>
  <c r="G11" i="11" s="1"/>
  <c r="K11" i="11" l="1"/>
  <c r="F12" i="11" s="1"/>
  <c r="H12" i="11" s="1"/>
  <c r="G12" i="11" s="1"/>
  <c r="K12" i="11" l="1"/>
  <c r="F13" i="11" s="1"/>
  <c r="H13" i="11" s="1"/>
  <c r="G13" i="11" s="1"/>
  <c r="K13" i="11" l="1"/>
  <c r="F14" i="11" s="1"/>
  <c r="H14" i="11" s="1"/>
  <c r="G14" i="11" s="1"/>
  <c r="K14" i="11" l="1"/>
  <c r="F15" i="11" s="1"/>
  <c r="H15" i="11" s="1"/>
  <c r="G15" i="11" s="1"/>
  <c r="K15" i="11" l="1"/>
  <c r="F16" i="11" s="1"/>
  <c r="H16" i="11" s="1"/>
  <c r="G16" i="11" s="1"/>
  <c r="K16" i="11" l="1"/>
  <c r="F17" i="11" s="1"/>
  <c r="H17" i="11" s="1"/>
  <c r="G17" i="11" s="1"/>
  <c r="K17" i="11" l="1"/>
  <c r="F18" i="11" s="1"/>
  <c r="H18" i="11" s="1"/>
  <c r="G18" i="11" s="1"/>
  <c r="K18" i="11" l="1"/>
  <c r="F19" i="11" s="1"/>
  <c r="H19" i="11" s="1"/>
  <c r="G19" i="11" s="1"/>
  <c r="K19" i="11" l="1"/>
  <c r="F20" i="11" s="1"/>
  <c r="H20" i="11" s="1"/>
  <c r="G20" i="11" s="1"/>
  <c r="K20" i="11" l="1"/>
  <c r="F21" i="11" s="1"/>
  <c r="H21" i="11" s="1"/>
  <c r="G21" i="11" s="1"/>
  <c r="K21" i="11" l="1"/>
  <c r="F22" i="11" s="1"/>
  <c r="H22" i="11" s="1"/>
  <c r="G22" i="11" s="1"/>
  <c r="K22" i="11" l="1"/>
  <c r="F23" i="11" s="1"/>
  <c r="H23" i="11" s="1"/>
  <c r="G23" i="11" s="1"/>
  <c r="K23" i="11" l="1"/>
  <c r="F24" i="11" s="1"/>
  <c r="H24" i="11" s="1"/>
  <c r="G24" i="11" s="1"/>
  <c r="K24" i="11" l="1"/>
  <c r="F25" i="11" s="1"/>
  <c r="H25" i="11" s="1"/>
  <c r="G25" i="11" s="1"/>
  <c r="K25" i="11" l="1"/>
  <c r="F26" i="11" s="1"/>
  <c r="H26" i="11" s="1"/>
  <c r="G26" i="11" s="1"/>
  <c r="K26" i="11" l="1"/>
  <c r="F27" i="11" s="1"/>
  <c r="H27" i="11" s="1"/>
  <c r="G27" i="11" s="1"/>
  <c r="K27" i="11" l="1"/>
  <c r="F28" i="11" s="1"/>
  <c r="H28" i="11" s="1"/>
  <c r="G28" i="11" s="1"/>
  <c r="K28" i="11" l="1"/>
  <c r="F29" i="11" s="1"/>
  <c r="H29" i="11" s="1"/>
  <c r="G29" i="11" s="1"/>
  <c r="K29" i="11" l="1"/>
  <c r="F30" i="11" s="1"/>
  <c r="H30" i="11" s="1"/>
  <c r="G30" i="11" s="1"/>
  <c r="K30" i="11" l="1"/>
  <c r="F31" i="11" s="1"/>
  <c r="H31" i="11" s="1"/>
  <c r="G31" i="11" s="1"/>
  <c r="K31" i="11" l="1"/>
  <c r="F32" i="11" s="1"/>
  <c r="H32" i="11" s="1"/>
  <c r="G32" i="11" s="1"/>
  <c r="K32" i="11" l="1"/>
  <c r="F33" i="11" s="1"/>
  <c r="H33" i="11" s="1"/>
  <c r="G33" i="11" s="1"/>
  <c r="K33" i="11" l="1"/>
  <c r="F34" i="11" s="1"/>
  <c r="H34" i="11" s="1"/>
  <c r="G34" i="11" s="1"/>
  <c r="K34" i="11" l="1"/>
  <c r="F35" i="11" s="1"/>
  <c r="H35" i="11" s="1"/>
  <c r="G35" i="11" s="1"/>
  <c r="K35" i="11" l="1"/>
  <c r="F36" i="11" s="1"/>
  <c r="H36" i="11" s="1"/>
  <c r="G36" i="11" s="1"/>
  <c r="K36" i="11" l="1"/>
  <c r="F37" i="11" s="1"/>
  <c r="H37" i="11" s="1"/>
  <c r="G37" i="11" s="1"/>
  <c r="K37" i="11" l="1"/>
  <c r="F38" i="11" s="1"/>
  <c r="H38" i="11" s="1"/>
  <c r="G38" i="11" s="1"/>
  <c r="K38" i="11" l="1"/>
  <c r="F39" i="11" s="1"/>
  <c r="H39" i="11" s="1"/>
  <c r="G39" i="11" s="1"/>
  <c r="K39" i="11" l="1"/>
  <c r="F40" i="11" s="1"/>
  <c r="H40" i="11" s="1"/>
  <c r="G40" i="11" s="1"/>
  <c r="K40" i="11" l="1"/>
  <c r="F41" i="11" s="1"/>
  <c r="H41" i="11" s="1"/>
  <c r="G41" i="11" s="1"/>
  <c r="K41" i="11" l="1"/>
  <c r="F42" i="11" s="1"/>
  <c r="H42" i="11" s="1"/>
  <c r="G42" i="11" s="1"/>
  <c r="K42" i="11" l="1"/>
  <c r="F43" i="11" s="1"/>
  <c r="H43" i="11" s="1"/>
  <c r="G43" i="11" s="1"/>
  <c r="K43" i="11" l="1"/>
  <c r="F44" i="11" s="1"/>
  <c r="H44" i="11" s="1"/>
  <c r="G44" i="11" s="1"/>
  <c r="K44" i="11" l="1"/>
  <c r="F45" i="11" s="1"/>
  <c r="H45" i="11" s="1"/>
  <c r="G45" i="11" s="1"/>
  <c r="K45" i="11" l="1"/>
  <c r="F46" i="11" s="1"/>
  <c r="H46" i="11" s="1"/>
  <c r="G46" i="11" s="1"/>
  <c r="K46" i="11" l="1"/>
  <c r="F47" i="11" s="1"/>
  <c r="H47" i="11" s="1"/>
  <c r="G47" i="11" s="1"/>
  <c r="K47" i="11" l="1"/>
  <c r="F48" i="11" s="1"/>
  <c r="H48" i="11" s="1"/>
  <c r="G48" i="11" s="1"/>
  <c r="K48" i="11" l="1"/>
  <c r="F49" i="11" s="1"/>
  <c r="H49" i="11" s="1"/>
  <c r="G49" i="11" s="1"/>
  <c r="K49" i="11" l="1"/>
  <c r="F50" i="11" s="1"/>
  <c r="H50" i="11" s="1"/>
  <c r="G50" i="11" s="1"/>
  <c r="K50" i="11" l="1"/>
  <c r="F51" i="11" s="1"/>
  <c r="H51" i="11" s="1"/>
  <c r="G51" i="11" s="1"/>
  <c r="K51" i="11" l="1"/>
  <c r="F52" i="11" s="1"/>
  <c r="H52" i="11" s="1"/>
  <c r="G52" i="11" s="1"/>
  <c r="K52" i="11" l="1"/>
  <c r="F53" i="11" s="1"/>
  <c r="H53" i="11" s="1"/>
  <c r="G53" i="11" s="1"/>
  <c r="K53" i="11" l="1"/>
  <c r="F54" i="11" s="1"/>
  <c r="H54" i="11" s="1"/>
  <c r="G54" i="11" s="1"/>
  <c r="K54" i="11" l="1"/>
  <c r="F55" i="11" s="1"/>
  <c r="H55" i="11" s="1"/>
  <c r="G55" i="11" s="1"/>
  <c r="K55" i="11" l="1"/>
  <c r="F56" i="11" s="1"/>
  <c r="H56" i="11" s="1"/>
  <c r="G56" i="11" s="1"/>
  <c r="K56" i="11" l="1"/>
  <c r="F57" i="11" s="1"/>
  <c r="H57" i="11" s="1"/>
  <c r="G57" i="11" s="1"/>
  <c r="K57" i="11" l="1"/>
  <c r="F58" i="11" s="1"/>
  <c r="H58" i="11" s="1"/>
  <c r="G58" i="11" s="1"/>
  <c r="K58" i="11" l="1"/>
  <c r="F59" i="11" s="1"/>
  <c r="H59" i="11" s="1"/>
  <c r="G59" i="11" s="1"/>
  <c r="K59" i="11" l="1"/>
  <c r="F60" i="11" s="1"/>
  <c r="H60" i="11" s="1"/>
  <c r="G60" i="11" s="1"/>
  <c r="K60" i="11" l="1"/>
  <c r="F61" i="11" s="1"/>
  <c r="H61" i="11" s="1"/>
  <c r="G61" i="11" s="1"/>
  <c r="K61" i="11" l="1"/>
  <c r="F62" i="11" s="1"/>
  <c r="H62" i="11" s="1"/>
  <c r="G62" i="11" s="1"/>
  <c r="K62" i="11" l="1"/>
  <c r="F63" i="11" s="1"/>
  <c r="H63" i="11" s="1"/>
  <c r="G63" i="11" s="1"/>
  <c r="K63" i="11" l="1"/>
  <c r="F64" i="11" s="1"/>
  <c r="H64" i="11" s="1"/>
  <c r="G64" i="11" s="1"/>
  <c r="K64" i="11" l="1"/>
  <c r="F65" i="11" s="1"/>
  <c r="H65" i="11" s="1"/>
  <c r="G65" i="11" s="1"/>
  <c r="K65" i="11" l="1"/>
  <c r="F66" i="11" s="1"/>
  <c r="H66" i="11" s="1"/>
  <c r="G66" i="11" s="1"/>
  <c r="K66" i="11" l="1"/>
  <c r="F67" i="11" s="1"/>
  <c r="H67" i="11" s="1"/>
  <c r="G67" i="11" s="1"/>
  <c r="K67" i="11" l="1"/>
  <c r="F68" i="11" s="1"/>
  <c r="H68" i="11" s="1"/>
  <c r="G68" i="11" s="1"/>
  <c r="K68" i="11" l="1"/>
  <c r="F69" i="11" s="1"/>
  <c r="H69" i="11" s="1"/>
  <c r="G69" i="11" s="1"/>
  <c r="K69" i="11" l="1"/>
  <c r="F70" i="11" s="1"/>
  <c r="H70" i="11" s="1"/>
  <c r="G70" i="11" s="1"/>
  <c r="K70" i="11" l="1"/>
  <c r="F71" i="11" s="1"/>
  <c r="H71" i="11" s="1"/>
  <c r="G71" i="11" s="1"/>
  <c r="K71" i="11" l="1"/>
  <c r="F72" i="11" s="1"/>
  <c r="H72" i="11" s="1"/>
  <c r="G72" i="11" s="1"/>
  <c r="K72" i="11" l="1"/>
  <c r="F73" i="11" s="1"/>
  <c r="H73" i="11" s="1"/>
  <c r="G73" i="11" s="1"/>
  <c r="K73" i="11" l="1"/>
  <c r="F74" i="11" s="1"/>
  <c r="H74" i="11" s="1"/>
  <c r="G74" i="11" s="1"/>
  <c r="K74" i="11" l="1"/>
  <c r="F75" i="11" s="1"/>
  <c r="H75" i="11" s="1"/>
  <c r="G75" i="11" s="1"/>
  <c r="K75" i="11" l="1"/>
  <c r="F76" i="11" s="1"/>
  <c r="H76" i="11" s="1"/>
  <c r="G76" i="11" s="1"/>
  <c r="K76" i="11" l="1"/>
  <c r="F77" i="11" s="1"/>
  <c r="H77" i="11" s="1"/>
  <c r="G77" i="11" s="1"/>
  <c r="K77" i="11" l="1"/>
  <c r="F78" i="11" s="1"/>
  <c r="H78" i="11" s="1"/>
  <c r="G78" i="11" s="1"/>
  <c r="K78" i="11" l="1"/>
  <c r="F79" i="11" s="1"/>
  <c r="H79" i="11" s="1"/>
  <c r="G79" i="11" s="1"/>
  <c r="K79" i="11" l="1"/>
  <c r="F80" i="11" s="1"/>
  <c r="H80" i="11" s="1"/>
  <c r="G80" i="11" s="1"/>
  <c r="K80" i="11" l="1"/>
  <c r="F81" i="11" s="1"/>
  <c r="H81" i="11" s="1"/>
  <c r="G81" i="11" s="1"/>
  <c r="K81" i="11" l="1"/>
  <c r="F82" i="11" s="1"/>
  <c r="H82" i="11" s="1"/>
  <c r="G82" i="11" s="1"/>
  <c r="K82" i="11" l="1"/>
  <c r="F83" i="11" s="1"/>
  <c r="H83" i="11" s="1"/>
  <c r="G83" i="11" s="1"/>
  <c r="K83" i="11" l="1"/>
  <c r="F84" i="11" s="1"/>
  <c r="H84" i="11" s="1"/>
  <c r="G84" i="11" s="1"/>
  <c r="K84" i="11" l="1"/>
  <c r="F85" i="11" s="1"/>
  <c r="H85" i="11" s="1"/>
  <c r="G85" i="11" s="1"/>
  <c r="K85" i="11" l="1"/>
  <c r="F86" i="11" s="1"/>
  <c r="H86" i="11" l="1"/>
  <c r="G86" i="11" s="1"/>
  <c r="K86" i="11" s="1"/>
  <c r="F87" i="11" s="1"/>
  <c r="H87" i="11" l="1"/>
  <c r="G87" i="11" s="1"/>
  <c r="K87" i="11" s="1"/>
  <c r="F88" i="11" s="1"/>
  <c r="H88" i="11" l="1"/>
  <c r="G88" i="11" s="1"/>
  <c r="K88" i="11" s="1"/>
  <c r="F89" i="11" s="1"/>
  <c r="H89" i="11" s="1"/>
  <c r="G89" i="11" s="1"/>
  <c r="K89" i="11" l="1"/>
  <c r="F90" i="11" s="1"/>
  <c r="H90" i="11" s="1"/>
  <c r="G90" i="11" s="1"/>
  <c r="K90" i="11" s="1"/>
  <c r="F91" i="11" s="1"/>
  <c r="H91" i="11" s="1"/>
  <c r="G91" i="11" s="1"/>
  <c r="K91" i="11" l="1"/>
  <c r="F92" i="11" s="1"/>
  <c r="H92" i="11" s="1"/>
  <c r="G92" i="11" s="1"/>
  <c r="K92" i="11" l="1"/>
  <c r="F93" i="11" s="1"/>
  <c r="H93" i="11" s="1"/>
  <c r="G93" i="11" s="1"/>
  <c r="K93" i="11" l="1"/>
  <c r="F94" i="11" s="1"/>
  <c r="H94" i="11" s="1"/>
  <c r="G94" i="11" s="1"/>
  <c r="K94" i="11" l="1"/>
  <c r="F95" i="11" s="1"/>
  <c r="H95" i="11" s="1"/>
  <c r="G95" i="11" s="1"/>
  <c r="K95" i="11" l="1"/>
  <c r="F96" i="11" s="1"/>
  <c r="H96" i="11" s="1"/>
  <c r="G96" i="11" s="1"/>
  <c r="K96" i="11" l="1"/>
  <c r="F97" i="11" s="1"/>
  <c r="H97" i="11" s="1"/>
  <c r="G97" i="11" s="1"/>
  <c r="K97" i="11" l="1"/>
  <c r="F98" i="11" s="1"/>
  <c r="H98" i="11" s="1"/>
  <c r="G98" i="11" s="1"/>
  <c r="K98" i="11" l="1"/>
  <c r="F99" i="11" s="1"/>
  <c r="H99" i="11" s="1"/>
  <c r="G99" i="11" s="1"/>
  <c r="K99" i="11" l="1"/>
  <c r="F100" i="11" s="1"/>
  <c r="H100" i="11" s="1"/>
  <c r="G100" i="11" s="1"/>
  <c r="I5" i="12" l="1"/>
  <c r="K100" i="11"/>
  <c r="F101" i="11" s="1"/>
  <c r="H101" i="11" s="1"/>
  <c r="G101" i="11" s="1"/>
  <c r="K101" i="11" l="1"/>
  <c r="F102" i="11" s="1"/>
  <c r="H102" i="11" s="1"/>
  <c r="G102" i="11" s="1"/>
  <c r="K102" i="11" l="1"/>
  <c r="F103" i="11" s="1"/>
  <c r="H103" i="11" s="1"/>
  <c r="G103" i="11" s="1"/>
  <c r="K103" i="11" l="1"/>
  <c r="F104" i="11" s="1"/>
  <c r="H104" i="11" s="1"/>
  <c r="G104" i="11" s="1"/>
  <c r="K104" i="11" l="1"/>
  <c r="F105" i="11" s="1"/>
  <c r="H105" i="11" s="1"/>
  <c r="G105" i="11" s="1"/>
  <c r="K105" i="11" l="1"/>
  <c r="F106" i="11" s="1"/>
  <c r="H106" i="11" s="1"/>
  <c r="G106" i="11" s="1"/>
  <c r="K106" i="11" l="1"/>
  <c r="F107" i="11" s="1"/>
  <c r="H107" i="11" s="1"/>
  <c r="G107" i="11" s="1"/>
  <c r="K107" i="11" l="1"/>
  <c r="F108" i="11" s="1"/>
  <c r="H108" i="11" s="1"/>
  <c r="G108" i="11" s="1"/>
  <c r="K108" i="11" l="1"/>
  <c r="F109" i="11" s="1"/>
  <c r="H109" i="11" s="1"/>
  <c r="G109" i="11" s="1"/>
  <c r="K109" i="11" l="1"/>
  <c r="F110" i="11" s="1"/>
  <c r="H110" i="11" s="1"/>
  <c r="G110" i="11" s="1"/>
  <c r="K110" i="11" l="1"/>
  <c r="F111" i="11" s="1"/>
  <c r="H111" i="11" s="1"/>
  <c r="G111" i="11" s="1"/>
  <c r="K111" i="11" l="1"/>
  <c r="F112" i="11" s="1"/>
  <c r="H112" i="11" s="1"/>
  <c r="G112" i="11" s="1"/>
  <c r="K112" i="11" l="1"/>
  <c r="F113" i="11" s="1"/>
  <c r="H113" i="11" s="1"/>
  <c r="G113" i="11" s="1"/>
  <c r="K113" i="11" l="1"/>
  <c r="F114" i="11" s="1"/>
  <c r="H114" i="11" s="1"/>
  <c r="G114" i="11" s="1"/>
  <c r="K114" i="11" l="1"/>
  <c r="F115" i="11" s="1"/>
  <c r="H115" i="11" s="1"/>
  <c r="G115" i="11" s="1"/>
  <c r="K115" i="11" l="1"/>
  <c r="F116" i="11" s="1"/>
  <c r="H116" i="11" s="1"/>
  <c r="G116" i="11" s="1"/>
  <c r="K116" i="11" l="1"/>
  <c r="F117" i="11" s="1"/>
  <c r="H117" i="11" s="1"/>
  <c r="G117" i="11" s="1"/>
  <c r="K117" i="11" l="1"/>
  <c r="F118" i="11" s="1"/>
  <c r="H118" i="11" s="1"/>
  <c r="G118" i="11" s="1"/>
  <c r="K118" i="11" l="1"/>
  <c r="F119" i="11" s="1"/>
  <c r="H119" i="11" s="1"/>
  <c r="G119" i="11" s="1"/>
  <c r="K119" i="11" l="1"/>
  <c r="F120" i="11" s="1"/>
  <c r="H120" i="11" s="1"/>
  <c r="G120" i="11" s="1"/>
  <c r="K120" i="11" l="1"/>
  <c r="F121" i="11" s="1"/>
  <c r="H121" i="11" s="1"/>
  <c r="G121" i="11" s="1"/>
  <c r="K121" i="11" l="1"/>
  <c r="F122" i="11" s="1"/>
  <c r="H122" i="11" s="1"/>
  <c r="G122" i="11" s="1"/>
  <c r="K122" i="11" l="1"/>
  <c r="F123" i="11" s="1"/>
  <c r="H123" i="11" s="1"/>
  <c r="G123" i="11" s="1"/>
  <c r="K123" i="11" l="1"/>
  <c r="F124" i="11" s="1"/>
  <c r="H124" i="11" s="1"/>
  <c r="G124" i="11" s="1"/>
  <c r="K124" i="11" l="1"/>
  <c r="F125" i="11" s="1"/>
  <c r="H125" i="11" s="1"/>
  <c r="G125" i="11" s="1"/>
  <c r="K125" i="11" l="1"/>
  <c r="F126" i="11" s="1"/>
  <c r="H126" i="11" s="1"/>
  <c r="G126" i="11" s="1"/>
  <c r="K126" i="11" l="1"/>
  <c r="F127" i="11" s="1"/>
  <c r="H127" i="11" s="1"/>
  <c r="G127" i="11" s="1"/>
  <c r="K127" i="11" l="1"/>
  <c r="F128" i="11" s="1"/>
  <c r="H128" i="11" s="1"/>
  <c r="G128" i="11" s="1"/>
  <c r="K128" i="11" l="1"/>
  <c r="F129" i="11" s="1"/>
  <c r="H129" i="11" s="1"/>
  <c r="G129" i="11" s="1"/>
  <c r="K129" i="11" l="1"/>
  <c r="F130" i="11" s="1"/>
  <c r="H130" i="11" s="1"/>
  <c r="G130" i="11" s="1"/>
  <c r="K130" i="11" l="1"/>
  <c r="F131" i="11" s="1"/>
  <c r="H131" i="11" s="1"/>
  <c r="G131" i="11" s="1"/>
  <c r="K131" i="11" l="1"/>
  <c r="F132" i="11" s="1"/>
  <c r="H132" i="11" s="1"/>
  <c r="G132" i="11" s="1"/>
  <c r="K132" i="11" l="1"/>
  <c r="F133" i="11" s="1"/>
  <c r="H133" i="11" s="1"/>
  <c r="G133" i="11" s="1"/>
  <c r="K133" i="11" l="1"/>
  <c r="F134" i="11" s="1"/>
  <c r="H134" i="11" s="1"/>
  <c r="G134" i="11" s="1"/>
  <c r="K134" i="11" l="1"/>
  <c r="F135" i="11" s="1"/>
  <c r="H135" i="11" s="1"/>
  <c r="G135" i="11" s="1"/>
  <c r="K135" i="11" l="1"/>
  <c r="F136" i="11" s="1"/>
  <c r="H136" i="11" s="1"/>
  <c r="G136" i="11" s="1"/>
  <c r="K136" i="11" l="1"/>
  <c r="F137" i="11" s="1"/>
  <c r="H137" i="11" s="1"/>
  <c r="G137" i="11" s="1"/>
  <c r="K137" i="11" l="1"/>
  <c r="F138" i="11" s="1"/>
  <c r="H138" i="11" s="1"/>
  <c r="G138" i="11" s="1"/>
  <c r="K138" i="11" l="1"/>
  <c r="F139" i="11" s="1"/>
  <c r="H139" i="11" s="1"/>
  <c r="G139" i="11" s="1"/>
  <c r="K139" i="11" l="1"/>
  <c r="F140" i="11" s="1"/>
  <c r="H140" i="11" s="1"/>
  <c r="G140" i="11" s="1"/>
  <c r="K140" i="11" l="1"/>
  <c r="F141" i="11" s="1"/>
  <c r="H141" i="11" s="1"/>
  <c r="G141" i="11" s="1"/>
  <c r="K141" i="11" l="1"/>
  <c r="F142" i="11" s="1"/>
  <c r="H142" i="11" s="1"/>
  <c r="G142" i="11" s="1"/>
  <c r="K142" i="11" l="1"/>
  <c r="F143" i="11" s="1"/>
  <c r="H143" i="11" s="1"/>
  <c r="G143" i="11" s="1"/>
  <c r="K143" i="11" l="1"/>
  <c r="F144" i="11" s="1"/>
  <c r="H144" i="11" s="1"/>
  <c r="G144" i="11" s="1"/>
  <c r="K144" i="11" l="1"/>
  <c r="F145" i="11" s="1"/>
  <c r="H145" i="11" s="1"/>
  <c r="G145" i="11" s="1"/>
  <c r="K145" i="11" l="1"/>
  <c r="F146" i="11" s="1"/>
  <c r="H146" i="11" s="1"/>
  <c r="G146" i="11" s="1"/>
  <c r="K146" i="11" l="1"/>
  <c r="F147" i="11" s="1"/>
  <c r="H147" i="11" s="1"/>
  <c r="G147" i="11" s="1"/>
  <c r="K147" i="11" l="1"/>
  <c r="F148" i="11" s="1"/>
  <c r="H148" i="11" s="1"/>
  <c r="G148" i="11" s="1"/>
  <c r="K148" i="11" l="1"/>
  <c r="F149" i="11" s="1"/>
  <c r="H149" i="11" s="1"/>
  <c r="G149" i="11" s="1"/>
  <c r="K149" i="11" l="1"/>
  <c r="F150" i="11" s="1"/>
  <c r="H150" i="11" s="1"/>
  <c r="G150" i="11" s="1"/>
  <c r="K150" i="11" l="1"/>
  <c r="F151" i="11" s="1"/>
  <c r="H151" i="11" s="1"/>
  <c r="G151" i="11" s="1"/>
  <c r="K151" i="11" l="1"/>
  <c r="F152" i="11" s="1"/>
  <c r="H152" i="11" s="1"/>
  <c r="G152" i="11" s="1"/>
  <c r="K152" i="11" l="1"/>
  <c r="F153" i="11" s="1"/>
  <c r="H153" i="11" s="1"/>
  <c r="G153" i="11" s="1"/>
  <c r="K153" i="11" l="1"/>
  <c r="F154" i="11" s="1"/>
  <c r="H154" i="11" s="1"/>
  <c r="G154" i="11" s="1"/>
  <c r="K154" i="11" l="1"/>
  <c r="F155" i="11" s="1"/>
  <c r="H155" i="11" s="1"/>
  <c r="G155" i="11" s="1"/>
  <c r="K155" i="11" l="1"/>
  <c r="F156" i="11" s="1"/>
  <c r="H156" i="11" s="1"/>
  <c r="G156" i="11" s="1"/>
  <c r="K156" i="11" l="1"/>
  <c r="F157" i="11" s="1"/>
  <c r="H157" i="11" s="1"/>
  <c r="G157" i="11" s="1"/>
  <c r="K157" i="11" l="1"/>
  <c r="F158" i="11" s="1"/>
  <c r="H158" i="11" s="1"/>
  <c r="G158" i="11" s="1"/>
  <c r="K158" i="11" l="1"/>
  <c r="F159" i="11" s="1"/>
  <c r="H159" i="11" s="1"/>
  <c r="G159" i="11" s="1"/>
  <c r="K159" i="11" l="1"/>
  <c r="F160" i="11" s="1"/>
  <c r="H160" i="11" s="1"/>
  <c r="G160" i="11" s="1"/>
  <c r="K160" i="11" l="1"/>
  <c r="F161" i="11" s="1"/>
  <c r="H161" i="11" s="1"/>
  <c r="G161" i="11" s="1"/>
  <c r="K161" i="11" l="1"/>
  <c r="F162" i="11" s="1"/>
  <c r="H162" i="11" s="1"/>
  <c r="G162" i="11" s="1"/>
  <c r="K162" i="11" l="1"/>
  <c r="F163" i="11" s="1"/>
  <c r="H163" i="11" s="1"/>
  <c r="G163" i="11" s="1"/>
  <c r="K163" i="11" l="1"/>
  <c r="F164" i="11" s="1"/>
  <c r="H164" i="11" s="1"/>
  <c r="G164" i="11" s="1"/>
  <c r="K164" i="11" l="1"/>
  <c r="F165" i="11" s="1"/>
  <c r="H165" i="11" s="1"/>
  <c r="G165" i="11" s="1"/>
  <c r="K165" i="11" l="1"/>
  <c r="F166" i="11" s="1"/>
  <c r="H166" i="11" s="1"/>
  <c r="G166" i="11" s="1"/>
  <c r="K166" i="11" l="1"/>
  <c r="F167" i="11" s="1"/>
  <c r="H167" i="11" s="1"/>
  <c r="G167" i="11" s="1"/>
  <c r="K167" i="11" l="1"/>
  <c r="F168" i="11" s="1"/>
  <c r="H168" i="11" s="1"/>
  <c r="G168" i="11" s="1"/>
  <c r="K168" i="11" l="1"/>
  <c r="F169" i="11" s="1"/>
  <c r="H169" i="11" s="1"/>
  <c r="G169" i="11" s="1"/>
  <c r="K169" i="11" l="1"/>
  <c r="F170" i="11" s="1"/>
  <c r="H170" i="11" s="1"/>
  <c r="G170" i="11" s="1"/>
  <c r="K170" i="11" l="1"/>
  <c r="F171" i="11" s="1"/>
  <c r="H171" i="11" s="1"/>
  <c r="G171" i="11" s="1"/>
  <c r="K171" i="11" l="1"/>
  <c r="F172" i="11" s="1"/>
  <c r="H172" i="11" s="1"/>
  <c r="G172" i="11" s="1"/>
  <c r="K172" i="11" l="1"/>
  <c r="F173" i="11" s="1"/>
  <c r="H173" i="11" s="1"/>
  <c r="G173" i="11" s="1"/>
  <c r="K173" i="11" l="1"/>
  <c r="F174" i="11" s="1"/>
  <c r="H174" i="11" s="1"/>
  <c r="G174" i="11" s="1"/>
  <c r="K174" i="11" l="1"/>
  <c r="F175" i="11" s="1"/>
  <c r="H175" i="11" s="1"/>
  <c r="G175" i="11" s="1"/>
  <c r="K175" i="11" l="1"/>
  <c r="F176" i="11" s="1"/>
  <c r="H176" i="11" s="1"/>
  <c r="G176" i="11" s="1"/>
  <c r="K176" i="11" l="1"/>
  <c r="F177" i="11" s="1"/>
  <c r="H177" i="11" s="1"/>
  <c r="G177" i="11" s="1"/>
  <c r="K177" i="11" l="1"/>
  <c r="F178" i="11" s="1"/>
  <c r="H178" i="11" s="1"/>
  <c r="G178" i="11" s="1"/>
  <c r="K178" i="11" l="1"/>
  <c r="F179" i="11" s="1"/>
  <c r="H179" i="11" s="1"/>
  <c r="G179" i="11" s="1"/>
  <c r="K179" i="11" l="1"/>
  <c r="F180" i="11" s="1"/>
  <c r="H180" i="11" s="1"/>
  <c r="G180" i="11" s="1"/>
  <c r="K180" i="11" l="1"/>
  <c r="F181" i="11" s="1"/>
  <c r="H181" i="11" s="1"/>
  <c r="G181" i="11" s="1"/>
  <c r="K181" i="11" l="1"/>
  <c r="F182" i="11" s="1"/>
  <c r="H182" i="11" s="1"/>
  <c r="G182" i="11" s="1"/>
  <c r="K182" i="11" l="1"/>
  <c r="F183" i="11" s="1"/>
  <c r="H183" i="11" s="1"/>
  <c r="G183" i="11" s="1"/>
  <c r="K183" i="11" l="1"/>
  <c r="F184" i="11" s="1"/>
  <c r="H184" i="11" s="1"/>
  <c r="G184" i="11" s="1"/>
  <c r="K184" i="11" l="1"/>
  <c r="F185" i="11" s="1"/>
  <c r="H185" i="11" s="1"/>
  <c r="G185" i="11" s="1"/>
  <c r="K185" i="11" l="1"/>
  <c r="F186" i="11" s="1"/>
  <c r="H186" i="11" s="1"/>
  <c r="G186" i="11" s="1"/>
  <c r="K186" i="11" l="1"/>
  <c r="F187" i="11" s="1"/>
  <c r="H187" i="11" s="1"/>
  <c r="G187" i="11" s="1"/>
  <c r="G5" i="11" s="1"/>
  <c r="H5" i="11" l="1"/>
  <c r="K187" i="11"/>
  <c r="G9" i="12"/>
  <c r="K9" i="12" s="1"/>
  <c r="F10" i="12" s="1"/>
  <c r="H10" i="12" l="1"/>
  <c r="G10" i="12" s="1"/>
  <c r="K10" i="12" s="1"/>
  <c r="F11" i="12" s="1"/>
  <c r="H11" i="12" l="1"/>
  <c r="G11" i="12" s="1"/>
  <c r="K11" i="12" s="1"/>
  <c r="F12" i="12" s="1"/>
  <c r="H12" i="12" l="1"/>
  <c r="G12" i="12" s="1"/>
  <c r="K12" i="12" s="1"/>
  <c r="F13" i="12" s="1"/>
  <c r="H13" i="12" l="1"/>
  <c r="G13" i="12" s="1"/>
  <c r="K13" i="12" s="1"/>
  <c r="F14" i="12" s="1"/>
  <c r="J5" i="12"/>
  <c r="K5" i="12" s="1"/>
  <c r="H14" i="12" l="1"/>
  <c r="G14" i="12" s="1"/>
  <c r="K14" i="12" l="1"/>
  <c r="F15" i="12" s="1"/>
  <c r="H15" i="12" l="1"/>
  <c r="G15" i="12" s="1"/>
  <c r="K15" i="12" l="1"/>
  <c r="F16" i="12" s="1"/>
  <c r="H16" i="12" l="1"/>
  <c r="G16" i="12" s="1"/>
  <c r="K16" i="12" l="1"/>
  <c r="F17" i="12" s="1"/>
  <c r="H17" i="12" l="1"/>
  <c r="G17" i="12" s="1"/>
  <c r="K17" i="12" s="1"/>
  <c r="F18" i="12" s="1"/>
  <c r="H18" i="12" l="1"/>
  <c r="G18" i="12" l="1"/>
  <c r="K18" i="12" s="1"/>
  <c r="F19" i="12" s="1"/>
  <c r="H19" i="12" s="1"/>
  <c r="G19" i="12" l="1"/>
  <c r="K19" i="12" s="1"/>
  <c r="F20" i="12" s="1"/>
  <c r="H20" i="12" s="1"/>
  <c r="G20" i="12" l="1"/>
  <c r="K20" i="12" s="1"/>
  <c r="F21" i="12" s="1"/>
  <c r="H21" i="12" s="1"/>
  <c r="G21" i="12" l="1"/>
  <c r="K21" i="12" s="1"/>
  <c r="F22" i="12" s="1"/>
  <c r="H22" i="12" s="1"/>
  <c r="G22" i="12" l="1"/>
  <c r="K22" i="12" s="1"/>
  <c r="F23" i="12" s="1"/>
  <c r="H23" i="12" s="1"/>
  <c r="G23" i="12" l="1"/>
  <c r="K23" i="12" s="1"/>
  <c r="F24" i="12" s="1"/>
  <c r="H24" i="12" s="1"/>
  <c r="G24" i="12" l="1"/>
  <c r="K24" i="12" s="1"/>
  <c r="F25" i="12" s="1"/>
  <c r="H25" i="12" s="1"/>
  <c r="G25" i="12" l="1"/>
  <c r="K25" i="12" s="1"/>
  <c r="F26" i="12" s="1"/>
  <c r="H26" i="12" s="1"/>
  <c r="G26" i="12" l="1"/>
  <c r="K26" i="12" s="1"/>
  <c r="F27" i="12" s="1"/>
  <c r="H27" i="12" s="1"/>
  <c r="G27" i="12" l="1"/>
  <c r="K27" i="12" s="1"/>
  <c r="F28" i="12" s="1"/>
  <c r="H28" i="12" l="1"/>
  <c r="G28" i="12" s="1"/>
  <c r="K28" i="12" s="1"/>
  <c r="F29" i="12" s="1"/>
  <c r="H29" i="12" s="1"/>
  <c r="G29" i="12" l="1"/>
  <c r="K29" i="12" s="1"/>
  <c r="F30" i="12" s="1"/>
  <c r="H30" i="12" s="1"/>
  <c r="G30" i="12" l="1"/>
  <c r="K30" i="12" s="1"/>
  <c r="F31" i="12" s="1"/>
  <c r="H31" i="12" s="1"/>
  <c r="G31" i="12" l="1"/>
  <c r="K31" i="12" s="1"/>
  <c r="F32" i="12" s="1"/>
  <c r="H32" i="12" s="1"/>
  <c r="G32" i="12" l="1"/>
  <c r="K32" i="12" s="1"/>
  <c r="F33" i="12" s="1"/>
  <c r="H33" i="12" s="1"/>
  <c r="G33" i="12" l="1"/>
  <c r="K33" i="12" s="1"/>
  <c r="F34" i="12" s="1"/>
  <c r="H34" i="12" s="1"/>
  <c r="G34" i="12" l="1"/>
  <c r="K34" i="12" s="1"/>
  <c r="F35" i="12" s="1"/>
  <c r="H35" i="12" s="1"/>
  <c r="G35" i="12" l="1"/>
  <c r="K35" i="12" s="1"/>
  <c r="F36" i="12" s="1"/>
  <c r="H36" i="12" l="1"/>
  <c r="G36" i="12" s="1"/>
  <c r="K36" i="12" s="1"/>
  <c r="F37" i="12" s="1"/>
  <c r="H37" i="12" s="1"/>
  <c r="G37" i="12" l="1"/>
  <c r="K37" i="12" s="1"/>
  <c r="F38" i="12" s="1"/>
  <c r="H38" i="12" s="1"/>
  <c r="G38" i="12" l="1"/>
  <c r="K38" i="12" s="1"/>
  <c r="F39" i="12" s="1"/>
  <c r="H39" i="12" s="1"/>
  <c r="G39" i="12" l="1"/>
  <c r="K39" i="12" s="1"/>
  <c r="F40" i="12" s="1"/>
  <c r="H40" i="12" s="1"/>
  <c r="G40" i="12" l="1"/>
  <c r="K40" i="12" s="1"/>
  <c r="F41" i="12" s="1"/>
  <c r="H41" i="12" s="1"/>
  <c r="G41" i="12" l="1"/>
  <c r="K41" i="12" s="1"/>
  <c r="F42" i="12" s="1"/>
  <c r="H42" i="12" s="1"/>
  <c r="G42" i="12" l="1"/>
  <c r="K42" i="12" s="1"/>
  <c r="F43" i="12" s="1"/>
  <c r="H43" i="12" s="1"/>
  <c r="G43" i="12" l="1"/>
  <c r="K43" i="12" s="1"/>
  <c r="F44" i="12" s="1"/>
  <c r="H44" i="12" s="1"/>
  <c r="G44" i="12" l="1"/>
  <c r="K44" i="12" s="1"/>
  <c r="F45" i="12" s="1"/>
  <c r="H45" i="12" s="1"/>
  <c r="G45" i="12" l="1"/>
  <c r="K45" i="12" s="1"/>
  <c r="F46" i="12" s="1"/>
  <c r="H46" i="12" s="1"/>
  <c r="G46" i="12" l="1"/>
  <c r="K46" i="12" s="1"/>
  <c r="F47" i="12" s="1"/>
  <c r="H47" i="12" s="1"/>
  <c r="G47" i="12" l="1"/>
  <c r="K47" i="12" s="1"/>
  <c r="F48" i="12" s="1"/>
  <c r="H48" i="12" l="1"/>
  <c r="G48" i="12" s="1"/>
  <c r="K48" i="12"/>
  <c r="F49" i="12" s="1"/>
  <c r="H49" i="12" s="1"/>
  <c r="G49" i="12" l="1"/>
  <c r="K49" i="12" s="1"/>
  <c r="F50" i="12" s="1"/>
  <c r="H50" i="12" s="1"/>
  <c r="G50" i="12" l="1"/>
  <c r="K50" i="12" s="1"/>
  <c r="F51" i="12" s="1"/>
  <c r="H51" i="12" l="1"/>
  <c r="G51" i="12" s="1"/>
  <c r="K51" i="12" s="1"/>
  <c r="F52" i="12" s="1"/>
  <c r="H52" i="12" l="1"/>
  <c r="G52" i="12" s="1"/>
  <c r="K52" i="12" s="1"/>
  <c r="F53" i="12" s="1"/>
  <c r="H53" i="12" l="1"/>
  <c r="G53" i="12" s="1"/>
  <c r="K53" i="12"/>
  <c r="F54" i="12" s="1"/>
  <c r="H54" i="12" s="1"/>
  <c r="G54" i="12" l="1"/>
  <c r="K54" i="12" s="1"/>
  <c r="F55" i="12" s="1"/>
  <c r="H55" i="12" s="1"/>
  <c r="G55" i="12" l="1"/>
  <c r="K55" i="12" s="1"/>
  <c r="F56" i="12" s="1"/>
  <c r="H56" i="12" s="1"/>
  <c r="G56" i="12" l="1"/>
  <c r="K56" i="12" s="1"/>
  <c r="F57" i="12" s="1"/>
  <c r="H57" i="12" s="1"/>
  <c r="G57" i="12" l="1"/>
  <c r="K57" i="12" s="1"/>
  <c r="F58" i="12" s="1"/>
  <c r="H58" i="12" s="1"/>
  <c r="G58" i="12" l="1"/>
  <c r="K58" i="12" s="1"/>
  <c r="F59" i="12" s="1"/>
  <c r="H59" i="12" l="1"/>
  <c r="G59" i="12" s="1"/>
  <c r="K59" i="12" s="1"/>
  <c r="F60" i="12" s="1"/>
  <c r="H60" i="12" s="1"/>
  <c r="G60" i="12" l="1"/>
  <c r="K60" i="12" s="1"/>
  <c r="F61" i="12" s="1"/>
  <c r="H61" i="12" s="1"/>
  <c r="G61" i="12" l="1"/>
  <c r="K61" i="12" s="1"/>
  <c r="F62" i="12" s="1"/>
  <c r="H62" i="12" s="1"/>
  <c r="G62" i="12" l="1"/>
  <c r="K62" i="12" s="1"/>
  <c r="F63" i="12" s="1"/>
  <c r="H63" i="12" s="1"/>
  <c r="G63" i="12" l="1"/>
  <c r="K63" i="12" s="1"/>
  <c r="F64" i="12" s="1"/>
  <c r="H64" i="12" s="1"/>
  <c r="G64" i="12" l="1"/>
  <c r="K64" i="12" s="1"/>
  <c r="F65" i="12" s="1"/>
  <c r="H65" i="12" l="1"/>
  <c r="G65" i="12" s="1"/>
  <c r="K65" i="12" s="1"/>
  <c r="F66" i="12" s="1"/>
  <c r="H66" i="12" s="1"/>
  <c r="G66" i="12" l="1"/>
  <c r="K66" i="12" s="1"/>
  <c r="F67" i="12" s="1"/>
  <c r="H67" i="12" s="1"/>
  <c r="G67" i="12" l="1"/>
  <c r="K67" i="12" s="1"/>
  <c r="F68" i="12" s="1"/>
  <c r="H68" i="12" l="1"/>
  <c r="G68" i="12" s="1"/>
  <c r="K68" i="12" s="1"/>
  <c r="F69" i="12" s="1"/>
  <c r="H69" i="12" l="1"/>
  <c r="G69" i="12" s="1"/>
  <c r="K69" i="12"/>
  <c r="F70" i="12" s="1"/>
  <c r="H70" i="12" s="1"/>
  <c r="G70" i="12" l="1"/>
  <c r="K70" i="12" s="1"/>
  <c r="F71" i="12" s="1"/>
  <c r="H71" i="12" s="1"/>
  <c r="G71" i="12" l="1"/>
  <c r="K71" i="12" s="1"/>
  <c r="F72" i="12" s="1"/>
  <c r="H72" i="12" s="1"/>
  <c r="G72" i="12" l="1"/>
  <c r="K72" i="12" s="1"/>
  <c r="F73" i="12" s="1"/>
  <c r="H73" i="12" s="1"/>
  <c r="G73" i="12" l="1"/>
  <c r="K73" i="12" s="1"/>
  <c r="F74" i="12" s="1"/>
  <c r="H74" i="12" s="1"/>
  <c r="G74" i="12" l="1"/>
  <c r="K74" i="12" s="1"/>
  <c r="F75" i="12" s="1"/>
  <c r="H75" i="12" l="1"/>
  <c r="G75" i="12" s="1"/>
  <c r="K75" i="12" s="1"/>
  <c r="F76" i="12" s="1"/>
  <c r="H76" i="12" l="1"/>
  <c r="G76" i="12" s="1"/>
  <c r="K76" i="12"/>
  <c r="F77" i="12" s="1"/>
  <c r="H77" i="12" s="1"/>
  <c r="G77" i="12" l="1"/>
  <c r="K77" i="12"/>
  <c r="F78" i="12" s="1"/>
  <c r="H78" i="12"/>
  <c r="G78" i="12" s="1"/>
  <c r="K78" i="12" s="1"/>
  <c r="F79" i="12" s="1"/>
  <c r="H79" i="12" l="1"/>
  <c r="G79" i="12" s="1"/>
  <c r="K79" i="12"/>
  <c r="F80" i="12" s="1"/>
  <c r="H80" i="12" l="1"/>
  <c r="G80" i="12" s="1"/>
  <c r="K80" i="12" s="1"/>
  <c r="F81" i="12" s="1"/>
  <c r="H81" i="12" l="1"/>
  <c r="G81" i="12" s="1"/>
  <c r="K81" i="12" s="1"/>
  <c r="F82" i="12" s="1"/>
  <c r="H82" i="12" l="1"/>
  <c r="G82" i="12" s="1"/>
  <c r="K82" i="12" s="1"/>
  <c r="F83" i="12" s="1"/>
  <c r="H83" i="12" l="1"/>
  <c r="G83" i="12" s="1"/>
  <c r="K83" i="12" l="1"/>
  <c r="F84" i="12" s="1"/>
  <c r="H84" i="12"/>
  <c r="G84" i="12" s="1"/>
  <c r="K84" i="12" s="1"/>
  <c r="F85" i="12" s="1"/>
  <c r="H85" i="12" l="1"/>
  <c r="G85" i="12" s="1"/>
  <c r="K85" i="12"/>
  <c r="F86" i="12" s="1"/>
  <c r="H86" i="12" l="1"/>
  <c r="G86" i="12" s="1"/>
  <c r="K86" i="12" s="1"/>
  <c r="F87" i="12" s="1"/>
  <c r="H87" i="12" l="1"/>
  <c r="G87" i="12" s="1"/>
  <c r="K87" i="12" s="1"/>
  <c r="F88" i="12" s="1"/>
  <c r="H88" i="12" l="1"/>
  <c r="G88" i="12" s="1"/>
  <c r="K88" i="12" s="1"/>
  <c r="F89" i="12" s="1"/>
  <c r="H89" i="12" l="1"/>
  <c r="G89" i="12" s="1"/>
  <c r="K89" i="12"/>
  <c r="F90" i="12" s="1"/>
  <c r="H90" i="12" l="1"/>
  <c r="G90" i="12" s="1"/>
  <c r="K90" i="12" s="1"/>
  <c r="F91" i="12" s="1"/>
  <c r="H91" i="12" l="1"/>
  <c r="G91" i="12" s="1"/>
  <c r="K91" i="12" s="1"/>
  <c r="F92" i="12" s="1"/>
  <c r="H92" i="12" l="1"/>
  <c r="G92" i="12" s="1"/>
  <c r="K92" i="12" s="1"/>
  <c r="F93" i="12" s="1"/>
  <c r="H93" i="12" l="1"/>
  <c r="G93" i="12" s="1"/>
  <c r="K93" i="12"/>
  <c r="F94" i="12" s="1"/>
  <c r="H94" i="12" l="1"/>
  <c r="G94" i="12" s="1"/>
  <c r="K94" i="12"/>
  <c r="F95" i="12" s="1"/>
  <c r="H95" i="12" l="1"/>
  <c r="G95" i="12" s="1"/>
  <c r="K95" i="12" s="1"/>
  <c r="F96" i="12" s="1"/>
  <c r="H96" i="12" l="1"/>
  <c r="G96" i="12" s="1"/>
  <c r="K96" i="12" s="1"/>
  <c r="F97" i="12" s="1"/>
  <c r="H97" i="12" l="1"/>
  <c r="G97" i="12" s="1"/>
  <c r="K97" i="12" s="1"/>
  <c r="F98" i="12" s="1"/>
  <c r="H98" i="12" l="1"/>
  <c r="G98" i="12" s="1"/>
  <c r="K98" i="12" s="1"/>
  <c r="F99" i="12" s="1"/>
  <c r="H99" i="12" l="1"/>
  <c r="G99" i="12" s="1"/>
  <c r="K99" i="12"/>
  <c r="F100" i="12" s="1"/>
  <c r="H100" i="12" l="1"/>
  <c r="G100" i="12" s="1"/>
  <c r="K100" i="12" s="1"/>
  <c r="F101" i="12" s="1"/>
  <c r="H101" i="12" l="1"/>
  <c r="G101" i="12" s="1"/>
  <c r="K101" i="12" s="1"/>
  <c r="F102" i="12" s="1"/>
  <c r="H102" i="12" l="1"/>
  <c r="G102" i="12" s="1"/>
  <c r="K102" i="12"/>
  <c r="F103" i="12" s="1"/>
  <c r="H103" i="12" l="1"/>
  <c r="G103" i="12" s="1"/>
  <c r="K103" i="12" s="1"/>
  <c r="F104" i="12" s="1"/>
  <c r="H104" i="12" l="1"/>
  <c r="G104" i="12" s="1"/>
  <c r="K104" i="12"/>
  <c r="F105" i="12" s="1"/>
  <c r="H105" i="12" l="1"/>
  <c r="G105" i="12" s="1"/>
  <c r="K105" i="12" s="1"/>
  <c r="F106" i="12" s="1"/>
  <c r="H106" i="12" l="1"/>
  <c r="G106" i="12" s="1"/>
  <c r="K106" i="12" s="1"/>
  <c r="F107" i="12" s="1"/>
  <c r="H107" i="12" l="1"/>
  <c r="G107" i="12" s="1"/>
  <c r="K107" i="12"/>
  <c r="F108" i="12" s="1"/>
  <c r="H108" i="12" l="1"/>
  <c r="G108" i="12" s="1"/>
  <c r="K108" i="12"/>
  <c r="F109" i="12" s="1"/>
  <c r="H109" i="12" l="1"/>
  <c r="G109" i="12" s="1"/>
  <c r="K109" i="12"/>
  <c r="F110" i="12" s="1"/>
  <c r="H110" i="12" l="1"/>
  <c r="G110" i="12" s="1"/>
  <c r="K110" i="12" s="1"/>
  <c r="F111" i="12" s="1"/>
  <c r="H111" i="12" l="1"/>
  <c r="G111" i="12" s="1"/>
  <c r="K111" i="12" s="1"/>
  <c r="F112" i="12" s="1"/>
  <c r="H112" i="12" l="1"/>
  <c r="G112" i="12" s="1"/>
  <c r="K112" i="12"/>
  <c r="F113" i="12" s="1"/>
  <c r="H113" i="12" l="1"/>
  <c r="G113" i="12" s="1"/>
  <c r="K113" i="12" s="1"/>
  <c r="F114" i="12" s="1"/>
  <c r="H114" i="12" l="1"/>
  <c r="G114" i="12" s="1"/>
  <c r="K114" i="12" s="1"/>
  <c r="F115" i="12" s="1"/>
  <c r="H115" i="12" l="1"/>
  <c r="G115" i="12" s="1"/>
  <c r="K115" i="12" s="1"/>
  <c r="F116" i="12" s="1"/>
  <c r="H116" i="12" l="1"/>
  <c r="G116" i="12" s="1"/>
  <c r="K116" i="12"/>
  <c r="F117" i="12" s="1"/>
  <c r="H117" i="12" l="1"/>
  <c r="G117" i="12" s="1"/>
  <c r="K117" i="12"/>
  <c r="F118" i="12" s="1"/>
  <c r="H118" i="12" l="1"/>
  <c r="G118" i="12" s="1"/>
  <c r="K118" i="12"/>
  <c r="F119" i="12" s="1"/>
  <c r="H119" i="12" l="1"/>
  <c r="G119" i="12" s="1"/>
  <c r="K119" i="12" s="1"/>
  <c r="F120" i="12" s="1"/>
  <c r="H120" i="12" l="1"/>
  <c r="G120" i="12" s="1"/>
  <c r="K120" i="12"/>
  <c r="F121" i="12" s="1"/>
  <c r="H121" i="12" l="1"/>
  <c r="G121" i="12" s="1"/>
  <c r="K121" i="12"/>
  <c r="F122" i="12" s="1"/>
  <c r="H122" i="12" l="1"/>
  <c r="G122" i="12" s="1"/>
  <c r="K122" i="12" s="1"/>
  <c r="F123" i="12" s="1"/>
  <c r="H123" i="12" l="1"/>
  <c r="G123" i="12" s="1"/>
  <c r="K123" i="12" s="1"/>
  <c r="F124" i="12" s="1"/>
  <c r="H124" i="12" l="1"/>
  <c r="G124" i="12" s="1"/>
  <c r="K124" i="12"/>
  <c r="F125" i="12" s="1"/>
  <c r="H125" i="12" l="1"/>
  <c r="G125" i="12" s="1"/>
  <c r="K125" i="12"/>
  <c r="F126" i="12" s="1"/>
  <c r="H126" i="12" l="1"/>
  <c r="G126" i="12" s="1"/>
  <c r="K126" i="12" s="1"/>
  <c r="F127" i="12" s="1"/>
  <c r="H127" i="12" l="1"/>
  <c r="G127" i="12" s="1"/>
  <c r="K127" i="12" s="1"/>
  <c r="F128" i="12" s="1"/>
  <c r="H128" i="12" l="1"/>
  <c r="G128" i="12" s="1"/>
  <c r="K128" i="12"/>
  <c r="F129" i="12" s="1"/>
  <c r="H129" i="12" l="1"/>
  <c r="G129" i="12" s="1"/>
  <c r="K129" i="12" s="1"/>
  <c r="F130" i="12" s="1"/>
  <c r="H130" i="12" l="1"/>
  <c r="G130" i="12" s="1"/>
  <c r="K130" i="12" s="1"/>
  <c r="F131" i="12" s="1"/>
  <c r="H131" i="12" l="1"/>
  <c r="G131" i="12" s="1"/>
  <c r="K131" i="12"/>
  <c r="F132" i="12" s="1"/>
  <c r="H132" i="12" l="1"/>
  <c r="G132" i="12" s="1"/>
  <c r="K132" i="12" s="1"/>
  <c r="F133" i="12" s="1"/>
  <c r="H133" i="12" l="1"/>
  <c r="G133" i="12" s="1"/>
  <c r="K133" i="12"/>
  <c r="F134" i="12" s="1"/>
  <c r="H134" i="12" l="1"/>
  <c r="G134" i="12" s="1"/>
  <c r="K134" i="12" s="1"/>
  <c r="F135" i="12" s="1"/>
  <c r="H135" i="12" l="1"/>
  <c r="G135" i="12" s="1"/>
  <c r="K135" i="12"/>
  <c r="F136" i="12" s="1"/>
  <c r="H136" i="12" l="1"/>
  <c r="G136" i="12" s="1"/>
  <c r="K136" i="12"/>
  <c r="F137" i="12" s="1"/>
  <c r="H137" i="12" l="1"/>
  <c r="G137" i="12" s="1"/>
  <c r="K137" i="12" s="1"/>
  <c r="F138" i="12" s="1"/>
  <c r="H138" i="12" l="1"/>
  <c r="G138" i="12" s="1"/>
  <c r="K138" i="12" s="1"/>
  <c r="F139" i="12" s="1"/>
  <c r="H139" i="12" l="1"/>
  <c r="G139" i="12" s="1"/>
  <c r="K139" i="12" s="1"/>
  <c r="F140" i="12" s="1"/>
  <c r="H140" i="12" l="1"/>
  <c r="G140" i="12" s="1"/>
  <c r="K140" i="12"/>
  <c r="F141" i="12" s="1"/>
  <c r="H141" i="12" l="1"/>
  <c r="G141" i="12" s="1"/>
  <c r="K141" i="12" s="1"/>
  <c r="F142" i="12" s="1"/>
  <c r="H142" i="12" l="1"/>
  <c r="G142" i="12" s="1"/>
  <c r="K142" i="12" s="1"/>
  <c r="F143" i="12" s="1"/>
  <c r="H143" i="12" l="1"/>
  <c r="G143" i="12" s="1"/>
  <c r="K143" i="12" s="1"/>
  <c r="F144" i="12" s="1"/>
  <c r="H144" i="12" l="1"/>
  <c r="G144" i="12" s="1"/>
  <c r="K144" i="12"/>
  <c r="F145" i="12" s="1"/>
  <c r="H145" i="12" l="1"/>
  <c r="G145" i="12" s="1"/>
  <c r="K145" i="12" s="1"/>
  <c r="F146" i="12" s="1"/>
  <c r="H146" i="12" l="1"/>
  <c r="G146" i="12" s="1"/>
  <c r="K146" i="12" s="1"/>
  <c r="F147" i="12" s="1"/>
  <c r="H147" i="12" l="1"/>
  <c r="G147" i="12" s="1"/>
  <c r="K147" i="12" s="1"/>
  <c r="F148" i="12" s="1"/>
  <c r="H148" i="12" l="1"/>
  <c r="G148" i="12" s="1"/>
  <c r="K148" i="12"/>
  <c r="F149" i="12" s="1"/>
  <c r="H149" i="12" l="1"/>
  <c r="G149" i="12" s="1"/>
  <c r="K149" i="12"/>
  <c r="F150" i="12" s="1"/>
  <c r="H150" i="12" l="1"/>
  <c r="G150" i="12" s="1"/>
  <c r="K150" i="12" s="1"/>
  <c r="F151" i="12" s="1"/>
  <c r="H151" i="12" l="1"/>
  <c r="G151" i="12" s="1"/>
  <c r="K151" i="12" s="1"/>
  <c r="F152" i="12" s="1"/>
  <c r="H152" i="12" l="1"/>
  <c r="G152" i="12" s="1"/>
  <c r="K152" i="12"/>
  <c r="F153" i="12" s="1"/>
  <c r="H153" i="12" l="1"/>
  <c r="G153" i="12" s="1"/>
  <c r="K153" i="12"/>
  <c r="F154" i="12" s="1"/>
  <c r="H154" i="12" l="1"/>
  <c r="G154" i="12" s="1"/>
  <c r="K154" i="12" s="1"/>
  <c r="F155" i="12" s="1"/>
  <c r="H155" i="12" l="1"/>
  <c r="G155" i="12" s="1"/>
  <c r="K155" i="12" s="1"/>
  <c r="F156" i="12" s="1"/>
  <c r="H156" i="12" l="1"/>
  <c r="G156" i="12" s="1"/>
  <c r="K156" i="12"/>
  <c r="F157" i="12" s="1"/>
  <c r="H157" i="12" l="1"/>
  <c r="G157" i="12" s="1"/>
  <c r="K157" i="12"/>
  <c r="F158" i="12" s="1"/>
  <c r="H158" i="12" l="1"/>
  <c r="G158" i="12" s="1"/>
  <c r="K158" i="12" s="1"/>
  <c r="F159" i="12" s="1"/>
  <c r="H159" i="12" l="1"/>
  <c r="G159" i="12" s="1"/>
  <c r="K159" i="12" s="1"/>
  <c r="F160" i="12" s="1"/>
  <c r="H160" i="12" l="1"/>
  <c r="G160" i="12" s="1"/>
  <c r="K160" i="12"/>
  <c r="F161" i="12" s="1"/>
  <c r="H161" i="12" l="1"/>
  <c r="G161" i="12" s="1"/>
  <c r="K161" i="12" s="1"/>
  <c r="F162" i="12" s="1"/>
  <c r="H162" i="12" l="1"/>
  <c r="G162" i="12" s="1"/>
  <c r="K162" i="12" s="1"/>
  <c r="F163" i="12" s="1"/>
  <c r="H163" i="12" l="1"/>
  <c r="G163" i="12" s="1"/>
  <c r="K163" i="12" s="1"/>
  <c r="F164" i="12" s="1"/>
  <c r="H164" i="12" l="1"/>
  <c r="G164" i="12" s="1"/>
  <c r="K164" i="12" s="1"/>
  <c r="F165" i="12" s="1"/>
  <c r="H165" i="12" l="1"/>
  <c r="G165" i="12" s="1"/>
  <c r="K165" i="12"/>
  <c r="F166" i="12" s="1"/>
  <c r="H166" i="12" l="1"/>
  <c r="G166" i="12" s="1"/>
  <c r="K166" i="12" s="1"/>
  <c r="F167" i="12" s="1"/>
  <c r="H167" i="12" l="1"/>
  <c r="G167" i="12" s="1"/>
  <c r="K167" i="12"/>
  <c r="F168" i="12" s="1"/>
  <c r="H168" i="12" l="1"/>
  <c r="G168" i="12" s="1"/>
  <c r="K168" i="12"/>
  <c r="F169" i="12" s="1"/>
  <c r="H169" i="12" l="1"/>
  <c r="G169" i="12" s="1"/>
  <c r="K169" i="12"/>
  <c r="F170" i="12" s="1"/>
  <c r="H170" i="12" l="1"/>
  <c r="G170" i="12" s="1"/>
  <c r="K170" i="12" s="1"/>
  <c r="F171" i="12" s="1"/>
  <c r="H171" i="12" l="1"/>
  <c r="G171" i="12" s="1"/>
  <c r="K171" i="12"/>
  <c r="F172" i="12" s="1"/>
  <c r="H172" i="12" l="1"/>
  <c r="G172" i="12" s="1"/>
  <c r="K172" i="12"/>
  <c r="F173" i="12" s="1"/>
  <c r="H173" i="12" l="1"/>
  <c r="G173" i="12" s="1"/>
  <c r="K173" i="12"/>
  <c r="F174" i="12" s="1"/>
  <c r="H174" i="12" l="1"/>
  <c r="G174" i="12" s="1"/>
  <c r="K174" i="12"/>
  <c r="F175" i="12" s="1"/>
  <c r="H175" i="12" l="1"/>
  <c r="G175" i="12" s="1"/>
  <c r="K175" i="12"/>
  <c r="F176" i="12" s="1"/>
  <c r="H176" i="12" l="1"/>
  <c r="G176" i="12" s="1"/>
  <c r="K176" i="12" s="1"/>
  <c r="F177" i="12" s="1"/>
  <c r="H177" i="12" l="1"/>
  <c r="G177" i="12" s="1"/>
  <c r="K177" i="12" s="1"/>
  <c r="F178" i="12" s="1"/>
  <c r="H178" i="12" l="1"/>
  <c r="G178" i="12" s="1"/>
  <c r="K178" i="12" s="1"/>
  <c r="F179" i="12" s="1"/>
  <c r="H179" i="12" l="1"/>
  <c r="G179" i="12" s="1"/>
  <c r="K179" i="12" s="1"/>
  <c r="F180" i="12" s="1"/>
  <c r="H180" i="12" l="1"/>
  <c r="G180" i="12" s="1"/>
  <c r="K180" i="12"/>
  <c r="F181" i="12" s="1"/>
  <c r="H181" i="12" l="1"/>
  <c r="G181" i="12" s="1"/>
  <c r="K181" i="12"/>
  <c r="F182" i="12" s="1"/>
  <c r="H182" i="12" l="1"/>
  <c r="G182" i="12" s="1"/>
  <c r="K182" i="12"/>
  <c r="F183" i="12" s="1"/>
  <c r="H183" i="12" l="1"/>
  <c r="G183" i="12" s="1"/>
  <c r="K183" i="12" s="1"/>
  <c r="F184" i="12" s="1"/>
  <c r="H184" i="12" l="1"/>
  <c r="G184" i="12" s="1"/>
  <c r="K184" i="12"/>
  <c r="F185" i="12" s="1"/>
  <c r="H185" i="12" l="1"/>
  <c r="G185" i="12" s="1"/>
  <c r="K185" i="12"/>
  <c r="F186" i="12" s="1"/>
  <c r="H186" i="12" l="1"/>
  <c r="G186" i="12" s="1"/>
  <c r="K186" i="12"/>
  <c r="F187" i="12" s="1"/>
  <c r="H187" i="12" l="1"/>
  <c r="H5" i="12" l="1"/>
  <c r="G187" i="12"/>
  <c r="G5" i="12" l="1"/>
  <c r="K18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28F75A77-567E-4EB7-A59E-9AC2480944CA}">
      <text>
        <r>
          <rPr>
            <sz val="12"/>
            <color theme="1"/>
            <rFont val="Aptos Narrow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  <author/>
  </authors>
  <commentList>
    <comment ref="H72" authorId="0" shapeId="0" xr:uid="{4D625ED5-4263-4A14-AE63-79513DB5D380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Martin llamo 16/Ene/24 para incrementar a $ 300 a partir de la Declaracion de Enero.</t>
        </r>
      </text>
    </comment>
    <comment ref="J95" authorId="1" shapeId="0" xr:uid="{CED8E19E-1451-4D6F-B08B-92CB022823C1}">
      <text>
        <r>
          <rPr>
            <sz val="12"/>
            <color theme="1"/>
            <rFont val="Aptos Narrow"/>
            <family val="2"/>
            <scheme val="minor"/>
          </rPr>
          <t>$ 2,600 Afinacion 14/mar/24
$ 550 verificacion 10/abr/24
Cambio de Propietario
$ 1200 refrendo       10/ene/24
$ 650 Seguro Azteca 15/feb/24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DDD0B045-D783-4FD3-AD5E-34A02C3ACF15}">
      <text>
        <r>
          <rPr>
            <sz val="12"/>
            <color theme="1"/>
            <rFont val="Aptos Narrow"/>
            <family val="2"/>
            <scheme val="minor"/>
          </rPr>
          <t>======
ID#AAAAqIR3388
Vicente Cueva R    (2023-02-14 04:39:17)
Se genero una disminucion por $2,850.00 Envie correo y nunca recibi respuesta.</t>
        </r>
      </text>
    </comment>
  </commentList>
</comments>
</file>

<file path=xl/sharedStrings.xml><?xml version="1.0" encoding="utf-8"?>
<sst xmlns="http://schemas.openxmlformats.org/spreadsheetml/2006/main" count="4828" uniqueCount="826">
  <si>
    <t>VMA it support</t>
  </si>
  <si>
    <t>Presupuesto y Controles Financieros</t>
  </si>
  <si>
    <t>LIBRO DE DIARIO</t>
  </si>
  <si>
    <t>SALDO</t>
  </si>
  <si>
    <t>SUMAS</t>
  </si>
  <si>
    <t>FEC_MOV</t>
  </si>
  <si>
    <t>BANCO</t>
  </si>
  <si>
    <t>CATEGORIA</t>
  </si>
  <si>
    <t>SUB-CATEGORIA</t>
  </si>
  <si>
    <t>CONCEPTO</t>
  </si>
  <si>
    <t>TRASPASO</t>
  </si>
  <si>
    <t>INGRESO</t>
  </si>
  <si>
    <t>EGRESO</t>
  </si>
  <si>
    <t>ACTINVER</t>
  </si>
  <si>
    <t>BANCOS</t>
  </si>
  <si>
    <t>SALDO INICIAL.</t>
  </si>
  <si>
    <t>AZTECA_V</t>
  </si>
  <si>
    <t>C_INTERNA</t>
  </si>
  <si>
    <t>CAJA</t>
  </si>
  <si>
    <t>I_AZTECA</t>
  </si>
  <si>
    <t>I_POPULAR</t>
  </si>
  <si>
    <t>I_SANTANDER</t>
  </si>
  <si>
    <t>II_AZTECA</t>
  </si>
  <si>
    <t>POPULAR_V</t>
  </si>
  <si>
    <t>SANTANDER</t>
  </si>
  <si>
    <t>VICENTE</t>
  </si>
  <si>
    <t>PERSONALES</t>
  </si>
  <si>
    <t>P_VICENTE</t>
  </si>
  <si>
    <t>SEMANA No. 01</t>
  </si>
  <si>
    <t>P_YOLANDA</t>
  </si>
  <si>
    <t>ANALISIS CLINICOS.</t>
  </si>
  <si>
    <t>SEMANAL</t>
  </si>
  <si>
    <t>G_DESPENSA</t>
  </si>
  <si>
    <t>AUTOMOVIL</t>
  </si>
  <si>
    <t>A_COSUMIBLES</t>
  </si>
  <si>
    <t>GASOLINA PATRIA $ 21.36</t>
  </si>
  <si>
    <t>A_PRESTAMO</t>
  </si>
  <si>
    <t>PAGO ENERO 2024.</t>
  </si>
  <si>
    <t>CUE_CON</t>
  </si>
  <si>
    <t>CC_SIAPA</t>
  </si>
  <si>
    <t>MES ENERO 2024.</t>
  </si>
  <si>
    <t>INGRESOS</t>
  </si>
  <si>
    <t>VMA_IT_SUPPORT</t>
  </si>
  <si>
    <t>SERVICIOS</t>
  </si>
  <si>
    <t>SIAPA_JACAR</t>
  </si>
  <si>
    <t>ITEKNIA</t>
  </si>
  <si>
    <t>R_ZARKIN</t>
  </si>
  <si>
    <t>N_ZARKIN</t>
  </si>
  <si>
    <t>PERIODO No. 01  Y 02.</t>
  </si>
  <si>
    <t>G_VICENTE</t>
  </si>
  <si>
    <t>ESTACIONAMIENTO WALL M.</t>
  </si>
  <si>
    <t>CRIPTA</t>
  </si>
  <si>
    <t>MANTENIMIENTO ANUAL 2024</t>
  </si>
  <si>
    <t>PRED_JACAR</t>
  </si>
  <si>
    <t>AÑO 2024</t>
  </si>
  <si>
    <t>PRED_MIGUEL</t>
  </si>
  <si>
    <t>G_FIN_SEM</t>
  </si>
  <si>
    <t>GELATINA</t>
  </si>
  <si>
    <t>POLLO</t>
  </si>
  <si>
    <t>NIEVE EN CHEDAWI.</t>
  </si>
  <si>
    <t>INTERESES ENERO 2024.</t>
  </si>
  <si>
    <t>CARNICERIA</t>
  </si>
  <si>
    <t>TORTILLAS</t>
  </si>
  <si>
    <t>AGUA FRESCA.</t>
  </si>
  <si>
    <t>PERIODO No. 03 (1 y 2 DESC. PAGO CELULAR).</t>
  </si>
  <si>
    <t>SEMANA No. 02</t>
  </si>
  <si>
    <t>SALCHIPULPOS TONALA</t>
  </si>
  <si>
    <t>A_REFRENDO</t>
  </si>
  <si>
    <t>INTERESES AL CORTE</t>
  </si>
  <si>
    <t>DESAYUNO CHILAQUILES MALECON</t>
  </si>
  <si>
    <t>CONTADOR</t>
  </si>
  <si>
    <t>MES DICIEMBRE 2023</t>
  </si>
  <si>
    <t>ISR_CURV</t>
  </si>
  <si>
    <t>TERTIUS</t>
  </si>
  <si>
    <t>PRESTAMO PARA ESTUDIOS.</t>
  </si>
  <si>
    <t>BAÑOS.</t>
  </si>
  <si>
    <t>LIBROS EN VICARIA PASTORAL.</t>
  </si>
  <si>
    <t>2 PLUMAS APOYO CASA REH.</t>
  </si>
  <si>
    <t>TARJETA TREN LIGERO.</t>
  </si>
  <si>
    <t>DESAYUNO.</t>
  </si>
  <si>
    <t>TORTAS MORE.</t>
  </si>
  <si>
    <t>COMIDA.</t>
  </si>
  <si>
    <t>CENA</t>
  </si>
  <si>
    <t>CC_NETFLIX</t>
  </si>
  <si>
    <t>SEMANA No. 03</t>
  </si>
  <si>
    <t>PRESTAMO PARA DR. HORMONAS.</t>
  </si>
  <si>
    <t>CEL_YOLANDA</t>
  </si>
  <si>
    <t>CC_TOTAL</t>
  </si>
  <si>
    <t>GASOLINA PATRIA $ 21.77</t>
  </si>
  <si>
    <t>VASO CON ELOTE.</t>
  </si>
  <si>
    <t>PICONES.</t>
  </si>
  <si>
    <t>CARNES NAVARRETE.</t>
  </si>
  <si>
    <t>HOT CAKE.</t>
  </si>
  <si>
    <t>SALCHIPULPOS.</t>
  </si>
  <si>
    <t>MISAL DE FEBRERO 2024.</t>
  </si>
  <si>
    <t>TACOS BARBACOA EL CARNAL.</t>
  </si>
  <si>
    <t>CC_ESCUELA</t>
  </si>
  <si>
    <t>DIPLOMADO</t>
  </si>
  <si>
    <t>SEMANA No. 04</t>
  </si>
  <si>
    <t>NO IDENTIFICADOS</t>
  </si>
  <si>
    <t>PALETA Y NIEVE.</t>
  </si>
  <si>
    <t>VERDURA CON CREMA.</t>
  </si>
  <si>
    <t>CC_AVEO</t>
  </si>
  <si>
    <t>ABONO AVEO.</t>
  </si>
  <si>
    <t>LONCHE Z.I.</t>
  </si>
  <si>
    <t>CACAHUATES GARAPIÑADOS.</t>
  </si>
  <si>
    <t>PERIODO No. 04 (3 y 4 DESC. PAGO CELULAR).</t>
  </si>
  <si>
    <t>A_MANTENER</t>
  </si>
  <si>
    <t>ANTICIPO REPARACION COMPUTADORA RIVERA</t>
  </si>
  <si>
    <t>TACOS DE BIRRIA.</t>
  </si>
  <si>
    <t>HAMBRE ANTOJO NIÑOS.</t>
  </si>
  <si>
    <t>DOÑA INES.</t>
  </si>
  <si>
    <t>SANDWSH</t>
  </si>
  <si>
    <t>CC_CFE</t>
  </si>
  <si>
    <t>BIMESTRE DIC/ENE 24</t>
  </si>
  <si>
    <t>SEMANA No. 05</t>
  </si>
  <si>
    <t>INTERESES DE INVERSION</t>
  </si>
  <si>
    <t>PERIODO No. 05 (5 DESC. PAGO CELULAR)</t>
  </si>
  <si>
    <t>CFE_JACAR</t>
  </si>
  <si>
    <t>MES FEBRERO 2024.</t>
  </si>
  <si>
    <t>CORTE PELO GLORIA.</t>
  </si>
  <si>
    <t>PALOMITAS</t>
  </si>
  <si>
    <t>CAJA DE GALLETAS.</t>
  </si>
  <si>
    <t>TIENDA VARIOS</t>
  </si>
  <si>
    <t>SEMANA No. 06</t>
  </si>
  <si>
    <t>INTERESE ENERO 2024</t>
  </si>
  <si>
    <t>CASA</t>
  </si>
  <si>
    <t>C_JACARANDA</t>
  </si>
  <si>
    <t>BAUMA DIGITAL DE MUÑECA</t>
  </si>
  <si>
    <t>HOJAS PARA IMPRESORA</t>
  </si>
  <si>
    <t>ESMALTE PARA VENTANAS ESCALERA</t>
  </si>
  <si>
    <t>CHURROS.</t>
  </si>
  <si>
    <t>NIEVE Y PALETA.</t>
  </si>
  <si>
    <t>GARAPIÑADOS.</t>
  </si>
  <si>
    <t>DOLONEUROBION Y OMEPRAZOL</t>
  </si>
  <si>
    <t>GALLETAS Y BEBIDAS.</t>
  </si>
  <si>
    <t>REFRESCO</t>
  </si>
  <si>
    <t>CENADURIA MIREYA.</t>
  </si>
  <si>
    <t>CHOCOLATES.</t>
  </si>
  <si>
    <t>TACOS CAMICHINES</t>
  </si>
  <si>
    <t>SEMANA No. 07</t>
  </si>
  <si>
    <t>INTERESES AL CIERRE</t>
  </si>
  <si>
    <t>OMEGAS PARA TUBO DE 1/2".</t>
  </si>
  <si>
    <t>PERIODO No. 07</t>
  </si>
  <si>
    <t>SILLONES PARA LA SALA T.P.</t>
  </si>
  <si>
    <t>SERVICIO RIVERA (MEC. COMPUTADORA)</t>
  </si>
  <si>
    <t>CC_JESSY</t>
  </si>
  <si>
    <t>PRESTAMO.</t>
  </si>
  <si>
    <t>EXTRAS</t>
  </si>
  <si>
    <t>E_NIÑOS</t>
  </si>
  <si>
    <t>PLATICA PARA PADRINOS.</t>
  </si>
  <si>
    <t>MISA PRIMERA COMUNION MAURICIO.</t>
  </si>
  <si>
    <t>YOGURTH Y JERICALLA.</t>
  </si>
  <si>
    <t>HOT CAKES.</t>
  </si>
  <si>
    <t>DESAYUNO</t>
  </si>
  <si>
    <t>INTERESES FEBRERO Y RENOVACION.</t>
  </si>
  <si>
    <t>INTERES AL CERRAR INVERSION AZTECA.</t>
  </si>
  <si>
    <t>SEMANA No. 08</t>
  </si>
  <si>
    <t>PERIODO NO. 08</t>
  </si>
  <si>
    <t>CC_EMAN</t>
  </si>
  <si>
    <t>CEDULA PROFECIONAL.</t>
  </si>
  <si>
    <t>VENTILADOR DE PEDESTAL.</t>
  </si>
  <si>
    <t>K.F.C.</t>
  </si>
  <si>
    <t>NIEVE DE GARRAFA</t>
  </si>
  <si>
    <t>ESTACIONAMIENTO.</t>
  </si>
  <si>
    <t>LONCHES BETO.</t>
  </si>
  <si>
    <t>REFRESCOS.</t>
  </si>
  <si>
    <t>HOT DOGS DON JAIME.</t>
  </si>
  <si>
    <t>RED COLA.</t>
  </si>
  <si>
    <t>SEMANA No. 09</t>
  </si>
  <si>
    <t>GASOLINA PATRIA $ 21.89</t>
  </si>
  <si>
    <t>COMPRA DE LAVADORA.</t>
  </si>
  <si>
    <t>PAY DE ELOTE.</t>
  </si>
  <si>
    <t>TEJUINO GRANDE.</t>
  </si>
  <si>
    <t>PERIODO No. 09</t>
  </si>
  <si>
    <t>FRUTA EN LA LOMA.</t>
  </si>
  <si>
    <t>MES MARZO 2024</t>
  </si>
  <si>
    <t>PARA DIPLOMADO.</t>
  </si>
  <si>
    <t>ADELANTO PARA GASTO.</t>
  </si>
  <si>
    <t>PESCADO, PARA TODA LA SEMANA.</t>
  </si>
  <si>
    <t>PARA ESTUDIO GASTRO.</t>
  </si>
  <si>
    <t>SEMANA No. 10</t>
  </si>
  <si>
    <t>HUEVOS PARA EL DESAYUNO</t>
  </si>
  <si>
    <t>Presupuesto y Control Financiero</t>
  </si>
  <si>
    <t>Catalogo de Categorias</t>
  </si>
  <si>
    <t>CAPACITACION</t>
  </si>
  <si>
    <t>OCIO</t>
  </si>
  <si>
    <t>A_AFINACION</t>
  </si>
  <si>
    <t>C_VICENTE</t>
  </si>
  <si>
    <t>C_GENERAL</t>
  </si>
  <si>
    <t>E_DIVERSOS</t>
  </si>
  <si>
    <t>O_CABLE</t>
  </si>
  <si>
    <t>C_YOLANDA</t>
  </si>
  <si>
    <t>E_EMANUEL</t>
  </si>
  <si>
    <t>O_PASEOS</t>
  </si>
  <si>
    <t>A_HOLOGRAMA</t>
  </si>
  <si>
    <t>C_MIGUEL</t>
  </si>
  <si>
    <t>E_JESSY</t>
  </si>
  <si>
    <t>O_REUNIONES</t>
  </si>
  <si>
    <t>CFE_MIGUEL</t>
  </si>
  <si>
    <t>C_MISISIPI</t>
  </si>
  <si>
    <t>O_VACACIONES</t>
  </si>
  <si>
    <t>E_SJTC</t>
  </si>
  <si>
    <t>E_PARIENTES</t>
  </si>
  <si>
    <t>GAS_JACAR</t>
  </si>
  <si>
    <t>A_SEGURO</t>
  </si>
  <si>
    <t>CC_NIÑOS</t>
  </si>
  <si>
    <t>LIC_VICENTE</t>
  </si>
  <si>
    <t>CC_GAS</t>
  </si>
  <si>
    <t>LIC_YOLANDA</t>
  </si>
  <si>
    <t>CC_VARIOS</t>
  </si>
  <si>
    <t>SIAPA_MIGUEL</t>
  </si>
  <si>
    <t>VMA IT Support</t>
  </si>
  <si>
    <t>FECHA</t>
  </si>
  <si>
    <t>EFECTIVO</t>
  </si>
  <si>
    <t>HORA CORTE</t>
  </si>
  <si>
    <t>RESUMEN DE INFORMACION</t>
  </si>
  <si>
    <t>CIRCULANTE</t>
  </si>
  <si>
    <t>FIJO</t>
  </si>
  <si>
    <t>IMPORTE</t>
  </si>
  <si>
    <t>VENCE</t>
  </si>
  <si>
    <t>%</t>
  </si>
  <si>
    <t>TOTAL</t>
  </si>
  <si>
    <t>GRAN TOTAL</t>
  </si>
  <si>
    <t>DIFERENCIA</t>
  </si>
  <si>
    <t>ID</t>
  </si>
  <si>
    <t>Billetes</t>
  </si>
  <si>
    <t>Monedas</t>
  </si>
  <si>
    <t>SUMA:</t>
  </si>
  <si>
    <t>LICUADORA 2V GBPB/GWPB (CHEDRAUI)</t>
  </si>
  <si>
    <t>PRESUPUESTO GLOBAL</t>
  </si>
  <si>
    <t>CATEGORIA
SUB CATEGORIA</t>
  </si>
  <si>
    <t>SEMANA</t>
  </si>
  <si>
    <t>MES</t>
  </si>
  <si>
    <t>EJERCIDO</t>
  </si>
  <si>
    <t>REAL</t>
  </si>
  <si>
    <t>PROGRAMA</t>
  </si>
  <si>
    <t>NOTAS</t>
  </si>
  <si>
    <t>EGRESOS</t>
  </si>
  <si>
    <t>RESULTADO</t>
  </si>
  <si>
    <t>Semanas</t>
  </si>
  <si>
    <t>PRIMEROS MES</t>
  </si>
  <si>
    <t>C/VIERNES</t>
  </si>
  <si>
    <t>ABRIL / ANUAL</t>
  </si>
  <si>
    <t>OCTUBRE / ANUAL</t>
  </si>
  <si>
    <t>ENE / ANUAL</t>
  </si>
  <si>
    <t>C/LUNES</t>
  </si>
  <si>
    <t>C/SABADO</t>
  </si>
  <si>
    <t>C/20 MES</t>
  </si>
  <si>
    <t>C/10 BIMESTRE</t>
  </si>
  <si>
    <t>ZARKIN</t>
  </si>
  <si>
    <t>C/15 MES</t>
  </si>
  <si>
    <t>OCT / ANUAL</t>
  </si>
  <si>
    <t>GAS_MIGUEL</t>
  </si>
  <si>
    <t>NO HAY ESTUFA</t>
  </si>
  <si>
    <t>C / 4 AÑOS 30/ENE/23</t>
  </si>
  <si>
    <t>C / 4 AÑOS 08/JUN/21</t>
  </si>
  <si>
    <t>C/9 MES</t>
  </si>
  <si>
    <t>C/03 BIMES.</t>
  </si>
  <si>
    <t>C/22 MES</t>
  </si>
  <si>
    <t>Vicente Cueva Ramirez</t>
  </si>
  <si>
    <t>Resumen de Documentos</t>
  </si>
  <si>
    <t>ACTUALIZADO</t>
  </si>
  <si>
    <t>DOCUMENTO</t>
  </si>
  <si>
    <t>CLAVE</t>
  </si>
  <si>
    <t>A DOMICILIO1</t>
  </si>
  <si>
    <t>REAL DE LAS JACARANDAS No. 179</t>
  </si>
  <si>
    <t>A DOMICILIO2</t>
  </si>
  <si>
    <t>ENTRE REAL DE LAS MAGNOLIAS Y REAL DE LOS OLIVOS.</t>
  </si>
  <si>
    <t>A DOMICILIO3</t>
  </si>
  <si>
    <t>RESIDENCIAL PLAZA CAMICHINES</t>
  </si>
  <si>
    <t>CP: 45403</t>
  </si>
  <si>
    <t>A DOMICILIO4</t>
  </si>
  <si>
    <t>TONALA, JALISCO, MEXICO</t>
  </si>
  <si>
    <t>A DOMICILIO5</t>
  </si>
  <si>
    <t>TEL: 33-3680-2181</t>
  </si>
  <si>
    <t>CEL +52-33-3584-1822</t>
  </si>
  <si>
    <t>CARTILLA</t>
  </si>
  <si>
    <t xml:space="preserve">SERVICIO MILITAR </t>
  </si>
  <si>
    <t>B-1894667 CLASE 63</t>
  </si>
  <si>
    <t>CURP</t>
  </si>
  <si>
    <t>REGISTRO UNICO DE POBLACION</t>
  </si>
  <si>
    <t>CURV630707HJCVMC01</t>
  </si>
  <si>
    <t>IMSS</t>
  </si>
  <si>
    <t>SEGURIDAD SOCIAL</t>
  </si>
  <si>
    <t>0482-63-6716-3</t>
  </si>
  <si>
    <t>RFC</t>
  </si>
  <si>
    <t>REGISTRO FEDERAL DE CAUSANTES</t>
  </si>
  <si>
    <t>CURV630707QS9</t>
  </si>
  <si>
    <t>Empleado y Arrendador (Chente77)</t>
  </si>
  <si>
    <t>INE</t>
  </si>
  <si>
    <t>IDMEX1285454148</t>
  </si>
  <si>
    <t>INNOVA CARD</t>
  </si>
  <si>
    <t>PREPAGO PARA TRANSPORTE PUBLICO.</t>
  </si>
  <si>
    <t>0444685A595C80</t>
  </si>
  <si>
    <t>04375B5AB35580</t>
  </si>
  <si>
    <t>TREN LIGERO YOLANDA.</t>
  </si>
  <si>
    <t>BANCO AZTECA. CUENTA 70340217587302</t>
  </si>
  <si>
    <t>B. AZT CLABE</t>
  </si>
  <si>
    <t>12 7320 0021 7587 3024</t>
  </si>
  <si>
    <t>B. SAN TARJETA</t>
  </si>
  <si>
    <t>SANTANDER Cta: 60-57748653-4  Cli 39722278</t>
  </si>
  <si>
    <t>5579-0700-5686-8949</t>
  </si>
  <si>
    <t>Vence: 02 / 2026</t>
  </si>
  <si>
    <t>B. SAN CLABE</t>
  </si>
  <si>
    <t>01 4320 6057 7486 5341</t>
  </si>
  <si>
    <t>B. CPSR TARJETA</t>
  </si>
  <si>
    <t>SAN RAFAEL CUENTA 00003740242</t>
  </si>
  <si>
    <t>RELACION DE TARJETAS QUE CARGO</t>
  </si>
  <si>
    <t>BANCO AZTECA</t>
  </si>
  <si>
    <t>4027-6657-1483-1600</t>
  </si>
  <si>
    <t>SANTANDER VICENTE</t>
  </si>
  <si>
    <t>VEN 2025</t>
  </si>
  <si>
    <t>LICENCIA CHOFER VICENTE</t>
  </si>
  <si>
    <t>Pensionado</t>
  </si>
  <si>
    <t>VICENTE CUEVA RAMIREZ</t>
  </si>
  <si>
    <t>AZTECA</t>
  </si>
  <si>
    <t>(NIP-9592) VEN 09/24</t>
  </si>
  <si>
    <t>(NIP-4758) VEN 02/26</t>
  </si>
  <si>
    <t>6R67584895</t>
  </si>
  <si>
    <t>VEN 08/03/2027</t>
  </si>
  <si>
    <t>TRANSPORTE</t>
  </si>
  <si>
    <t>VIALIDAD</t>
  </si>
  <si>
    <t>Relacion de Accesos Varios</t>
  </si>
  <si>
    <t>Fecha
Actualizacion</t>
  </si>
  <si>
    <t>Entidad</t>
  </si>
  <si>
    <t>Concepto</t>
  </si>
  <si>
    <t>Link</t>
  </si>
  <si>
    <t>Usuario</t>
  </si>
  <si>
    <t>PWR</t>
  </si>
  <si>
    <t>Notas</t>
  </si>
  <si>
    <t>VMA</t>
  </si>
  <si>
    <t>Victoria77</t>
  </si>
  <si>
    <t>AFORE MOVIL</t>
  </si>
  <si>
    <t>Profuturo -&gt; Azteca.</t>
  </si>
  <si>
    <t>CURV-630707-HJCVMC-01</t>
  </si>
  <si>
    <t>vicente1963</t>
  </si>
  <si>
    <t>Celular 33-3584-1822</t>
  </si>
  <si>
    <t>ANTIVIRUS</t>
  </si>
  <si>
    <t>KASPERKY</t>
  </si>
  <si>
    <t>KLAdmin</t>
  </si>
  <si>
    <t>@Nt1v1&amp;u5</t>
  </si>
  <si>
    <t>Equipos en General</t>
  </si>
  <si>
    <t>Banca Celular</t>
  </si>
  <si>
    <t>Mauricio77</t>
  </si>
  <si>
    <t>https://www.bancoazteca.com.mx</t>
  </si>
  <si>
    <t>vcuevar / toke celular</t>
  </si>
  <si>
    <t>NIP 9592   -&gt; Anterior 4758vic</t>
  </si>
  <si>
    <t>NETFLIX</t>
  </si>
  <si>
    <t>https://www.netflix.com</t>
  </si>
  <si>
    <t>joseemanuelc@gmail.com</t>
  </si>
  <si>
    <t>EmaNetflix2020</t>
  </si>
  <si>
    <t>Cuenta de Emanuel.</t>
  </si>
  <si>
    <t>vcuevar@gmail.com</t>
  </si>
  <si>
    <t>Invitado Emanuel.</t>
  </si>
  <si>
    <t>C.F.E.</t>
  </si>
  <si>
    <t>https://app.cfe.mx/Aplicaciones/CCFE/MiEspacio/Login.aspx</t>
  </si>
  <si>
    <t>vcuevar77</t>
  </si>
  <si>
    <t>https://cajasanrafael.turbopacmx.com/ConsultaDeSocios/</t>
  </si>
  <si>
    <t>10110316750</t>
  </si>
  <si>
    <t>Victoria&amp;Janine77</t>
  </si>
  <si>
    <t>COCA COLA</t>
  </si>
  <si>
    <t>https://www.coca-colaentuhogar.com/customer/account/</t>
  </si>
  <si>
    <t>Victoria&amp;77</t>
  </si>
  <si>
    <t>CORREOS</t>
  </si>
  <si>
    <t>Y CUENTAS DE HOTMAIL MICROSOFT</t>
  </si>
  <si>
    <t>vcuevar@hotmail.com</t>
  </si>
  <si>
    <t>DOCKER</t>
  </si>
  <si>
    <t>https://hub.docker.com/signup</t>
  </si>
  <si>
    <t>vcuevar</t>
  </si>
  <si>
    <t>GITHUB</t>
  </si>
  <si>
    <t>SIZ, REPO, KD</t>
  </si>
  <si>
    <t>Victoria77Janine</t>
  </si>
  <si>
    <t>Para realizar cambios y subir a la Nube.</t>
  </si>
  <si>
    <t>https://www.imss.gob.mx/derechoH/semanas-cotizadas</t>
  </si>
  <si>
    <t>0482636716-3</t>
  </si>
  <si>
    <t>kjxLK1038</t>
  </si>
  <si>
    <t>Reporte de Semanas Cotizadas</t>
  </si>
  <si>
    <t>INSTAGRAM</t>
  </si>
  <si>
    <t>www.instagram.com</t>
  </si>
  <si>
    <t>Correo: vcuevar@hotmail.com</t>
  </si>
  <si>
    <t>Desbloquear Estados de Cuenta.</t>
  </si>
  <si>
    <t>kzE6D2070763</t>
  </si>
  <si>
    <t>Dejo de funcionar??</t>
  </si>
  <si>
    <t>Santander Movil</t>
  </si>
  <si>
    <t>https://www.santander.com.mx/</t>
  </si>
  <si>
    <t>Mauris77</t>
  </si>
  <si>
    <t>Cliente: 23696198 ID:4758</t>
  </si>
  <si>
    <t>SAT</t>
  </si>
  <si>
    <t>http://www.sat.gob.mx/Paginas/Inicio.aspx</t>
  </si>
  <si>
    <t>Chente77</t>
  </si>
  <si>
    <t>Con la FIEL</t>
  </si>
  <si>
    <t>SASY63</t>
  </si>
  <si>
    <t>Mauricio&amp;63</t>
  </si>
  <si>
    <t>SIAPA</t>
  </si>
  <si>
    <t>https://www.siapa.gob.mx/reciboenlinea</t>
  </si>
  <si>
    <t>Recibos de Vicente</t>
  </si>
  <si>
    <t>Recibos de Emanuel</t>
  </si>
  <si>
    <t>TELMEX</t>
  </si>
  <si>
    <t>https://telmex.com/web/negocios</t>
  </si>
  <si>
    <t>3336802181</t>
  </si>
  <si>
    <t>https://acreditados.tertius.com.mx/acceso/tertius</t>
  </si>
  <si>
    <t>160815</t>
  </si>
  <si>
    <t>CREDITO NO. 160815, Se cambio contraseña 13/Juli/23 por Juan Velazquez entro de tertius.</t>
  </si>
  <si>
    <t>ZOOM</t>
  </si>
  <si>
    <t>https://zoom.us/</t>
  </si>
  <si>
    <t>Clave Anfitrion:  527253</t>
  </si>
  <si>
    <t>SPOTIFY</t>
  </si>
  <si>
    <t>spotify.com</t>
  </si>
  <si>
    <t>Registrado con Gogle</t>
  </si>
  <si>
    <t>TIKTOK</t>
  </si>
  <si>
    <t>https://www.tiktok.com</t>
  </si>
  <si>
    <t>Con Google</t>
  </si>
  <si>
    <t>CHATGPT</t>
  </si>
  <si>
    <t>https://www.chat.openai.com</t>
  </si>
  <si>
    <t>YOLANDA</t>
  </si>
  <si>
    <t>MERCADO LIBRE</t>
  </si>
  <si>
    <t>https://www.mercadolibre.com.mx/</t>
  </si>
  <si>
    <t>myssantillan@gmal.com</t>
  </si>
  <si>
    <t>Mauricio24</t>
  </si>
  <si>
    <t>Genero cuenta 16/Ene/2024</t>
  </si>
  <si>
    <t>VMA IT SUPPORT</t>
  </si>
  <si>
    <t>Distribucion de Dinero</t>
  </si>
  <si>
    <t>Cantidad</t>
  </si>
  <si>
    <t>Denominar</t>
  </si>
  <si>
    <t>Importe</t>
  </si>
  <si>
    <t>SUMA</t>
  </si>
  <si>
    <t>DENOMINACION</t>
  </si>
  <si>
    <t>- - - - - - - - - - - - - - - - - - -</t>
  </si>
  <si>
    <t>LONCHE EN ZONA INDUSTRIAL.</t>
  </si>
  <si>
    <t>PERIODO No. 10</t>
  </si>
  <si>
    <t>COCO PARA BOTANEAR.</t>
  </si>
  <si>
    <t>TRES CALCETINES.</t>
  </si>
  <si>
    <t>MANGUERA Y LLAVE PARA TANQUE DEL BAÑO.</t>
  </si>
  <si>
    <t>BEBIDAS DE SAVILA.</t>
  </si>
  <si>
    <t>GALLETAS SAN JUDAS.</t>
  </si>
  <si>
    <t>SEMANA No. 11</t>
  </si>
  <si>
    <t>TORNILLOS, TAQUETES, BROCA.</t>
  </si>
  <si>
    <t>INTERESES GUARDADITO.</t>
  </si>
  <si>
    <t>CIERRE DE INVERSION</t>
  </si>
  <si>
    <t>INTERESES INVERSION.</t>
  </si>
  <si>
    <t>ISR DE INTERESES.</t>
  </si>
  <si>
    <t xml:space="preserve">APERTURA INVERSION </t>
  </si>
  <si>
    <t>REPARACION DE LUCES, JORGE RIVERO.</t>
  </si>
  <si>
    <t>JSH6229</t>
  </si>
  <si>
    <t>MA6CA6AD6HT002702</t>
  </si>
  <si>
    <t>SPARK CLASIC</t>
  </si>
  <si>
    <t>2017</t>
  </si>
  <si>
    <t>NIV / PLACAS / MODELOS (AÑO).</t>
  </si>
  <si>
    <t>ANTICIPO MAYA SOMBRA.</t>
  </si>
  <si>
    <t>2.- VENTILADORES NEGROS.</t>
  </si>
  <si>
    <t>GRUA PARA LLEVAR CARRO CON JORGE.</t>
  </si>
  <si>
    <t>VERIFICACION CONTROLADA.</t>
  </si>
  <si>
    <t>BUÑUELOS.</t>
  </si>
  <si>
    <t>PARA COMPRA DE LA FLECHA LADO CHOFER.</t>
  </si>
  <si>
    <t>PERIODO No. 11</t>
  </si>
  <si>
    <t>LIMPIEZA CON DR. ISAAC DENTISTA.</t>
  </si>
  <si>
    <t>PAGO A PRESTAMO</t>
  </si>
  <si>
    <t>COMPRA VARILLAJE AVEO, SERVICIO RIVERA.</t>
  </si>
  <si>
    <t>MENSUALIDAD ESCUELA.</t>
  </si>
  <si>
    <t>GASOLINERIA LAS PIEDROTAS</t>
  </si>
  <si>
    <t>LENTES DE LECTURA 1.5</t>
  </si>
  <si>
    <t>PRESTAMO PARA PAGO IMSS.</t>
  </si>
  <si>
    <t>MANO DE OBRA MECANICO.</t>
  </si>
  <si>
    <t>PRESTAMO PARA GASOLINA Y VARIOS.</t>
  </si>
  <si>
    <t>CIRIO PARA BENDECIR.</t>
  </si>
  <si>
    <t>TACOS LOS PRIMOS.</t>
  </si>
  <si>
    <t>SEMANA No. 12</t>
  </si>
  <si>
    <t>COLECCIÓN MONEDAS</t>
  </si>
  <si>
    <t>PRESTAMO PARA MAYA.</t>
  </si>
  <si>
    <t>PERIODO No. 12</t>
  </si>
  <si>
    <t>HAMABRE ANTOJO NIÑOS.</t>
  </si>
  <si>
    <t>APARTADO DE LA CASA.</t>
  </si>
  <si>
    <t>NIEVES</t>
  </si>
  <si>
    <t>SALCHIPULPOS</t>
  </si>
  <si>
    <t>BIRRIA MAY</t>
  </si>
  <si>
    <t>REFRESCO Y YOGURTH</t>
  </si>
  <si>
    <t>PRESTAMO A YOLANDA,</t>
  </si>
  <si>
    <t>SEMANA No. 13</t>
  </si>
  <si>
    <t>BURO DE CREDITO.</t>
  </si>
  <si>
    <t>BIBLIA AZUL PARA MAURICIO.</t>
  </si>
  <si>
    <t>TIRAR BASURA.</t>
  </si>
  <si>
    <t>PERIODO No. 13</t>
  </si>
  <si>
    <t>POLICARBONATO PARA ESCALERA.</t>
  </si>
  <si>
    <t>DENTISTA CARLOS ISAAC.</t>
  </si>
  <si>
    <t>ELOTE EN TLAQUEPAQUE</t>
  </si>
  <si>
    <t>LONA PARA ALBERCA, SILICON Y CLORO.</t>
  </si>
  <si>
    <t>BASURA</t>
  </si>
  <si>
    <t>MES ABRIL 2024.</t>
  </si>
  <si>
    <t>CAJA POPULAR SAN RAFAEL SC DE AP DE RL DE CV</t>
  </si>
  <si>
    <t>ANUAL</t>
  </si>
  <si>
    <r>
      <t xml:space="preserve">No. de SOCIO: </t>
    </r>
    <r>
      <rPr>
        <b/>
        <sz val="12"/>
        <color rgb="FF0000CC"/>
        <rFont val="Arial"/>
        <family val="2"/>
      </rPr>
      <t xml:space="preserve">10110316750 </t>
    </r>
    <r>
      <rPr>
        <b/>
        <sz val="12"/>
        <rFont val="Arial"/>
        <family val="2"/>
      </rPr>
      <t>No. De CREDITO:</t>
    </r>
    <r>
      <rPr>
        <b/>
        <sz val="12"/>
        <color rgb="FF0000CC"/>
        <rFont val="Arial"/>
        <family val="2"/>
      </rPr>
      <t xml:space="preserve"> 60120115113394 </t>
    </r>
  </si>
  <si>
    <t>PRODUCTO:</t>
  </si>
  <si>
    <r>
      <rPr>
        <b/>
        <sz val="12"/>
        <color rgb="FF0000CC"/>
        <rFont val="Arial"/>
        <family val="2"/>
      </rPr>
      <t>6012</t>
    </r>
    <r>
      <rPr>
        <b/>
        <sz val="12"/>
        <color theme="1"/>
        <rFont val="Arial"/>
        <family val="2"/>
      </rPr>
      <t xml:space="preserve"> AUTO SEMI-NUEVO PAGOS IGUALES.</t>
    </r>
  </si>
  <si>
    <t>Correo:  vcuevar@gmail.com</t>
  </si>
  <si>
    <t>No.</t>
  </si>
  <si>
    <t>Fecha</t>
  </si>
  <si>
    <t>Tipo de Mov.</t>
  </si>
  <si>
    <t>Dias</t>
  </si>
  <si>
    <t>SALDO INICIAL</t>
  </si>
  <si>
    <t>CAPITAL</t>
  </si>
  <si>
    <t>INTERÉS</t>
  </si>
  <si>
    <t>I.V.A.</t>
  </si>
  <si>
    <t>SALDO FINAL</t>
  </si>
  <si>
    <t>COMPRA DEL SPARK 2017.</t>
  </si>
  <si>
    <t>ABONO A SALDO</t>
  </si>
  <si>
    <t>TERTIUS, S.A.P. DE C.V. SOFOME,N.R.</t>
  </si>
  <si>
    <t>Tel. 81-3040-5060</t>
  </si>
  <si>
    <t>CUEVA RAMIREZ VICENTE</t>
  </si>
  <si>
    <t>CREDITO NO. 160815</t>
  </si>
  <si>
    <t>PAGO PRG.</t>
  </si>
  <si>
    <t>ADELANTO</t>
  </si>
  <si>
    <t>SEG. DAÑOS</t>
  </si>
  <si>
    <t>SEG. VIDA</t>
  </si>
  <si>
    <t>MANTTO</t>
  </si>
  <si>
    <t>PAGO</t>
  </si>
  <si>
    <t>Fecha
Pago</t>
  </si>
  <si>
    <t>EDO DE CTA.</t>
  </si>
  <si>
    <t>NO IDENTIFICADO</t>
  </si>
  <si>
    <t>XXXXXXXX</t>
  </si>
  <si>
    <t>SEMANA No. 14</t>
  </si>
  <si>
    <t>PEÑAFIEL, GELATINA Y CACAHUATES.</t>
  </si>
  <si>
    <t>CELULAR</t>
  </si>
  <si>
    <t>Buzon de Voz</t>
  </si>
  <si>
    <t>*86</t>
  </si>
  <si>
    <t>4758</t>
  </si>
  <si>
    <t>Para recuperar mensajes de voz.</t>
  </si>
  <si>
    <t>EXTRACCION DE DOS PIEZAS.</t>
  </si>
  <si>
    <t>2DO / 7 PAGO DENTISTA ISAAC, YOLANDA S.</t>
  </si>
  <si>
    <t>3ER. / 7 PAGO DENTISTA ISAAC, YOLANDA S.</t>
  </si>
  <si>
    <t>MEDICINA TRATAMIENTO POR LA EXTRACCION.</t>
  </si>
  <si>
    <t>PERIODO No. 14</t>
  </si>
  <si>
    <t>PARA AFINACION Y SEGURO.</t>
  </si>
  <si>
    <t>PAGO DE CURSOS.</t>
  </si>
  <si>
    <t>PRESTAMO PERSONAL.</t>
  </si>
  <si>
    <t>SEMANA No. 15</t>
  </si>
  <si>
    <t>PLUMAS PUNTO FINO BIC AZUL.</t>
  </si>
  <si>
    <t>CACAHUATES Y PEÑAFIEL</t>
  </si>
  <si>
    <t>POLLO PEPE.</t>
  </si>
  <si>
    <t>HAMBRE ANTOJO.</t>
  </si>
  <si>
    <t>PAGO PRESTAMO POR AZTECA.</t>
  </si>
  <si>
    <t>INTERESES MES MARZO 2024.</t>
  </si>
  <si>
    <t>GASOLINA PATRIA</t>
  </si>
  <si>
    <t>ROPA PARA MAU PRIMERA COMUNION.</t>
  </si>
  <si>
    <t>SANITARIOS MEDRANO</t>
  </si>
  <si>
    <t>TIERRA PARA PLANTAS.</t>
  </si>
  <si>
    <t>COOPERACION PARA COMIDA SAN MIGUEL.</t>
  </si>
  <si>
    <t>NIEVES.</t>
  </si>
  <si>
    <t>DONA DE CHOCOLATE.</t>
  </si>
  <si>
    <t>PERIODO No. 15</t>
  </si>
  <si>
    <t>HAMBRE ANTOJO</t>
  </si>
  <si>
    <t>1 LTS ESMALTE 190, 1 BROCHA 15, 19 L TONAL BLANCA 1740, 1 L THINER 45</t>
  </si>
  <si>
    <t>CENA.</t>
  </si>
  <si>
    <t>CURITA Y PEÑAFIEL.</t>
  </si>
  <si>
    <t>COMPLETAR DESPENSA</t>
  </si>
  <si>
    <t>FLANES Y PEÑA FIEL.</t>
  </si>
  <si>
    <t>ATOMIZADOR Y DESPACHADOR JABON.</t>
  </si>
  <si>
    <t>GALLETAS.</t>
  </si>
  <si>
    <t>PARA LA COLECCIÓN</t>
  </si>
  <si>
    <t>SEMANA No. 16</t>
  </si>
  <si>
    <t>12 SECIONES MASA (VARIAS)</t>
  </si>
  <si>
    <t>ABONO DE LAVADORA.</t>
  </si>
  <si>
    <t>RETIRO PUNTOS Y DOS CARIES (SOLO COBRO UNA)</t>
  </si>
  <si>
    <t>4TO. / 7 PAGO DENTISTA ISAAC, YOLANDA S.</t>
  </si>
  <si>
    <t>DEVOLUCION DEL SAT.</t>
  </si>
  <si>
    <t>IMPORTE SOBRE DEVOLUCION SAT (ANUAL).</t>
  </si>
  <si>
    <t>PERIODO No. 16</t>
  </si>
  <si>
    <t>PEÑAFIEL Y PLATANO.</t>
  </si>
  <si>
    <t>HAMBRE ANTOJO EN SAN MIGUEL.</t>
  </si>
  <si>
    <t>COMIDA SANDWSH.</t>
  </si>
  <si>
    <t>GELATINA Y SUERO.</t>
  </si>
  <si>
    <t>CARNE PARA ASAR.</t>
  </si>
  <si>
    <t>AGUACATE</t>
  </si>
  <si>
    <t>SEMANA No. 17</t>
  </si>
  <si>
    <t>PRESTAMO</t>
  </si>
  <si>
    <t>FUNDACION MASA (12 SECIONES YOLANDA)</t>
  </si>
  <si>
    <t>COMPRA TECLADO Y MOUSE INALAMBRICO.</t>
  </si>
  <si>
    <t>PRESTAMO EN EFECTIVO.</t>
  </si>
  <si>
    <t>VAN A QUERER TAMALES</t>
  </si>
  <si>
    <t>PERIODO No. 17</t>
  </si>
  <si>
    <t>PAGO DE PRESTAMO</t>
  </si>
  <si>
    <t>HAMBRE ANTOJO S. MIGUEL.</t>
  </si>
  <si>
    <t>JERICALLA, PLATANO, PEÑAFIEL.</t>
  </si>
  <si>
    <t>BAGUETTES.</t>
  </si>
  <si>
    <t>REFRESCO Y PLATANOS.</t>
  </si>
  <si>
    <t>SALCHIPULPO COMBINADO.</t>
  </si>
  <si>
    <t>SEMANA No. 18</t>
  </si>
  <si>
    <t>GORDITAS EN CARRETERA S. MIGUEL.</t>
  </si>
  <si>
    <t>MES MAYO 2024.</t>
  </si>
  <si>
    <t>RETIRO P/YOLANDA TRASPASO</t>
  </si>
  <si>
    <t>LIQUIDACION DE INVERSION.</t>
  </si>
  <si>
    <t>LIQUIDACION DE INTERESES.</t>
  </si>
  <si>
    <t>CARGO RETENCION ISR INV. PLAZO.</t>
  </si>
  <si>
    <t>NUEVA INVERSION A 28 DIAS.</t>
  </si>
  <si>
    <t>PERIODO No. 18</t>
  </si>
  <si>
    <t>CEDULA ESTATAL.</t>
  </si>
  <si>
    <t>5TO. / 7 PAGO DENTISTA ISAAC, YOLANDA S.</t>
  </si>
  <si>
    <t>AGUA FRESCA Y TORTILLAS.</t>
  </si>
  <si>
    <t>DONATIVO.</t>
  </si>
  <si>
    <t>SEMANA No. 19</t>
  </si>
  <si>
    <t>DONA, CHURRO Y NIEVES.</t>
  </si>
  <si>
    <t>COMPRA CASA R. JACARANDAS 154.</t>
  </si>
  <si>
    <r>
      <rPr>
        <b/>
        <sz val="12"/>
        <color rgb="FF0000CC"/>
        <rFont val="Arial"/>
        <family val="2"/>
      </rPr>
      <t>6030</t>
    </r>
    <r>
      <rPr>
        <b/>
        <sz val="12"/>
        <color theme="1"/>
        <rFont val="Arial"/>
        <family val="2"/>
      </rPr>
      <t xml:space="preserve"> CREDITO A LA VIVIENDA.</t>
    </r>
  </si>
  <si>
    <t>ANTICIPO AVALUO.</t>
  </si>
  <si>
    <t>ESTACIONAMIENTO BODEGA A.</t>
  </si>
  <si>
    <t>ZAPATOS MAU.</t>
  </si>
  <si>
    <t>ZAPATO TENIS ELASTICO.</t>
  </si>
  <si>
    <t>ROSARIO PARA MAU.</t>
  </si>
  <si>
    <t>CINTURON 38.</t>
  </si>
  <si>
    <t>CINTURO ELASTICO MAU.</t>
  </si>
  <si>
    <t>PERIODO No. 19</t>
  </si>
  <si>
    <t>RENTA MES MAYO 2024.</t>
  </si>
  <si>
    <t>C_JACAR-179</t>
  </si>
  <si>
    <t>C_GALEANAS</t>
  </si>
  <si>
    <t>C_JACAR-154</t>
  </si>
  <si>
    <t>DEVOLUCION DEL ANTICIPO.</t>
  </si>
  <si>
    <t>INTERESES ABRIL 2024.</t>
  </si>
  <si>
    <t xml:space="preserve">P/Cambio. </t>
  </si>
  <si>
    <t>Cambio P/Intenciones</t>
  </si>
  <si>
    <t>REFRESCO Y GALLETAS.</t>
  </si>
  <si>
    <t>SUERO Y PEÑAFIEL.</t>
  </si>
  <si>
    <t>ERROR EN CAMBIO TORTAS.</t>
  </si>
  <si>
    <t>BASURA DE LA CAPILLA.</t>
  </si>
  <si>
    <t>PARA LONCHES VARIOS.</t>
  </si>
  <si>
    <t>PARA COLECCIÓN</t>
  </si>
  <si>
    <t>SEMANA No. 20</t>
  </si>
  <si>
    <t>INTERESES CIERRE INVERSION.</t>
  </si>
  <si>
    <t>GASOLINERIA PATRIA. $ 23.37</t>
  </si>
  <si>
    <t>PANTALON AZUL MARINO.</t>
  </si>
  <si>
    <t xml:space="preserve">2 CAMISAS </t>
  </si>
  <si>
    <t>ZAPATOS Y TENIS.</t>
  </si>
  <si>
    <t>2 CORBATAS</t>
  </si>
  <si>
    <t>CORTE DE CABELLO.</t>
  </si>
  <si>
    <t>1 MT. TUBO 3/4" POLIMEX.</t>
  </si>
  <si>
    <t>PAPELERIA GRAPAS Y CARPETAS.</t>
  </si>
  <si>
    <t>PEÑAFIEL</t>
  </si>
  <si>
    <t>PERIODO No. 20</t>
  </si>
  <si>
    <t>vcueva77</t>
  </si>
  <si>
    <t>COMPRA MOUSE INALAMBRICO (DEPOT)</t>
  </si>
  <si>
    <t>PAGO COMPLEMENTO DEL AVALUO.</t>
  </si>
  <si>
    <t>SEMANA No. 21</t>
  </si>
  <si>
    <t>OFRENDA PARA PRIMERA COMUNION.</t>
  </si>
  <si>
    <t>FOTOS DE LA PRIMERA COMUNION DE MAU.</t>
  </si>
  <si>
    <t>VENTA ESPADA SAN JORGE A RAUL.</t>
  </si>
  <si>
    <t>SAL DE GRANO.</t>
  </si>
  <si>
    <t>1ER / 7 PAGO DENTISTA ISAAC, YOLANDA S.</t>
  </si>
  <si>
    <t>6TO. / 7 PAGO DENTISTA ISAAC, YOLANDA S.</t>
  </si>
  <si>
    <t>PAGO PRESTAMO IMSS</t>
  </si>
  <si>
    <t xml:space="preserve"> F5FMD RQGD7 22JHJ CNWMQ</t>
  </si>
  <si>
    <t>Codigo de Activacion</t>
  </si>
  <si>
    <t>SOLDADURA, MANDIL, GUANTES Y DISCOS.</t>
  </si>
  <si>
    <t xml:space="preserve">ADOBE </t>
  </si>
  <si>
    <t>https://account.adobe.com/</t>
  </si>
  <si>
    <t>Caja Popular San Rafael S.C. de A.P. de R.L. de C.V.</t>
  </si>
  <si>
    <t>https://cajasanrafael.turbopac.mx/PortalConsulta/</t>
  </si>
  <si>
    <t>10070151089</t>
  </si>
  <si>
    <t>Edos de Cuenta. Yolanda.</t>
  </si>
  <si>
    <t>https://www.facebook.com</t>
  </si>
  <si>
    <t>samarepa@hotmail.com</t>
  </si>
  <si>
    <t>SantaMaria2015</t>
  </si>
  <si>
    <t>Face Book San Judas Tadeo</t>
  </si>
  <si>
    <t>PERIODO NO. 21</t>
  </si>
  <si>
    <t>III AZTECA</t>
  </si>
  <si>
    <t>INVERSION A 30 DIAS</t>
  </si>
  <si>
    <t>POR TIRAR LA BASURA.</t>
  </si>
  <si>
    <t>SEMANA No. 22</t>
  </si>
  <si>
    <t>DESAYUNO TACOS BARBACOA.</t>
  </si>
  <si>
    <t>SQUIRT, TIKITOS, CHOCOROL, SOPAS.</t>
  </si>
  <si>
    <t>LIMONES Y CENA.</t>
  </si>
  <si>
    <t>JAMON Y PANELA.</t>
  </si>
  <si>
    <t>HOT CAKE</t>
  </si>
  <si>
    <t>TOSTADA DE CUERITOS.</t>
  </si>
  <si>
    <t>SALCHIPULPOS, COMBINADOS.</t>
  </si>
  <si>
    <t>PARA ACTAS DE NACIMIENTO Y MATRIMONIO.</t>
  </si>
  <si>
    <t>PERIODO No. 22</t>
  </si>
  <si>
    <t>MISAL JUNIO 2024.</t>
  </si>
  <si>
    <t>RETENCION ISR.</t>
  </si>
  <si>
    <t>TACOS DE BARBACOA.</t>
  </si>
  <si>
    <t>JERICALLA Y PEÑAFIEL.</t>
  </si>
  <si>
    <t>SQUIRT- JERICALLA- SABILA.</t>
  </si>
  <si>
    <t>LONCHE BETOS</t>
  </si>
  <si>
    <t>SEMANA No. 23</t>
  </si>
  <si>
    <t>MES JUNIO 2024.</t>
  </si>
  <si>
    <t>GASOLINERIA PATRIA. $ 23.49</t>
  </si>
  <si>
    <t>LOCION PARA DESPUES DE AFEITAR.</t>
  </si>
  <si>
    <t>LIQUIDO ANTICONGELANTE ROSA.</t>
  </si>
  <si>
    <t>7MO / 7 PAGO DENTISTA ISAAC, YOLANDA S.</t>
  </si>
  <si>
    <t>PARA PAGO DE DIPLOMADO.</t>
  </si>
  <si>
    <t>PARA TIRAR BASURA.</t>
  </si>
  <si>
    <t>PERIODO No. 23</t>
  </si>
  <si>
    <t>INTERESE MAYO 2024.</t>
  </si>
  <si>
    <t>TEJUINO Y COCO.</t>
  </si>
  <si>
    <t>SQUIRT, PLATANOS, GALLETAS.</t>
  </si>
  <si>
    <t>FLAN, GALLETAS, PEÑA FIEL.</t>
  </si>
  <si>
    <t>SANDWSCH</t>
  </si>
  <si>
    <t>GELATINAS P/CONSTRUCION.</t>
  </si>
  <si>
    <t>BIMBO Y SQUIRT</t>
  </si>
  <si>
    <t>SEMANA No. 24</t>
  </si>
  <si>
    <t>Pagos</t>
  </si>
  <si>
    <t>PRESTAMO PARA PAGO MOTO.</t>
  </si>
  <si>
    <t>INTERESE POR PLAZO AZTECA.</t>
  </si>
  <si>
    <t>ISR POR PAGO DE INTERESES.</t>
  </si>
  <si>
    <t>LIQUIDACION PLAZO AZTECA 91 DIAS</t>
  </si>
  <si>
    <t>PARA PAGO DE EDICTOS</t>
  </si>
  <si>
    <t>PERIODO No. 24</t>
  </si>
  <si>
    <t>COMPRA PARA CARNES ASADAS.</t>
  </si>
  <si>
    <t>CENA, SQUIRT Y LECHE.</t>
  </si>
  <si>
    <t>SEMANA No. 25</t>
  </si>
  <si>
    <t>C/16 MES (C-AZTECA)</t>
  </si>
  <si>
    <t>DICIEMBRE/AZTECA 3ROS</t>
  </si>
  <si>
    <t>PAGO IMSS AXEL, ANTONIO.</t>
  </si>
  <si>
    <t>VARIACION EN EL TRANSPASO.</t>
  </si>
  <si>
    <t>MISAL JULIO 2024.</t>
  </si>
  <si>
    <t>PERIODO No.25</t>
  </si>
  <si>
    <t>CINE EN CHEDRAWI.</t>
  </si>
  <si>
    <t>NIEVE</t>
  </si>
  <si>
    <t>VARIOS EN LA TIENDA.</t>
  </si>
  <si>
    <t>TACOS BABACOA.</t>
  </si>
  <si>
    <t>SEMANA No. 26</t>
  </si>
  <si>
    <t>PARA ESTUDIOS.</t>
  </si>
  <si>
    <t>PERIODO No. 26</t>
  </si>
  <si>
    <t>PARAGUAS CORTO</t>
  </si>
  <si>
    <t>PRUEBA ENVIO SR. MARIO SANTILLAN.</t>
  </si>
  <si>
    <t>PRUEBA ENVIO NOTARIA No. 7</t>
  </si>
  <si>
    <t>LECHITAS Y GALLETAS.</t>
  </si>
  <si>
    <t>JERICALLAS</t>
  </si>
  <si>
    <t>ENSALADA.</t>
  </si>
  <si>
    <t>SEMANA No. 27</t>
  </si>
  <si>
    <t>INTERESES GENERADOS.</t>
  </si>
  <si>
    <t>DIPLOMADO.</t>
  </si>
  <si>
    <t>PLANCHA B&amp;D.</t>
  </si>
  <si>
    <t>PERIODO No. 27</t>
  </si>
  <si>
    <t>MES JULIO 2024.</t>
  </si>
  <si>
    <t>DESAYUNO, LECHE Y PINGUINOS.</t>
  </si>
  <si>
    <t>PAPITAS, DORITOS, Y PEÑAFIEL.</t>
  </si>
  <si>
    <t>RED COLA Y SAVILA.</t>
  </si>
  <si>
    <t>BASURA SAN MIGUEL.</t>
  </si>
  <si>
    <t>PARA SANDWSH.</t>
  </si>
  <si>
    <t>COMBINADO CON LAURA.</t>
  </si>
  <si>
    <t>SEMANA No. 28</t>
  </si>
  <si>
    <t>Desbloqueo de Edos Cuenta</t>
  </si>
  <si>
    <t>SASY630616EC0</t>
  </si>
  <si>
    <t>RFC Yolanda.</t>
  </si>
  <si>
    <t>INTERESES JUNIO 2024</t>
  </si>
  <si>
    <t>PAGO ESCRITURAS 97073, NOTARIA No. 7</t>
  </si>
  <si>
    <t>SEGURO DAÑOS (CASA HABITACIÓN).</t>
  </si>
  <si>
    <t>SEGURO COLECTIVO SOCIO GNP.</t>
  </si>
  <si>
    <t>SEGURO COLECTIVO CODEUDOR GNP.</t>
  </si>
  <si>
    <r>
      <t xml:space="preserve">No. de SOCIO: </t>
    </r>
    <r>
      <rPr>
        <b/>
        <sz val="12"/>
        <color rgb="FF0000CC"/>
        <rFont val="Arial"/>
        <family val="2"/>
      </rPr>
      <t xml:space="preserve">10110316750 </t>
    </r>
    <r>
      <rPr>
        <b/>
        <sz val="12"/>
        <rFont val="Arial"/>
        <family val="2"/>
      </rPr>
      <t>No. De CREDITO:</t>
    </r>
    <r>
      <rPr>
        <b/>
        <sz val="12"/>
        <color rgb="FF0000CC"/>
        <rFont val="Arial"/>
        <family val="2"/>
      </rPr>
      <t xml:space="preserve"> 60300115246135</t>
    </r>
  </si>
  <si>
    <t>APERTURA DEL CREDITO</t>
  </si>
  <si>
    <t>PAGO MENSUAL.</t>
  </si>
  <si>
    <t>CREDITO TOTAL</t>
  </si>
  <si>
    <t>PARA SEMANA Y MEDICINA.</t>
  </si>
  <si>
    <t>PERIODO No. 28</t>
  </si>
  <si>
    <t>SEMANA No. 29</t>
  </si>
  <si>
    <t>https://telmex.com/web/hogar</t>
  </si>
  <si>
    <t>3336069045</t>
  </si>
  <si>
    <t>GASOLINA</t>
  </si>
  <si>
    <t xml:space="preserve">PODA Y JUNTAR COCHINERO </t>
  </si>
  <si>
    <t>CHAPA Y PORTA CORTINEROS</t>
  </si>
  <si>
    <t>DIABLO DE 200 KG. DE CARGA.</t>
  </si>
  <si>
    <t>ALICATAS</t>
  </si>
  <si>
    <t>LAMPARAS REDONDAS</t>
  </si>
  <si>
    <t>CUERITOS Y OREJAS</t>
  </si>
  <si>
    <t>SQUIRT</t>
  </si>
  <si>
    <t>DUPLICADO DE LLAVES (2 PZAS).</t>
  </si>
  <si>
    <t>MANGUERA SPARK, RIÑON-RADIADOR.</t>
  </si>
  <si>
    <t>TAMALES DOÑA VERO.</t>
  </si>
  <si>
    <t>HUEVOS Y GALLETAS P/DESAYUNO.</t>
  </si>
  <si>
    <t>PANELA. TOSTADAS,JAMON, P/COMIDA.</t>
  </si>
  <si>
    <t>TELMEX_VICENTE</t>
  </si>
  <si>
    <t>TELMEX_YOLANDA</t>
  </si>
  <si>
    <t>ANTICIPO GASTOS DE INSTALACION.</t>
  </si>
  <si>
    <t>NIEVES EN PATRIA.</t>
  </si>
  <si>
    <t>NIEVE EN LA LOMA.</t>
  </si>
  <si>
    <t>LLAVE Y MANGUERA PARA BAÑO.</t>
  </si>
  <si>
    <t>SALCHIPULPOS LA LOMA</t>
  </si>
  <si>
    <t>ANTICIPO CERCA CILON (D. CARLOS)</t>
  </si>
  <si>
    <t>PERIODO No. 29</t>
  </si>
  <si>
    <t>PARA POZOLE</t>
  </si>
  <si>
    <t>ESMALTE GRIS CLARO 914, Y VITRAL.</t>
  </si>
  <si>
    <t>INTERESES</t>
  </si>
  <si>
    <t>LECHADA DE ALMENDRAS.</t>
  </si>
  <si>
    <t>SEMANA No. 30</t>
  </si>
  <si>
    <t>IMSS INFONAVIT SIPIARE (ANTONIO'S)</t>
  </si>
  <si>
    <t>ABONO CERCA CICLON</t>
  </si>
  <si>
    <t>CRED_VIVIENDA</t>
  </si>
  <si>
    <t>PERIODO No. 30</t>
  </si>
  <si>
    <t>SEMANA No. 31</t>
  </si>
  <si>
    <t>ESTACIONAMIENTO AEROPUERTO.</t>
  </si>
  <si>
    <t>PALETAS.</t>
  </si>
  <si>
    <t>TACOS BARBACOA JACARANDAS</t>
  </si>
  <si>
    <t>FRIJOLES Y CARNE.</t>
  </si>
  <si>
    <t>CENA GALLETAS, QUESO.</t>
  </si>
  <si>
    <t>FINIQUITO DE CERCA CICLON.</t>
  </si>
  <si>
    <t>4 LLAVES DE PASO LAVABOS.</t>
  </si>
  <si>
    <t>PERIODO No. 31</t>
  </si>
  <si>
    <t>CFE_OFICINA</t>
  </si>
  <si>
    <t>SIAPA_OFICINA</t>
  </si>
  <si>
    <t>C/13 MES</t>
  </si>
  <si>
    <t>ANTICIPO A MEMO PARA PROTECCIONES $ 1,8000 POR LAS DOS.</t>
  </si>
  <si>
    <t>PAN Y LECHITA.</t>
  </si>
  <si>
    <t>SOQUET Y CONECTOR MANGUERA.</t>
  </si>
  <si>
    <t>PAGO DE SERVICIO DE S.I.A.P.A.</t>
  </si>
  <si>
    <t>Numero de Cuenta:</t>
  </si>
  <si>
    <t>10639974</t>
  </si>
  <si>
    <t>Clave SIAPA</t>
  </si>
  <si>
    <t>0028-0924-0007</t>
  </si>
  <si>
    <t>Nombre:</t>
  </si>
  <si>
    <t>Domicilio:</t>
  </si>
  <si>
    <t>REAL DE LAS JACARANDAS 179</t>
  </si>
  <si>
    <t>IMPORTE:</t>
  </si>
  <si>
    <t>10692133</t>
  </si>
  <si>
    <t>0028-0767-0011</t>
  </si>
  <si>
    <t>CONJ HAB REVOLUCION SA DE CV</t>
  </si>
  <si>
    <t>CALLE VALLE DEL MISSISSIPI 56</t>
  </si>
  <si>
    <t>10639843</t>
  </si>
  <si>
    <t>0028-0923-0024</t>
  </si>
  <si>
    <t>MARIO SANTILLAN LOPEZ</t>
  </si>
  <si>
    <t>CALLE REAL DE LAS JACARANDAS 154</t>
  </si>
  <si>
    <t>OFFICE</t>
  </si>
  <si>
    <t>it.duo@zarkin.onmicrosoft.com</t>
  </si>
  <si>
    <t>Correo: vcuevar@gmail.com (Cuentas Jacarandas, Oficina y Emanuel)</t>
  </si>
  <si>
    <t>MES AGOSTO 2024</t>
  </si>
  <si>
    <t>INTERESES LIQUIDACION PLAZO</t>
  </si>
  <si>
    <t>INVERSION A 28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</si>
</sst>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;[Red]\-&quot;$&quot;#,##0.00"/>
    <numFmt numFmtId="44" formatCode="_-&quot;$&quot;* #,##0.00_-;\-&quot;$&quot;* #,##0.00_-;_-&quot;$&quot;* &quot;-&quot;??_-;_-@_-"/>
    <numFmt numFmtId="164" formatCode="ddd\-dd\-mmm\-yy"/>
    <numFmt numFmtId="165" formatCode="_-&quot;$&quot;* #,##0.00_-;[Red]\-&quot;$&quot;* #,##0.00_-;_-&quot;$&quot;* &quot;-&quot;??_-;_-@"/>
    <numFmt numFmtId="166" formatCode="[$-F800]dddd\,\ mmmm\ dd\,\ yyyy"/>
    <numFmt numFmtId="167" formatCode="[$-F400]h:mm:ss\ AM/PM"/>
    <numFmt numFmtId="168" formatCode="ddd\ \-\ dd\-mmm"/>
    <numFmt numFmtId="169" formatCode="_ &quot;$&quot;\ * #,##0.00_ ;[Red]_ &quot;$&quot;\ * \-#,##0.00_ ;_ &quot;$&quot;\ * &quot;-&quot;??_ ;_ @_ "/>
    <numFmt numFmtId="170" formatCode="_-&quot;$&quot;* #,##0.00_-;\-&quot;$&quot;* #,##0.00_-;_-&quot;$&quot;* &quot;-&quot;??_-;_-@"/>
    <numFmt numFmtId="171" formatCode="#,##0_ ;[Red]\-#,##0\ "/>
    <numFmt numFmtId="172" formatCode="#,##0.0_ ;[Red]\-#,##0.0\ "/>
    <numFmt numFmtId="173" formatCode="_ &quot;$&quot;\ * #,##0.00_ ;_ &quot;$&quot;\ * \-#,##0.00_ ;_ &quot;$&quot;\ * &quot;-&quot;??_ ;_ @_ "/>
    <numFmt numFmtId="174" formatCode="_-&quot;$&quot;* #,##0.00_-;[Red]\-&quot;$&quot;* #,##0.00_-;_-&quot;$&quot;* &quot;-&quot;??_-;_-@_-"/>
    <numFmt numFmtId="175" formatCode="_-&quot;$&quot;* #,##0.000_-;[Red]\-&quot;$&quot;* #,##0.000_-;_-&quot;$&quot;* &quot;-&quot;??_-;_-@"/>
    <numFmt numFmtId="176" formatCode="0.000000"/>
  </numFmts>
  <fonts count="4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rgb="FF6600CC"/>
      <name val="Arial"/>
      <family val="2"/>
    </font>
    <font>
      <b/>
      <sz val="14"/>
      <color rgb="FF0000CC"/>
      <name val="Arial"/>
      <family val="2"/>
    </font>
    <font>
      <sz val="12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6600CC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rgb="FF0000FF"/>
      <name val="Arial"/>
      <family val="2"/>
    </font>
    <font>
      <b/>
      <sz val="10"/>
      <color rgb="FF0000C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</font>
    <font>
      <b/>
      <sz val="11"/>
      <color theme="0" tint="-0.1499984740745262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b/>
      <sz val="12"/>
      <color rgb="FF0000CC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6"/>
      <color rgb="FFFF0000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rgb="FF0000CC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6"/>
      <color theme="1"/>
      <name val="Calibri"/>
      <family val="2"/>
    </font>
    <font>
      <b/>
      <sz val="12"/>
      <color rgb="FF385623"/>
      <name val="Arial"/>
      <family val="2"/>
    </font>
    <font>
      <sz val="11"/>
      <color theme="0"/>
      <name val="Aptos Narrow"/>
      <family val="2"/>
      <scheme val="minor"/>
    </font>
    <font>
      <b/>
      <sz val="10"/>
      <color theme="8"/>
      <name val="Arial"/>
      <family val="2"/>
    </font>
    <font>
      <sz val="10"/>
      <color rgb="FF0000CC"/>
      <name val="Arial"/>
      <family val="2"/>
    </font>
    <font>
      <b/>
      <sz val="14"/>
      <color rgb="FF0000FF"/>
      <name val="Arial"/>
      <family val="2"/>
    </font>
    <font>
      <sz val="14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33FF"/>
        <bgColor rgb="FFCCFF66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theme="0"/>
      </patternFill>
    </fill>
    <fill>
      <patternFill patternType="solid">
        <fgColor rgb="FFCCFF66"/>
        <bgColor rgb="FFCCFF66"/>
      </patternFill>
    </fill>
    <fill>
      <patternFill patternType="solid">
        <fgColor rgb="FFCCFF33"/>
        <bgColor rgb="FFCCFF33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99"/>
        <bgColor rgb="FFCCFF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FF5050"/>
        <bgColor rgb="FFFF5050"/>
      </patternFill>
    </fill>
    <fill>
      <patternFill patternType="solid">
        <fgColor rgb="FF66FFFF"/>
        <bgColor rgb="FF66FFFF"/>
      </patternFill>
    </fill>
    <fill>
      <patternFill patternType="solid">
        <fgColor rgb="FF00FFFF"/>
        <bgColor rgb="FF00FFFF"/>
      </patternFill>
    </fill>
    <fill>
      <patternFill patternType="solid">
        <fgColor theme="5" tint="0.39997558519241921"/>
        <bgColor rgb="FF00FFFF"/>
      </patternFill>
    </fill>
    <fill>
      <patternFill patternType="solid">
        <fgColor rgb="FF00FFFF"/>
        <bgColor theme="0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theme="0"/>
      </patternFill>
    </fill>
    <fill>
      <patternFill patternType="solid">
        <fgColor rgb="FF99FF33"/>
        <bgColor rgb="FFCCFF33"/>
      </patternFill>
    </fill>
    <fill>
      <patternFill patternType="solid">
        <fgColor rgb="FFCCFF33"/>
        <bgColor indexed="64"/>
      </patternFill>
    </fill>
    <fill>
      <patternFill patternType="solid">
        <fgColor rgb="FFCCFF33"/>
        <bgColor theme="0"/>
      </patternFill>
    </fill>
    <fill>
      <patternFill patternType="solid">
        <fgColor rgb="FFCCFF33"/>
        <bgColor rgb="FF00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rgb="FFBFBFBF"/>
      </patternFill>
    </fill>
  </fills>
  <borders count="23">
    <border>
      <left/>
      <right/>
      <top/>
      <bottom/>
      <diagonal/>
    </border>
    <border>
      <left/>
      <right style="thin">
        <color rgb="FF8EAADB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dotted">
        <color rgb="FF3333FF"/>
      </left>
      <right/>
      <top style="dotted">
        <color rgb="FF3333FF"/>
      </top>
      <bottom style="dotted">
        <color rgb="FF3333FF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rgb="FF7030A0"/>
      </top>
      <bottom style="double">
        <color rgb="FF7030A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3333FF"/>
      </left>
      <right style="dotted">
        <color rgb="FF3333FF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/>
    <xf numFmtId="0" fontId="36" fillId="0" borderId="0"/>
    <xf numFmtId="9" fontId="36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1" fillId="0" borderId="0"/>
  </cellStyleXfs>
  <cellXfs count="35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0" fontId="3" fillId="2" borderId="0" xfId="0" applyFont="1" applyFill="1"/>
    <xf numFmtId="8" fontId="3" fillId="2" borderId="0" xfId="0" applyNumberFormat="1" applyFont="1" applyFill="1"/>
    <xf numFmtId="1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horizontal="right"/>
    </xf>
    <xf numFmtId="166" fontId="1" fillId="2" borderId="0" xfId="0" applyNumberFormat="1" applyFont="1" applyFill="1"/>
    <xf numFmtId="0" fontId="8" fillId="3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/>
    <xf numFmtId="165" fontId="14" fillId="4" borderId="6" xfId="0" applyNumberFormat="1" applyFont="1" applyFill="1" applyBorder="1" applyAlignment="1">
      <alignment horizontal="center" vertical="center"/>
    </xf>
    <xf numFmtId="167" fontId="14" fillId="4" borderId="6" xfId="0" applyNumberFormat="1" applyFont="1" applyFill="1" applyBorder="1" applyAlignment="1">
      <alignment horizontal="center" vertic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1" fillId="0" borderId="0" xfId="0" applyNumberFormat="1" applyFont="1"/>
    <xf numFmtId="15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5" fontId="2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18" fillId="0" borderId="0" xfId="0" applyFont="1"/>
    <xf numFmtId="0" fontId="1" fillId="0" borderId="7" xfId="0" applyFont="1" applyBorder="1"/>
    <xf numFmtId="0" fontId="2" fillId="0" borderId="8" xfId="0" applyFont="1" applyBorder="1" applyAlignment="1">
      <alignment horizontal="right"/>
    </xf>
    <xf numFmtId="0" fontId="1" fillId="0" borderId="8" xfId="0" applyFont="1" applyBorder="1"/>
    <xf numFmtId="169" fontId="2" fillId="0" borderId="8" xfId="0" applyNumberFormat="1" applyFont="1" applyBorder="1"/>
    <xf numFmtId="0" fontId="2" fillId="0" borderId="0" xfId="0" applyFont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169" fontId="2" fillId="0" borderId="9" xfId="0" applyNumberFormat="1" applyFont="1" applyBorder="1"/>
    <xf numFmtId="16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" fillId="5" borderId="0" xfId="0" applyFont="1" applyFill="1"/>
    <xf numFmtId="165" fontId="1" fillId="5" borderId="0" xfId="0" applyNumberFormat="1" applyFont="1" applyFill="1"/>
    <xf numFmtId="170" fontId="1" fillId="0" borderId="0" xfId="0" applyNumberFormat="1" applyFont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10" xfId="0" applyFont="1" applyBorder="1" applyAlignment="1">
      <alignment horizontal="right"/>
    </xf>
    <xf numFmtId="0" fontId="17" fillId="0" borderId="10" xfId="0" applyFont="1" applyBorder="1"/>
    <xf numFmtId="169" fontId="2" fillId="0" borderId="10" xfId="0" applyNumberFormat="1" applyFont="1" applyBorder="1"/>
    <xf numFmtId="15" fontId="1" fillId="2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5" fontId="8" fillId="3" borderId="0" xfId="0" applyNumberFormat="1" applyFont="1" applyFill="1" applyAlignment="1">
      <alignment horizontal="center" vertical="center"/>
    </xf>
    <xf numFmtId="0" fontId="21" fillId="2" borderId="0" xfId="0" applyFont="1" applyFill="1"/>
    <xf numFmtId="0" fontId="1" fillId="6" borderId="7" xfId="0" applyFont="1" applyFill="1" applyBorder="1"/>
    <xf numFmtId="165" fontId="1" fillId="6" borderId="7" xfId="0" applyNumberFormat="1" applyFont="1" applyFill="1" applyBorder="1"/>
    <xf numFmtId="49" fontId="2" fillId="6" borderId="7" xfId="0" applyNumberFormat="1" applyFont="1" applyFill="1" applyBorder="1" applyAlignment="1">
      <alignment horizontal="center" vertical="center"/>
    </xf>
    <xf numFmtId="171" fontId="2" fillId="6" borderId="7" xfId="0" applyNumberFormat="1" applyFont="1" applyFill="1" applyBorder="1" applyAlignment="1">
      <alignment horizontal="center" vertical="center"/>
    </xf>
    <xf numFmtId="15" fontId="1" fillId="6" borderId="7" xfId="0" applyNumberFormat="1" applyFont="1" applyFill="1" applyBorder="1" applyAlignment="1">
      <alignment horizontal="center" vertical="center"/>
    </xf>
    <xf numFmtId="171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1" fillId="7" borderId="0" xfId="0" applyFont="1" applyFill="1"/>
    <xf numFmtId="165" fontId="21" fillId="7" borderId="0" xfId="0" applyNumberFormat="1" applyFont="1" applyFill="1"/>
    <xf numFmtId="15" fontId="21" fillId="7" borderId="0" xfId="0" applyNumberFormat="1" applyFont="1" applyFill="1" applyAlignment="1">
      <alignment horizontal="center" vertical="center"/>
    </xf>
    <xf numFmtId="49" fontId="21" fillId="7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7" xfId="0" applyFont="1" applyFill="1" applyBorder="1"/>
    <xf numFmtId="165" fontId="1" fillId="2" borderId="7" xfId="0" applyNumberFormat="1" applyFont="1" applyFill="1" applyBorder="1"/>
    <xf numFmtId="15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/>
    </xf>
    <xf numFmtId="0" fontId="1" fillId="6" borderId="0" xfId="0" applyFont="1" applyFill="1"/>
    <xf numFmtId="165" fontId="1" fillId="6" borderId="0" xfId="0" applyNumberFormat="1" applyFont="1" applyFill="1"/>
    <xf numFmtId="15" fontId="1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65" fontId="1" fillId="8" borderId="0" xfId="0" applyNumberFormat="1" applyFont="1" applyFill="1"/>
    <xf numFmtId="15" fontId="1" fillId="0" borderId="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1" fillId="9" borderId="0" xfId="0" applyFont="1" applyFill="1"/>
    <xf numFmtId="165" fontId="1" fillId="9" borderId="0" xfId="0" applyNumberFormat="1" applyFont="1" applyFill="1"/>
    <xf numFmtId="49" fontId="1" fillId="9" borderId="0" xfId="0" applyNumberFormat="1" applyFont="1" applyFill="1" applyAlignment="1">
      <alignment horizontal="center"/>
    </xf>
    <xf numFmtId="0" fontId="1" fillId="10" borderId="0" xfId="0" applyFont="1" applyFill="1"/>
    <xf numFmtId="165" fontId="1" fillId="10" borderId="0" xfId="0" applyNumberFormat="1" applyFont="1" applyFill="1"/>
    <xf numFmtId="15" fontId="1" fillId="10" borderId="0" xfId="0" applyNumberFormat="1" applyFont="1" applyFill="1" applyAlignment="1">
      <alignment horizontal="center" vertical="center"/>
    </xf>
    <xf numFmtId="49" fontId="1" fillId="10" borderId="0" xfId="0" applyNumberFormat="1" applyFont="1" applyFill="1" applyAlignment="1">
      <alignment horizontal="center"/>
    </xf>
    <xf numFmtId="165" fontId="1" fillId="8" borderId="7" xfId="0" applyNumberFormat="1" applyFont="1" applyFill="1" applyBorder="1"/>
    <xf numFmtId="49" fontId="1" fillId="0" borderId="0" xfId="0" applyNumberFormat="1" applyFont="1" applyAlignment="1">
      <alignment horizontal="center"/>
    </xf>
    <xf numFmtId="0" fontId="22" fillId="11" borderId="11" xfId="0" applyFont="1" applyFill="1" applyBorder="1" applyAlignment="1">
      <alignment horizontal="center" vertical="center"/>
    </xf>
    <xf numFmtId="15" fontId="22" fillId="11" borderId="11" xfId="0" applyNumberFormat="1" applyFont="1" applyFill="1" applyBorder="1" applyAlignment="1">
      <alignment horizontal="center" vertical="center"/>
    </xf>
    <xf numFmtId="0" fontId="25" fillId="2" borderId="0" xfId="0" applyFont="1" applyFill="1"/>
    <xf numFmtId="15" fontId="25" fillId="2" borderId="0" xfId="0" applyNumberFormat="1" applyFont="1" applyFill="1"/>
    <xf numFmtId="0" fontId="25" fillId="2" borderId="0" xfId="0" applyFont="1" applyFill="1" applyAlignment="1">
      <alignment horizontal="center"/>
    </xf>
    <xf numFmtId="49" fontId="26" fillId="2" borderId="0" xfId="0" applyNumberFormat="1" applyFont="1" applyFill="1" applyAlignment="1">
      <alignment horizontal="center"/>
    </xf>
    <xf numFmtId="49" fontId="25" fillId="2" borderId="0" xfId="0" applyNumberFormat="1" applyFont="1" applyFill="1" applyAlignment="1">
      <alignment horizontal="center"/>
    </xf>
    <xf numFmtId="0" fontId="30" fillId="3" borderId="4" xfId="0" applyFont="1" applyFill="1" applyBorder="1" applyAlignment="1">
      <alignment horizontal="center" vertical="center" wrapText="1"/>
    </xf>
    <xf numFmtId="15" fontId="25" fillId="2" borderId="12" xfId="0" applyNumberFormat="1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/>
    </xf>
    <xf numFmtId="0" fontId="25" fillId="2" borderId="12" xfId="0" applyFont="1" applyFill="1" applyBorder="1"/>
    <xf numFmtId="49" fontId="25" fillId="2" borderId="12" xfId="0" applyNumberFormat="1" applyFont="1" applyFill="1" applyBorder="1" applyAlignment="1">
      <alignment horizontal="center"/>
    </xf>
    <xf numFmtId="49" fontId="32" fillId="2" borderId="12" xfId="0" applyNumberFormat="1" applyFont="1" applyFill="1" applyBorder="1" applyAlignment="1">
      <alignment horizontal="center"/>
    </xf>
    <xf numFmtId="15" fontId="25" fillId="12" borderId="12" xfId="0" applyNumberFormat="1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left"/>
    </xf>
    <xf numFmtId="0" fontId="25" fillId="12" borderId="12" xfId="0" applyFont="1" applyFill="1" applyBorder="1"/>
    <xf numFmtId="0" fontId="25" fillId="12" borderId="12" xfId="0" applyFont="1" applyFill="1" applyBorder="1" applyAlignment="1">
      <alignment horizontal="center" vertical="center"/>
    </xf>
    <xf numFmtId="49" fontId="32" fillId="12" borderId="12" xfId="0" applyNumberFormat="1" applyFont="1" applyFill="1" applyBorder="1" applyAlignment="1">
      <alignment horizontal="center"/>
    </xf>
    <xf numFmtId="49" fontId="25" fillId="12" borderId="12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left"/>
    </xf>
    <xf numFmtId="15" fontId="25" fillId="6" borderId="12" xfId="0" applyNumberFormat="1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/>
    </xf>
    <xf numFmtId="0" fontId="25" fillId="6" borderId="12" xfId="0" applyFont="1" applyFill="1" applyBorder="1"/>
    <xf numFmtId="49" fontId="25" fillId="6" borderId="12" xfId="0" applyNumberFormat="1" applyFont="1" applyFill="1" applyBorder="1" applyAlignment="1">
      <alignment horizontal="left"/>
    </xf>
    <xf numFmtId="0" fontId="31" fillId="6" borderId="12" xfId="0" applyFont="1" applyFill="1" applyBorder="1" applyAlignment="1">
      <alignment horizontal="center"/>
    </xf>
    <xf numFmtId="49" fontId="25" fillId="6" borderId="12" xfId="0" applyNumberFormat="1" applyFont="1" applyFill="1" applyBorder="1" applyAlignment="1">
      <alignment horizontal="center"/>
    </xf>
    <xf numFmtId="49" fontId="25" fillId="6" borderId="12" xfId="0" applyNumberFormat="1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vertical="center"/>
    </xf>
    <xf numFmtId="0" fontId="25" fillId="0" borderId="0" xfId="0" applyFont="1"/>
    <xf numFmtId="49" fontId="26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4" fontId="10" fillId="0" borderId="0" xfId="0" applyNumberFormat="1" applyFont="1"/>
    <xf numFmtId="166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15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49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49" fontId="32" fillId="0" borderId="4" xfId="0" applyNumberFormat="1" applyFont="1" applyBorder="1" applyAlignment="1">
      <alignment horizontal="center" vertical="center"/>
    </xf>
    <xf numFmtId="49" fontId="33" fillId="0" borderId="4" xfId="2" applyNumberFormat="1" applyFill="1" applyBorder="1" applyAlignment="1">
      <alignment horizontal="center" vertical="center"/>
    </xf>
    <xf numFmtId="0" fontId="33" fillId="0" borderId="4" xfId="2" applyFill="1" applyBorder="1" applyAlignment="1">
      <alignment vertical="center"/>
    </xf>
    <xf numFmtId="0" fontId="33" fillId="0" borderId="4" xfId="0" applyFont="1" applyBorder="1"/>
    <xf numFmtId="49" fontId="33" fillId="0" borderId="4" xfId="0" applyNumberFormat="1" applyFont="1" applyBorder="1" applyAlignment="1">
      <alignment horizontal="center" vertical="center"/>
    </xf>
    <xf numFmtId="49" fontId="33" fillId="0" borderId="4" xfId="0" applyNumberFormat="1" applyFont="1" applyBorder="1" applyAlignment="1">
      <alignment horizontal="left" vertical="center"/>
    </xf>
    <xf numFmtId="49" fontId="33" fillId="0" borderId="4" xfId="2" applyNumberFormat="1" applyFill="1" applyBorder="1" applyAlignment="1">
      <alignment horizontal="left" vertical="center"/>
    </xf>
    <xf numFmtId="0" fontId="18" fillId="0" borderId="0" xfId="3"/>
    <xf numFmtId="0" fontId="34" fillId="0" borderId="0" xfId="3" applyFont="1"/>
    <xf numFmtId="0" fontId="20" fillId="3" borderId="4" xfId="0" applyFont="1" applyFill="1" applyBorder="1" applyAlignment="1">
      <alignment horizontal="center" vertical="center"/>
    </xf>
    <xf numFmtId="171" fontId="1" fillId="0" borderId="4" xfId="3" applyNumberFormat="1" applyFont="1" applyBorder="1" applyAlignment="1">
      <alignment horizontal="center"/>
    </xf>
    <xf numFmtId="44" fontId="1" fillId="0" borderId="4" xfId="3" applyNumberFormat="1" applyFont="1" applyBorder="1"/>
    <xf numFmtId="169" fontId="1" fillId="0" borderId="4" xfId="3" applyNumberFormat="1" applyFont="1" applyBorder="1"/>
    <xf numFmtId="0" fontId="1" fillId="0" borderId="0" xfId="3" applyFont="1"/>
    <xf numFmtId="169" fontId="1" fillId="0" borderId="0" xfId="3" applyNumberFormat="1" applyFont="1"/>
    <xf numFmtId="44" fontId="1" fillId="0" borderId="0" xfId="3" applyNumberFormat="1" applyFont="1"/>
    <xf numFmtId="0" fontId="2" fillId="0" borderId="0" xfId="3" applyFont="1"/>
    <xf numFmtId="44" fontId="2" fillId="0" borderId="0" xfId="3" applyNumberFormat="1" applyFont="1" applyAlignment="1">
      <alignment horizontal="right"/>
    </xf>
    <xf numFmtId="0" fontId="1" fillId="0" borderId="0" xfId="3" quotePrefix="1" applyFont="1"/>
    <xf numFmtId="0" fontId="0" fillId="0" borderId="13" xfId="0" applyBorder="1"/>
    <xf numFmtId="0" fontId="0" fillId="0" borderId="4" xfId="0" applyBorder="1"/>
    <xf numFmtId="172" fontId="1" fillId="0" borderId="4" xfId="3" applyNumberFormat="1" applyFont="1" applyBorder="1" applyAlignment="1">
      <alignment horizontal="center"/>
    </xf>
    <xf numFmtId="0" fontId="36" fillId="0" borderId="0" xfId="4"/>
    <xf numFmtId="0" fontId="37" fillId="0" borderId="0" xfId="4" applyFont="1"/>
    <xf numFmtId="0" fontId="2" fillId="0" borderId="0" xfId="4" applyFont="1"/>
    <xf numFmtId="0" fontId="38" fillId="0" borderId="0" xfId="4" applyFont="1" applyAlignment="1">
      <alignment horizontal="center"/>
    </xf>
    <xf numFmtId="10" fontId="38" fillId="0" borderId="0" xfId="5" applyNumberFormat="1" applyFont="1" applyFill="1" applyAlignment="1">
      <alignment horizontal="center"/>
    </xf>
    <xf numFmtId="0" fontId="2" fillId="14" borderId="0" xfId="4" applyFont="1" applyFill="1"/>
    <xf numFmtId="0" fontId="2" fillId="14" borderId="0" xfId="4" applyFont="1" applyFill="1" applyAlignment="1">
      <alignment horizontal="right"/>
    </xf>
    <xf numFmtId="169" fontId="40" fillId="14" borderId="0" xfId="6" applyNumberFormat="1" applyFont="1" applyFill="1"/>
    <xf numFmtId="174" fontId="7" fillId="0" borderId="4" xfId="6" applyNumberFormat="1" applyFont="1" applyFill="1" applyBorder="1"/>
    <xf numFmtId="0" fontId="7" fillId="0" borderId="4" xfId="6" applyNumberFormat="1" applyFont="1" applyFill="1" applyBorder="1" applyAlignment="1">
      <alignment horizontal="center"/>
    </xf>
    <xf numFmtId="164" fontId="7" fillId="0" borderId="4" xfId="7" applyNumberFormat="1" applyFont="1" applyBorder="1" applyAlignment="1">
      <alignment horizontal="center"/>
    </xf>
    <xf numFmtId="15" fontId="7" fillId="0" borderId="4" xfId="7" applyNumberFormat="1" applyFont="1" applyBorder="1" applyAlignment="1">
      <alignment horizontal="left"/>
    </xf>
    <xf numFmtId="1" fontId="7" fillId="0" borderId="4" xfId="6" applyNumberFormat="1" applyFont="1" applyFill="1" applyBorder="1" applyAlignment="1">
      <alignment horizontal="center"/>
    </xf>
    <xf numFmtId="174" fontId="7" fillId="14" borderId="4" xfId="6" applyNumberFormat="1" applyFont="1" applyFill="1" applyBorder="1"/>
    <xf numFmtId="0" fontId="37" fillId="2" borderId="0" xfId="0" applyFont="1" applyFill="1"/>
    <xf numFmtId="0" fontId="42" fillId="2" borderId="0" xfId="0" applyFont="1" applyFill="1"/>
    <xf numFmtId="0" fontId="2" fillId="2" borderId="0" xfId="0" applyFont="1" applyFill="1"/>
    <xf numFmtId="0" fontId="10" fillId="2" borderId="0" xfId="0" applyFont="1" applyFill="1"/>
    <xf numFmtId="15" fontId="1" fillId="2" borderId="12" xfId="0" applyNumberFormat="1" applyFont="1" applyFill="1" applyBorder="1" applyAlignment="1">
      <alignment horizontal="left"/>
    </xf>
    <xf numFmtId="165" fontId="1" fillId="2" borderId="12" xfId="0" applyNumberFormat="1" applyFont="1" applyFill="1" applyBorder="1"/>
    <xf numFmtId="10" fontId="1" fillId="2" borderId="0" xfId="0" applyNumberFormat="1" applyFont="1" applyFill="1" applyAlignment="1">
      <alignment horizontal="center"/>
    </xf>
    <xf numFmtId="165" fontId="25" fillId="2" borderId="0" xfId="0" applyNumberFormat="1" applyFont="1" applyFill="1"/>
    <xf numFmtId="170" fontId="25" fillId="2" borderId="0" xfId="0" applyNumberFormat="1" applyFont="1" applyFill="1"/>
    <xf numFmtId="0" fontId="43" fillId="16" borderId="12" xfId="0" applyFont="1" applyFill="1" applyBorder="1" applyAlignment="1">
      <alignment horizontal="center"/>
    </xf>
    <xf numFmtId="0" fontId="43" fillId="16" borderId="12" xfId="0" applyFont="1" applyFill="1" applyBorder="1" applyAlignment="1">
      <alignment horizontal="center" wrapText="1"/>
    </xf>
    <xf numFmtId="0" fontId="1" fillId="17" borderId="12" xfId="0" applyFont="1" applyFill="1" applyBorder="1" applyAlignment="1">
      <alignment horizontal="center"/>
    </xf>
    <xf numFmtId="164" fontId="1" fillId="17" borderId="12" xfId="0" applyNumberFormat="1" applyFont="1" applyFill="1" applyBorder="1" applyAlignment="1">
      <alignment horizontal="center"/>
    </xf>
    <xf numFmtId="15" fontId="1" fillId="17" borderId="12" xfId="0" applyNumberFormat="1" applyFont="1" applyFill="1" applyBorder="1" applyAlignment="1">
      <alignment horizontal="left"/>
    </xf>
    <xf numFmtId="1" fontId="1" fillId="17" borderId="12" xfId="0" applyNumberFormat="1" applyFont="1" applyFill="1" applyBorder="1" applyAlignment="1">
      <alignment horizontal="center"/>
    </xf>
    <xf numFmtId="165" fontId="1" fillId="17" borderId="12" xfId="0" applyNumberFormat="1" applyFont="1" applyFill="1" applyBorder="1"/>
    <xf numFmtId="0" fontId="1" fillId="18" borderId="12" xfId="0" applyFont="1" applyFill="1" applyBorder="1" applyAlignment="1">
      <alignment horizontal="center"/>
    </xf>
    <xf numFmtId="164" fontId="1" fillId="18" borderId="12" xfId="0" applyNumberFormat="1" applyFont="1" applyFill="1" applyBorder="1" applyAlignment="1">
      <alignment horizontal="center"/>
    </xf>
    <xf numFmtId="15" fontId="1" fillId="18" borderId="12" xfId="0" applyNumberFormat="1" applyFont="1" applyFill="1" applyBorder="1" applyAlignment="1">
      <alignment horizontal="left"/>
    </xf>
    <xf numFmtId="1" fontId="1" fillId="18" borderId="12" xfId="0" applyNumberFormat="1" applyFont="1" applyFill="1" applyBorder="1" applyAlignment="1">
      <alignment horizontal="center"/>
    </xf>
    <xf numFmtId="165" fontId="1" fillId="18" borderId="12" xfId="0" applyNumberFormat="1" applyFont="1" applyFill="1" applyBorder="1"/>
    <xf numFmtId="0" fontId="1" fillId="12" borderId="12" xfId="0" applyFont="1" applyFill="1" applyBorder="1" applyAlignment="1">
      <alignment horizontal="center"/>
    </xf>
    <xf numFmtId="164" fontId="1" fillId="12" borderId="12" xfId="0" applyNumberFormat="1" applyFont="1" applyFill="1" applyBorder="1" applyAlignment="1">
      <alignment horizontal="center"/>
    </xf>
    <xf numFmtId="15" fontId="1" fillId="12" borderId="12" xfId="0" applyNumberFormat="1" applyFont="1" applyFill="1" applyBorder="1" applyAlignment="1">
      <alignment horizontal="left"/>
    </xf>
    <xf numFmtId="1" fontId="1" fillId="12" borderId="12" xfId="0" applyNumberFormat="1" applyFont="1" applyFill="1" applyBorder="1" applyAlignment="1">
      <alignment horizontal="center"/>
    </xf>
    <xf numFmtId="165" fontId="1" fillId="12" borderId="12" xfId="0" applyNumberFormat="1" applyFont="1" applyFill="1" applyBorder="1"/>
    <xf numFmtId="0" fontId="1" fillId="19" borderId="12" xfId="0" applyFont="1" applyFill="1" applyBorder="1" applyAlignment="1">
      <alignment horizontal="center"/>
    </xf>
    <xf numFmtId="164" fontId="1" fillId="19" borderId="12" xfId="0" applyNumberFormat="1" applyFont="1" applyFill="1" applyBorder="1" applyAlignment="1">
      <alignment horizontal="center"/>
    </xf>
    <xf numFmtId="15" fontId="1" fillId="19" borderId="12" xfId="0" applyNumberFormat="1" applyFont="1" applyFill="1" applyBorder="1" applyAlignment="1">
      <alignment horizontal="left"/>
    </xf>
    <xf numFmtId="1" fontId="1" fillId="19" borderId="12" xfId="0" applyNumberFormat="1" applyFont="1" applyFill="1" applyBorder="1" applyAlignment="1">
      <alignment horizontal="center"/>
    </xf>
    <xf numFmtId="165" fontId="1" fillId="19" borderId="12" xfId="0" applyNumberFormat="1" applyFont="1" applyFill="1" applyBorder="1"/>
    <xf numFmtId="0" fontId="1" fillId="20" borderId="12" xfId="0" applyFont="1" applyFill="1" applyBorder="1" applyAlignment="1">
      <alignment horizontal="center"/>
    </xf>
    <xf numFmtId="164" fontId="1" fillId="20" borderId="12" xfId="0" applyNumberFormat="1" applyFont="1" applyFill="1" applyBorder="1" applyAlignment="1">
      <alignment horizontal="center"/>
    </xf>
    <xf numFmtId="15" fontId="1" fillId="20" borderId="12" xfId="0" applyNumberFormat="1" applyFont="1" applyFill="1" applyBorder="1" applyAlignment="1">
      <alignment horizontal="left"/>
    </xf>
    <xf numFmtId="1" fontId="1" fillId="20" borderId="12" xfId="0" applyNumberFormat="1" applyFont="1" applyFill="1" applyBorder="1" applyAlignment="1">
      <alignment horizontal="center"/>
    </xf>
    <xf numFmtId="165" fontId="1" fillId="20" borderId="12" xfId="0" applyNumberFormat="1" applyFont="1" applyFill="1" applyBorder="1"/>
    <xf numFmtId="15" fontId="25" fillId="21" borderId="12" xfId="0" applyNumberFormat="1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/>
    </xf>
    <xf numFmtId="164" fontId="1" fillId="21" borderId="12" xfId="0" applyNumberFormat="1" applyFont="1" applyFill="1" applyBorder="1" applyAlignment="1">
      <alignment horizontal="center"/>
    </xf>
    <xf numFmtId="15" fontId="1" fillId="21" borderId="12" xfId="0" applyNumberFormat="1" applyFont="1" applyFill="1" applyBorder="1" applyAlignment="1">
      <alignment horizontal="left"/>
    </xf>
    <xf numFmtId="1" fontId="1" fillId="21" borderId="12" xfId="0" applyNumberFormat="1" applyFont="1" applyFill="1" applyBorder="1" applyAlignment="1">
      <alignment horizontal="center"/>
    </xf>
    <xf numFmtId="165" fontId="1" fillId="21" borderId="12" xfId="0" applyNumberFormat="1" applyFont="1" applyFill="1" applyBorder="1"/>
    <xf numFmtId="0" fontId="1" fillId="22" borderId="12" xfId="0" applyFont="1" applyFill="1" applyBorder="1" applyAlignment="1">
      <alignment horizontal="center"/>
    </xf>
    <xf numFmtId="164" fontId="1" fillId="22" borderId="12" xfId="0" applyNumberFormat="1" applyFont="1" applyFill="1" applyBorder="1" applyAlignment="1">
      <alignment horizontal="center"/>
    </xf>
    <xf numFmtId="15" fontId="1" fillId="22" borderId="12" xfId="0" applyNumberFormat="1" applyFont="1" applyFill="1" applyBorder="1" applyAlignment="1">
      <alignment horizontal="left"/>
    </xf>
    <xf numFmtId="1" fontId="1" fillId="22" borderId="12" xfId="0" applyNumberFormat="1" applyFont="1" applyFill="1" applyBorder="1" applyAlignment="1">
      <alignment horizontal="center"/>
    </xf>
    <xf numFmtId="165" fontId="1" fillId="22" borderId="12" xfId="0" applyNumberFormat="1" applyFont="1" applyFill="1" applyBorder="1"/>
    <xf numFmtId="15" fontId="25" fillId="22" borderId="12" xfId="0" applyNumberFormat="1" applyFont="1" applyFill="1" applyBorder="1" applyAlignment="1">
      <alignment horizontal="center" vertical="center"/>
    </xf>
    <xf numFmtId="0" fontId="1" fillId="23" borderId="12" xfId="0" applyFont="1" applyFill="1" applyBorder="1" applyAlignment="1">
      <alignment horizontal="center"/>
    </xf>
    <xf numFmtId="164" fontId="1" fillId="23" borderId="12" xfId="0" applyNumberFormat="1" applyFont="1" applyFill="1" applyBorder="1" applyAlignment="1">
      <alignment horizontal="center"/>
    </xf>
    <xf numFmtId="15" fontId="1" fillId="23" borderId="12" xfId="0" applyNumberFormat="1" applyFont="1" applyFill="1" applyBorder="1" applyAlignment="1">
      <alignment horizontal="left"/>
    </xf>
    <xf numFmtId="1" fontId="1" fillId="23" borderId="12" xfId="0" applyNumberFormat="1" applyFont="1" applyFill="1" applyBorder="1" applyAlignment="1">
      <alignment horizontal="center"/>
    </xf>
    <xf numFmtId="165" fontId="1" fillId="23" borderId="12" xfId="0" applyNumberFormat="1" applyFont="1" applyFill="1" applyBorder="1"/>
    <xf numFmtId="15" fontId="25" fillId="24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15" fontId="25" fillId="0" borderId="12" xfId="0" applyNumberFormat="1" applyFont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1" fillId="25" borderId="12" xfId="0" applyFont="1" applyFill="1" applyBorder="1" applyAlignment="1">
      <alignment horizontal="center"/>
    </xf>
    <xf numFmtId="164" fontId="1" fillId="25" borderId="12" xfId="0" applyNumberFormat="1" applyFont="1" applyFill="1" applyBorder="1" applyAlignment="1">
      <alignment horizontal="center"/>
    </xf>
    <xf numFmtId="15" fontId="1" fillId="25" borderId="12" xfId="0" applyNumberFormat="1" applyFont="1" applyFill="1" applyBorder="1" applyAlignment="1">
      <alignment horizontal="left"/>
    </xf>
    <xf numFmtId="1" fontId="1" fillId="25" borderId="12" xfId="0" applyNumberFormat="1" applyFont="1" applyFill="1" applyBorder="1" applyAlignment="1">
      <alignment horizontal="center"/>
    </xf>
    <xf numFmtId="165" fontId="1" fillId="25" borderId="12" xfId="0" applyNumberFormat="1" applyFont="1" applyFill="1" applyBorder="1"/>
    <xf numFmtId="15" fontId="25" fillId="15" borderId="12" xfId="0" applyNumberFormat="1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/>
    </xf>
    <xf numFmtId="164" fontId="1" fillId="26" borderId="12" xfId="0" applyNumberFormat="1" applyFont="1" applyFill="1" applyBorder="1" applyAlignment="1">
      <alignment horizontal="center"/>
    </xf>
    <xf numFmtId="15" fontId="1" fillId="26" borderId="12" xfId="0" applyNumberFormat="1" applyFont="1" applyFill="1" applyBorder="1" applyAlignment="1">
      <alignment horizontal="left"/>
    </xf>
    <xf numFmtId="1" fontId="1" fillId="26" borderId="12" xfId="0" applyNumberFormat="1" applyFont="1" applyFill="1" applyBorder="1" applyAlignment="1">
      <alignment horizontal="center"/>
    </xf>
    <xf numFmtId="165" fontId="1" fillId="26" borderId="12" xfId="0" applyNumberFormat="1" applyFont="1" applyFill="1" applyBorder="1"/>
    <xf numFmtId="174" fontId="7" fillId="27" borderId="4" xfId="6" applyNumberFormat="1" applyFont="1" applyFill="1" applyBorder="1"/>
    <xf numFmtId="0" fontId="7" fillId="27" borderId="4" xfId="6" applyNumberFormat="1" applyFont="1" applyFill="1" applyBorder="1" applyAlignment="1">
      <alignment horizontal="center"/>
    </xf>
    <xf numFmtId="164" fontId="7" fillId="27" borderId="4" xfId="7" applyNumberFormat="1" applyFont="1" applyFill="1" applyBorder="1" applyAlignment="1">
      <alignment horizontal="center"/>
    </xf>
    <xf numFmtId="15" fontId="7" fillId="27" borderId="4" xfId="7" applyNumberFormat="1" applyFont="1" applyFill="1" applyBorder="1" applyAlignment="1">
      <alignment horizontal="left"/>
    </xf>
    <xf numFmtId="1" fontId="7" fillId="27" borderId="4" xfId="6" applyNumberFormat="1" applyFont="1" applyFill="1" applyBorder="1" applyAlignment="1">
      <alignment horizontal="center"/>
    </xf>
    <xf numFmtId="0" fontId="1" fillId="28" borderId="12" xfId="0" applyFont="1" applyFill="1" applyBorder="1" applyAlignment="1">
      <alignment horizontal="center"/>
    </xf>
    <xf numFmtId="164" fontId="1" fillId="28" borderId="12" xfId="0" applyNumberFormat="1" applyFont="1" applyFill="1" applyBorder="1" applyAlignment="1">
      <alignment horizontal="center"/>
    </xf>
    <xf numFmtId="15" fontId="1" fillId="28" borderId="12" xfId="0" applyNumberFormat="1" applyFont="1" applyFill="1" applyBorder="1" applyAlignment="1">
      <alignment horizontal="left"/>
    </xf>
    <xf numFmtId="1" fontId="1" fillId="28" borderId="12" xfId="0" applyNumberFormat="1" applyFont="1" applyFill="1" applyBorder="1" applyAlignment="1">
      <alignment horizontal="center"/>
    </xf>
    <xf numFmtId="165" fontId="1" fillId="28" borderId="12" xfId="0" applyNumberFormat="1" applyFont="1" applyFill="1" applyBorder="1"/>
    <xf numFmtId="165" fontId="1" fillId="29" borderId="12" xfId="0" applyNumberFormat="1" applyFont="1" applyFill="1" applyBorder="1"/>
    <xf numFmtId="15" fontId="25" fillId="27" borderId="12" xfId="0" applyNumberFormat="1" applyFont="1" applyFill="1" applyBorder="1" applyAlignment="1">
      <alignment horizontal="center" vertical="center"/>
    </xf>
    <xf numFmtId="168" fontId="2" fillId="30" borderId="0" xfId="0" applyNumberFormat="1" applyFont="1" applyFill="1" applyAlignment="1">
      <alignment horizontal="center" vertical="center"/>
    </xf>
    <xf numFmtId="0" fontId="0" fillId="30" borderId="0" xfId="0" applyFill="1"/>
    <xf numFmtId="169" fontId="2" fillId="30" borderId="0" xfId="0" applyNumberFormat="1" applyFont="1" applyFill="1"/>
    <xf numFmtId="167" fontId="0" fillId="30" borderId="0" xfId="0" applyNumberFormat="1" applyFill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0" fontId="0" fillId="0" borderId="14" xfId="0" applyBorder="1"/>
    <xf numFmtId="169" fontId="2" fillId="0" borderId="14" xfId="0" applyNumberFormat="1" applyFont="1" applyBorder="1"/>
    <xf numFmtId="167" fontId="0" fillId="0" borderId="14" xfId="0" applyNumberFormat="1" applyBorder="1"/>
    <xf numFmtId="15" fontId="0" fillId="0" borderId="0" xfId="0" applyNumberFormat="1" applyAlignment="1">
      <alignment horizontal="center" vertical="center"/>
    </xf>
    <xf numFmtId="175" fontId="2" fillId="2" borderId="1" xfId="0" applyNumberFormat="1" applyFont="1" applyFill="1" applyBorder="1"/>
    <xf numFmtId="176" fontId="0" fillId="0" borderId="0" xfId="0" applyNumberFormat="1"/>
    <xf numFmtId="44" fontId="0" fillId="0" borderId="0" xfId="0" applyNumberFormat="1"/>
    <xf numFmtId="175" fontId="1" fillId="2" borderId="0" xfId="0" applyNumberFormat="1" applyFont="1" applyFill="1"/>
    <xf numFmtId="175" fontId="3" fillId="2" borderId="0" xfId="0" applyNumberFormat="1" applyFont="1" applyFill="1"/>
    <xf numFmtId="175" fontId="4" fillId="2" borderId="0" xfId="0" applyNumberFormat="1" applyFont="1" applyFill="1"/>
    <xf numFmtId="175" fontId="2" fillId="2" borderId="0" xfId="0" applyNumberFormat="1" applyFont="1" applyFill="1" applyAlignment="1">
      <alignment horizontal="right"/>
    </xf>
    <xf numFmtId="175" fontId="35" fillId="2" borderId="0" xfId="0" applyNumberFormat="1" applyFont="1" applyFill="1"/>
    <xf numFmtId="175" fontId="8" fillId="3" borderId="0" xfId="0" applyNumberFormat="1" applyFont="1" applyFill="1" applyAlignment="1">
      <alignment horizontal="center" vertical="center" wrapText="1"/>
    </xf>
    <xf numFmtId="175" fontId="9" fillId="0" borderId="0" xfId="0" applyNumberFormat="1" applyFont="1"/>
    <xf numFmtId="175" fontId="0" fillId="0" borderId="0" xfId="0" applyNumberFormat="1"/>
    <xf numFmtId="0" fontId="7" fillId="14" borderId="4" xfId="6" applyNumberFormat="1" applyFont="1" applyFill="1" applyBorder="1" applyAlignment="1">
      <alignment horizontal="center"/>
    </xf>
    <xf numFmtId="164" fontId="7" fillId="14" borderId="4" xfId="7" applyNumberFormat="1" applyFont="1" applyFill="1" applyBorder="1" applyAlignment="1">
      <alignment horizontal="center"/>
    </xf>
    <xf numFmtId="15" fontId="7" fillId="14" borderId="4" xfId="7" applyNumberFormat="1" applyFont="1" applyFill="1" applyBorder="1" applyAlignment="1">
      <alignment horizontal="left"/>
    </xf>
    <xf numFmtId="1" fontId="7" fillId="14" borderId="4" xfId="6" applyNumberFormat="1" applyFont="1" applyFill="1" applyBorder="1" applyAlignment="1">
      <alignment horizontal="center"/>
    </xf>
    <xf numFmtId="0" fontId="44" fillId="0" borderId="0" xfId="4" applyFont="1" applyAlignment="1">
      <alignment horizontal="center"/>
    </xf>
    <xf numFmtId="174" fontId="7" fillId="31" borderId="4" xfId="6" applyNumberFormat="1" applyFont="1" applyFill="1" applyBorder="1"/>
    <xf numFmtId="49" fontId="25" fillId="0" borderId="4" xfId="0" applyNumberFormat="1" applyFont="1" applyBorder="1" applyAlignment="1">
      <alignment horizontal="left" vertical="center"/>
    </xf>
    <xf numFmtId="0" fontId="45" fillId="13" borderId="4" xfId="0" applyFont="1" applyFill="1" applyBorder="1" applyAlignment="1">
      <alignment horizontal="center" vertical="center"/>
    </xf>
    <xf numFmtId="0" fontId="33" fillId="0" borderId="4" xfId="2" applyBorder="1" applyAlignment="1">
      <alignment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168" fontId="2" fillId="32" borderId="0" xfId="0" applyNumberFormat="1" applyFont="1" applyFill="1" applyAlignment="1">
      <alignment horizontal="center" vertical="center"/>
    </xf>
    <xf numFmtId="0" fontId="0" fillId="32" borderId="0" xfId="0" applyFill="1"/>
    <xf numFmtId="169" fontId="2" fillId="32" borderId="0" xfId="0" applyNumberFormat="1" applyFont="1" applyFill="1"/>
    <xf numFmtId="167" fontId="0" fillId="32" borderId="0" xfId="0" applyNumberFormat="1" applyFill="1" applyAlignment="1">
      <alignment horizontal="center" vertical="center"/>
    </xf>
    <xf numFmtId="0" fontId="36" fillId="33" borderId="0" xfId="4" applyFill="1"/>
    <xf numFmtId="44" fontId="36" fillId="33" borderId="0" xfId="4" applyNumberFormat="1" applyFill="1"/>
    <xf numFmtId="0" fontId="7" fillId="34" borderId="4" xfId="6" applyNumberFormat="1" applyFont="1" applyFill="1" applyBorder="1" applyAlignment="1">
      <alignment horizontal="center"/>
    </xf>
    <xf numFmtId="164" fontId="7" fillId="34" borderId="4" xfId="7" applyNumberFormat="1" applyFont="1" applyFill="1" applyBorder="1" applyAlignment="1">
      <alignment horizontal="center"/>
    </xf>
    <xf numFmtId="15" fontId="7" fillId="34" borderId="4" xfId="7" applyNumberFormat="1" applyFont="1" applyFill="1" applyBorder="1" applyAlignment="1">
      <alignment horizontal="left"/>
    </xf>
    <xf numFmtId="1" fontId="7" fillId="34" borderId="4" xfId="6" applyNumberFormat="1" applyFont="1" applyFill="1" applyBorder="1" applyAlignment="1">
      <alignment horizontal="center"/>
    </xf>
    <xf numFmtId="174" fontId="7" fillId="34" borderId="4" xfId="6" applyNumberFormat="1" applyFont="1" applyFill="1" applyBorder="1"/>
    <xf numFmtId="0" fontId="0" fillId="0" borderId="0" xfId="3" applyFont="1"/>
    <xf numFmtId="16" fontId="2" fillId="0" borderId="0" xfId="3" applyNumberFormat="1" applyFont="1" applyAlignment="1">
      <alignment horizontal="right"/>
    </xf>
    <xf numFmtId="15" fontId="0" fillId="2" borderId="0" xfId="0" applyNumberFormat="1" applyFill="1" applyAlignment="1">
      <alignment horizontal="center" vertical="center"/>
    </xf>
    <xf numFmtId="0" fontId="46" fillId="35" borderId="4" xfId="0" applyFont="1" applyFill="1" applyBorder="1" applyAlignment="1">
      <alignment vertical="center"/>
    </xf>
    <xf numFmtId="0" fontId="22" fillId="35" borderId="4" xfId="0" applyFont="1" applyFill="1" applyBorder="1" applyAlignment="1">
      <alignment horizontal="center" vertical="center"/>
    </xf>
    <xf numFmtId="44" fontId="2" fillId="0" borderId="0" xfId="3" applyNumberFormat="1" applyFont="1" applyAlignment="1">
      <alignment horizontal="center" vertical="center"/>
    </xf>
    <xf numFmtId="169" fontId="0" fillId="0" borderId="0" xfId="0" applyNumberFormat="1"/>
    <xf numFmtId="0" fontId="47" fillId="2" borderId="0" xfId="0" applyFont="1" applyFill="1"/>
    <xf numFmtId="49" fontId="4" fillId="2" borderId="0" xfId="0" applyNumberFormat="1" applyFont="1" applyFill="1"/>
    <xf numFmtId="170" fontId="10" fillId="2" borderId="0" xfId="0" applyNumberFormat="1" applyFont="1" applyFill="1"/>
    <xf numFmtId="170" fontId="4" fillId="2" borderId="0" xfId="0" applyNumberFormat="1" applyFont="1" applyFill="1"/>
    <xf numFmtId="170" fontId="4" fillId="2" borderId="8" xfId="0" applyNumberFormat="1" applyFont="1" applyFill="1" applyBorder="1"/>
    <xf numFmtId="0" fontId="48" fillId="2" borderId="0" xfId="0" applyFont="1" applyFill="1"/>
    <xf numFmtId="0" fontId="4" fillId="2" borderId="15" xfId="0" applyFont="1" applyFill="1" applyBorder="1"/>
    <xf numFmtId="0" fontId="4" fillId="2" borderId="16" xfId="0" applyFont="1" applyFill="1" applyBorder="1"/>
    <xf numFmtId="49" fontId="4" fillId="2" borderId="16" xfId="0" applyNumberFormat="1" applyFont="1" applyFill="1" applyBorder="1" applyAlignment="1">
      <alignment horizontal="center"/>
    </xf>
    <xf numFmtId="170" fontId="4" fillId="2" borderId="16" xfId="0" applyNumberFormat="1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49" fontId="4" fillId="2" borderId="0" xfId="0" applyNumberFormat="1" applyFont="1" applyFill="1" applyAlignment="1">
      <alignment horizontal="center"/>
    </xf>
    <xf numFmtId="0" fontId="4" fillId="2" borderId="19" xfId="0" applyFont="1" applyFill="1" applyBorder="1"/>
    <xf numFmtId="0" fontId="4" fillId="0" borderId="0" xfId="0" applyFont="1"/>
    <xf numFmtId="0" fontId="4" fillId="2" borderId="20" xfId="0" applyFont="1" applyFill="1" applyBorder="1"/>
    <xf numFmtId="0" fontId="4" fillId="2" borderId="21" xfId="0" applyFont="1" applyFill="1" applyBorder="1"/>
    <xf numFmtId="49" fontId="4" fillId="2" borderId="21" xfId="0" applyNumberFormat="1" applyFont="1" applyFill="1" applyBorder="1"/>
    <xf numFmtId="170" fontId="4" fillId="2" borderId="21" xfId="0" applyNumberFormat="1" applyFont="1" applyFill="1" applyBorder="1"/>
    <xf numFmtId="0" fontId="4" fillId="2" borderId="22" xfId="0" applyFont="1" applyFill="1" applyBorder="1"/>
    <xf numFmtId="49" fontId="4" fillId="0" borderId="0" xfId="0" applyNumberFormat="1" applyFont="1"/>
    <xf numFmtId="170" fontId="4" fillId="0" borderId="0" xfId="0" applyNumberFormat="1" applyFont="1"/>
    <xf numFmtId="49" fontId="33" fillId="0" borderId="4" xfId="2" applyNumberForma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7" fillId="0" borderId="0" xfId="0" applyFont="1"/>
    <xf numFmtId="0" fontId="28" fillId="0" borderId="0" xfId="0" applyFont="1" applyAlignment="1">
      <alignment horizontal="center"/>
    </xf>
    <xf numFmtId="166" fontId="29" fillId="0" borderId="0" xfId="0" applyNumberFormat="1" applyFont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166" fontId="29" fillId="2" borderId="0" xfId="0" applyNumberFormat="1" applyFont="1" applyFill="1" applyAlignment="1">
      <alignment horizontal="center"/>
    </xf>
    <xf numFmtId="0" fontId="34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166" fontId="18" fillId="0" borderId="0" xfId="3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1" fillId="0" borderId="5" xfId="0" applyNumberFormat="1" applyFont="1" applyBorder="1" applyAlignment="1">
      <alignment horizontal="center"/>
    </xf>
  </cellXfs>
  <cellStyles count="8">
    <cellStyle name="Hipervínculo" xfId="2" builtinId="8"/>
    <cellStyle name="Moneda 2" xfId="6" xr:uid="{670351D6-AE3B-4C64-927D-8C12BF873F01}"/>
    <cellStyle name="Normal" xfId="0" builtinId="0"/>
    <cellStyle name="Normal 2" xfId="3" xr:uid="{1BDCBCE1-5DFF-44DE-8910-EEEFF39A1C55}"/>
    <cellStyle name="Normal 2 2" xfId="7" xr:uid="{B38F2D36-5C35-43A3-A636-0274406A6842}"/>
    <cellStyle name="Normal 3" xfId="4" xr:uid="{299A8B5D-8BAE-4C4E-A7CB-2F9204248B1C}"/>
    <cellStyle name="Porcentaje" xfId="1" builtinId="5"/>
    <cellStyle name="Porcentaje 2" xfId="5" xr:uid="{B156C33C-2712-4C72-9EC0-AE1168B795BC}"/>
  </cellStyles>
  <dxfs count="3">
    <dxf>
      <numFmt numFmtId="175" formatCode="_-&quot;$&quot;* #,##0.000_-;[Red]\-&quot;$&quot;* #,##0.000_-;_-&quot;$&quot;* &quot;-&quot;??_-;_-@"/>
    </dxf>
    <dxf>
      <numFmt numFmtId="175" formatCode="_-&quot;$&quot;* #,##0.000_-;[Red]\-&quot;$&quot;* #,##0.000_-;_-&quot;$&quot;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CC"/>
      <color rgb="FFCC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845E1891-0D98-43B6-B03A-722226F5A6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190499</xdr:rowOff>
    </xdr:from>
    <xdr:ext cx="809625" cy="600075"/>
    <xdr:pic>
      <xdr:nvPicPr>
        <xdr:cNvPr id="2" name="image2.png">
          <a:extLst>
            <a:ext uri="{FF2B5EF4-FFF2-40B4-BE49-F238E27FC236}">
              <a16:creationId xmlns:a16="http://schemas.microsoft.com/office/drawing/2014/main" id="{8BC4D762-C5DF-40BD-A995-5ECF5C6C8E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" y="390524"/>
          <a:ext cx="80962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131233</xdr:colOff>
      <xdr:row>0</xdr:row>
      <xdr:rowOff>147108</xdr:rowOff>
    </xdr:from>
    <xdr:ext cx="857250" cy="742950"/>
    <xdr:pic>
      <xdr:nvPicPr>
        <xdr:cNvPr id="2" name="image2.png">
          <a:extLst>
            <a:ext uri="{FF2B5EF4-FFF2-40B4-BE49-F238E27FC236}">
              <a16:creationId xmlns:a16="http://schemas.microsoft.com/office/drawing/2014/main" id="{0EC5130A-86C1-45CD-A88A-AA3608AAAB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2208" y="147108"/>
          <a:ext cx="857250" cy="7429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158750</xdr:colOff>
      <xdr:row>1</xdr:row>
      <xdr:rowOff>214842</xdr:rowOff>
    </xdr:from>
    <xdr:ext cx="7524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4D9BB90E-9C9A-4536-BE68-12B4EB31A6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083" y="405342"/>
          <a:ext cx="752475" cy="6191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41275</xdr:colOff>
      <xdr:row>0</xdr:row>
      <xdr:rowOff>170392</xdr:rowOff>
    </xdr:from>
    <xdr:ext cx="87630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BC9041E7-8932-4BD4-BD5D-E2642578C8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975" y="170392"/>
          <a:ext cx="87630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488157</xdr:colOff>
      <xdr:row>1</xdr:row>
      <xdr:rowOff>78581</xdr:rowOff>
    </xdr:from>
    <xdr:ext cx="895350" cy="657225"/>
    <xdr:pic>
      <xdr:nvPicPr>
        <xdr:cNvPr id="2" name="image2.png">
          <a:extLst>
            <a:ext uri="{FF2B5EF4-FFF2-40B4-BE49-F238E27FC236}">
              <a16:creationId xmlns:a16="http://schemas.microsoft.com/office/drawing/2014/main" id="{7EDF0176-1102-4501-9D5D-60451DF79F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0720" y="269081"/>
          <a:ext cx="895350" cy="6572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7D1DE-3B62-4FA9-9F77-67572242921E}" name="DIA_24" displayName="DIA_24" ref="B6:I903" totalsRowShown="0" headerRowDxfId="2">
  <autoFilter ref="B6:I903" xr:uid="{63C7D1DE-3B62-4FA9-9F77-67572242921E}"/>
  <sortState xmlns:xlrd2="http://schemas.microsoft.com/office/spreadsheetml/2017/richdata2" ref="B7:I892">
    <sortCondition ref="B7:B892"/>
    <sortCondition ref="D7:D892"/>
    <sortCondition ref="E7:E892"/>
  </sortState>
  <tableColumns count="8">
    <tableColumn id="1" xr3:uid="{CD1738B5-ADA7-4036-8106-FB550AB47B75}" name="FEC_MOV"/>
    <tableColumn id="2" xr3:uid="{CA281BE9-D3B9-469D-B162-5C02896D21EF}" name="BANCO"/>
    <tableColumn id="3" xr3:uid="{67E7ACFE-031F-484C-8CD1-25400D1AEAC8}" name="CATEGORIA"/>
    <tableColumn id="4" xr3:uid="{EDB9ABFA-0861-446A-B230-58507D5BD301}" name="SUB-CATEGORIA"/>
    <tableColumn id="5" xr3:uid="{6E0FC147-E1B9-41A9-A4EF-B3D0A1BB48F9}" name="CONCEPTO"/>
    <tableColumn id="6" xr3:uid="{1F3F0FF9-6B69-44BF-9584-6927B065DBC3}" name="TRASPASO"/>
    <tableColumn id="7" xr3:uid="{CA657476-92C1-41FB-8CA3-4CDEE587478E}" name="INGRESO" dataDxfId="1"/>
    <tableColumn id="8" xr3:uid="{DD56213D-8D87-4220-9385-0D1BB0DD5AB4}" name="EGRES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mailto:myssantillan@gmal.com" TargetMode="External"/><Relationship Id="rId26" Type="http://schemas.openxmlformats.org/officeDocument/2006/relationships/hyperlink" Target="http://www.sat.gob.mx/Paginas/Inicio.aspx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mailto:vcuevar@gmail.com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gmail.com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https://www.netflix.com/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://www.instagram.com/" TargetMode="Externa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mailto:vcuevar@gmail.com" TargetMode="External"/><Relationship Id="rId28" Type="http://schemas.openxmlformats.org/officeDocument/2006/relationships/hyperlink" Target="mailto:it.duo@zarkin.onmicrosoft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tiktok.com/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https://www.chat.openai.com/" TargetMode="External"/><Relationship Id="rId27" Type="http://schemas.openxmlformats.org/officeDocument/2006/relationships/hyperlink" Target="https://telmex.com/web/hogar" TargetMode="External"/><Relationship Id="rId30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7C8-28AF-4CC7-92EC-1ED871370CEC}">
  <sheetPr>
    <tabColor theme="1"/>
  </sheetPr>
  <dimension ref="A1:H50"/>
  <sheetViews>
    <sheetView showGridLines="0" topLeftCell="B1" workbookViewId="0">
      <pane ySplit="6" topLeftCell="A12" activePane="bottomLeft" state="frozen"/>
      <selection pane="bottomLeft" activeCell="H10" sqref="H10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122"/>
      <c r="B1" s="122"/>
      <c r="C1" s="122"/>
      <c r="D1" s="122"/>
      <c r="E1" s="122"/>
      <c r="F1" s="123"/>
      <c r="G1" s="124"/>
      <c r="H1" s="122"/>
    </row>
    <row r="2" spans="1:8" ht="23.25" x14ac:dyDescent="0.35">
      <c r="A2" s="122"/>
      <c r="B2" s="329" t="s">
        <v>260</v>
      </c>
      <c r="C2" s="330"/>
      <c r="D2" s="330"/>
      <c r="E2" s="330"/>
      <c r="F2" s="330"/>
      <c r="G2" s="330"/>
      <c r="H2" s="330"/>
    </row>
    <row r="3" spans="1:8" ht="20.25" x14ac:dyDescent="0.3">
      <c r="A3" s="122"/>
      <c r="B3" s="331" t="s">
        <v>323</v>
      </c>
      <c r="C3" s="330"/>
      <c r="D3" s="330"/>
      <c r="E3" s="330"/>
      <c r="F3" s="330"/>
      <c r="G3" s="330"/>
      <c r="H3" s="330"/>
    </row>
    <row r="4" spans="1:8" ht="18.75" x14ac:dyDescent="0.3">
      <c r="A4" s="122"/>
      <c r="B4" s="332">
        <f>MAX(B6:B426)</f>
        <v>45505</v>
      </c>
      <c r="C4" s="330"/>
      <c r="D4" s="330"/>
      <c r="E4" s="330"/>
      <c r="F4" s="330"/>
      <c r="G4" s="330"/>
      <c r="H4" s="330"/>
    </row>
    <row r="5" spans="1:8" ht="18" x14ac:dyDescent="0.25">
      <c r="A5" s="122"/>
      <c r="B5" s="122"/>
      <c r="C5" s="125"/>
      <c r="D5" s="125"/>
      <c r="E5" s="126"/>
      <c r="F5" s="125"/>
      <c r="G5" s="127"/>
      <c r="H5" s="125"/>
    </row>
    <row r="6" spans="1:8" ht="30" x14ac:dyDescent="0.2">
      <c r="A6" s="128"/>
      <c r="B6" s="101" t="s">
        <v>324</v>
      </c>
      <c r="C6" s="101" t="s">
        <v>325</v>
      </c>
      <c r="D6" s="101" t="s">
        <v>326</v>
      </c>
      <c r="E6" s="101" t="s">
        <v>327</v>
      </c>
      <c r="F6" s="101" t="s">
        <v>328</v>
      </c>
      <c r="G6" s="101" t="s">
        <v>329</v>
      </c>
      <c r="H6" s="101" t="s">
        <v>330</v>
      </c>
    </row>
    <row r="7" spans="1:8" x14ac:dyDescent="0.2">
      <c r="A7" s="128"/>
      <c r="B7" s="135">
        <v>45054</v>
      </c>
      <c r="C7" s="131" t="s">
        <v>331</v>
      </c>
      <c r="D7" s="131" t="s">
        <v>333</v>
      </c>
      <c r="E7" s="136" t="s">
        <v>334</v>
      </c>
      <c r="F7" s="137" t="s">
        <v>335</v>
      </c>
      <c r="G7" s="133" t="s">
        <v>336</v>
      </c>
      <c r="H7" s="130" t="s">
        <v>337</v>
      </c>
    </row>
    <row r="8" spans="1:8" x14ac:dyDescent="0.2">
      <c r="A8" s="128"/>
      <c r="B8" s="129">
        <v>44537</v>
      </c>
      <c r="C8" s="130" t="s">
        <v>331</v>
      </c>
      <c r="D8" s="130" t="s">
        <v>309</v>
      </c>
      <c r="E8" s="138" t="s">
        <v>343</v>
      </c>
      <c r="F8" s="133" t="s">
        <v>310</v>
      </c>
      <c r="G8" s="134" t="s">
        <v>344</v>
      </c>
      <c r="H8" s="139">
        <v>475869</v>
      </c>
    </row>
    <row r="9" spans="1:8" ht="15.75" x14ac:dyDescent="0.25">
      <c r="A9" s="122"/>
      <c r="B9" s="129">
        <v>44537</v>
      </c>
      <c r="C9" s="130" t="s">
        <v>331</v>
      </c>
      <c r="D9" s="130" t="s">
        <v>309</v>
      </c>
      <c r="E9" s="138" t="s">
        <v>345</v>
      </c>
      <c r="F9" s="133" t="s">
        <v>346</v>
      </c>
      <c r="G9" s="134" t="s">
        <v>344</v>
      </c>
      <c r="H9" s="130" t="s">
        <v>347</v>
      </c>
    </row>
    <row r="10" spans="1:8" ht="15.75" x14ac:dyDescent="0.25">
      <c r="A10" s="122"/>
      <c r="B10" s="129">
        <v>45075</v>
      </c>
      <c r="C10" s="130" t="s">
        <v>331</v>
      </c>
      <c r="D10" s="131" t="s">
        <v>355</v>
      </c>
      <c r="E10" s="142" t="s">
        <v>356</v>
      </c>
      <c r="F10" s="133" t="s">
        <v>357</v>
      </c>
      <c r="G10" s="134" t="s">
        <v>332</v>
      </c>
      <c r="H10" s="130" t="s">
        <v>822</v>
      </c>
    </row>
    <row r="11" spans="1:8" ht="15.75" x14ac:dyDescent="0.25">
      <c r="A11" s="122"/>
      <c r="B11" s="135">
        <v>45436</v>
      </c>
      <c r="C11" s="131" t="s">
        <v>331</v>
      </c>
      <c r="D11" s="131" t="s">
        <v>653</v>
      </c>
      <c r="E11" s="143" t="s">
        <v>358</v>
      </c>
      <c r="F11" s="137" t="s">
        <v>359</v>
      </c>
      <c r="G11" s="133" t="s">
        <v>363</v>
      </c>
      <c r="H11" s="130"/>
    </row>
    <row r="12" spans="1:8" ht="15.75" x14ac:dyDescent="0.25">
      <c r="A12" s="122"/>
      <c r="B12" s="135">
        <v>45385</v>
      </c>
      <c r="C12" s="131" t="s">
        <v>331</v>
      </c>
      <c r="D12" s="131" t="s">
        <v>522</v>
      </c>
      <c r="E12" s="136" t="s">
        <v>523</v>
      </c>
      <c r="F12" s="144" t="s">
        <v>524</v>
      </c>
      <c r="G12" s="133" t="s">
        <v>525</v>
      </c>
      <c r="H12" s="130" t="s">
        <v>526</v>
      </c>
    </row>
    <row r="13" spans="1:8" x14ac:dyDescent="0.2">
      <c r="A13" s="128"/>
      <c r="B13" s="135">
        <v>45323</v>
      </c>
      <c r="C13" s="131" t="s">
        <v>331</v>
      </c>
      <c r="D13" s="131" t="s">
        <v>413</v>
      </c>
      <c r="E13" s="146" t="s">
        <v>414</v>
      </c>
      <c r="F13" s="141" t="s">
        <v>353</v>
      </c>
      <c r="G13" s="133"/>
      <c r="H13" s="130" t="s">
        <v>412</v>
      </c>
    </row>
    <row r="14" spans="1:8" x14ac:dyDescent="0.2">
      <c r="A14" s="128"/>
      <c r="B14" s="135">
        <v>45069</v>
      </c>
      <c r="C14" s="131" t="s">
        <v>331</v>
      </c>
      <c r="D14" s="131" t="s">
        <v>361</v>
      </c>
      <c r="E14" s="136" t="s">
        <v>362</v>
      </c>
      <c r="F14" s="144" t="s">
        <v>353</v>
      </c>
      <c r="G14" s="133" t="s">
        <v>363</v>
      </c>
      <c r="H14" s="130"/>
    </row>
    <row r="15" spans="1:8" x14ac:dyDescent="0.2">
      <c r="A15" s="128"/>
      <c r="B15" s="135">
        <v>45335</v>
      </c>
      <c r="C15" s="131" t="s">
        <v>331</v>
      </c>
      <c r="D15" s="131" t="s">
        <v>364</v>
      </c>
      <c r="E15" s="136" t="s">
        <v>365</v>
      </c>
      <c r="F15" s="144" t="s">
        <v>366</v>
      </c>
      <c r="G15" s="133" t="s">
        <v>344</v>
      </c>
      <c r="H15" s="130"/>
    </row>
    <row r="16" spans="1:8" x14ac:dyDescent="0.2">
      <c r="A16" s="128"/>
      <c r="B16" s="135">
        <v>45037</v>
      </c>
      <c r="C16" s="131" t="s">
        <v>331</v>
      </c>
      <c r="D16" s="131" t="s">
        <v>367</v>
      </c>
      <c r="E16" s="145" t="s">
        <v>368</v>
      </c>
      <c r="F16" s="137" t="s">
        <v>369</v>
      </c>
      <c r="G16" s="133" t="s">
        <v>360</v>
      </c>
      <c r="H16" s="132" t="s">
        <v>353</v>
      </c>
    </row>
    <row r="17" spans="1:8" x14ac:dyDescent="0.2">
      <c r="A17" s="128"/>
      <c r="B17" s="135">
        <v>44958</v>
      </c>
      <c r="C17" s="131" t="s">
        <v>331</v>
      </c>
      <c r="D17" s="131" t="s">
        <v>370</v>
      </c>
      <c r="E17" s="131" t="s">
        <v>371</v>
      </c>
      <c r="F17" s="137" t="s">
        <v>353</v>
      </c>
      <c r="G17" s="133" t="s">
        <v>372</v>
      </c>
      <c r="H17" s="130" t="s">
        <v>373</v>
      </c>
    </row>
    <row r="18" spans="1:8" x14ac:dyDescent="0.2">
      <c r="A18" s="128"/>
      <c r="B18" s="129">
        <v>45127</v>
      </c>
      <c r="C18" s="130" t="s">
        <v>331</v>
      </c>
      <c r="D18" s="131" t="s">
        <v>283</v>
      </c>
      <c r="E18" s="138" t="s">
        <v>374</v>
      </c>
      <c r="F18" s="133" t="s">
        <v>375</v>
      </c>
      <c r="G18" s="134" t="s">
        <v>376</v>
      </c>
      <c r="H18" s="130" t="s">
        <v>377</v>
      </c>
    </row>
    <row r="19" spans="1:8" x14ac:dyDescent="0.2">
      <c r="A19" s="128"/>
      <c r="B19" s="129">
        <v>45014</v>
      </c>
      <c r="C19" s="130" t="s">
        <v>331</v>
      </c>
      <c r="D19" s="131" t="s">
        <v>378</v>
      </c>
      <c r="E19" s="132" t="s">
        <v>379</v>
      </c>
      <c r="F19" s="140" t="s">
        <v>357</v>
      </c>
      <c r="G19" s="134" t="s">
        <v>332</v>
      </c>
      <c r="H19" s="140" t="s">
        <v>380</v>
      </c>
    </row>
    <row r="20" spans="1:8" x14ac:dyDescent="0.2">
      <c r="A20" s="128"/>
      <c r="B20" s="129"/>
      <c r="C20" s="130" t="s">
        <v>331</v>
      </c>
      <c r="D20" s="131" t="s">
        <v>378</v>
      </c>
      <c r="E20" s="132" t="s">
        <v>379</v>
      </c>
      <c r="F20" s="140" t="s">
        <v>637</v>
      </c>
      <c r="G20" s="134"/>
      <c r="H20" s="140"/>
    </row>
    <row r="21" spans="1:8" x14ac:dyDescent="0.2">
      <c r="A21" s="128"/>
      <c r="B21" s="129">
        <v>44620</v>
      </c>
      <c r="C21" s="130" t="s">
        <v>331</v>
      </c>
      <c r="D21" s="130" t="s">
        <v>348</v>
      </c>
      <c r="E21" s="138" t="s">
        <v>349</v>
      </c>
      <c r="F21" s="140" t="s">
        <v>350</v>
      </c>
      <c r="G21" s="134" t="s">
        <v>351</v>
      </c>
      <c r="H21" s="130" t="s">
        <v>352</v>
      </c>
    </row>
    <row r="22" spans="1:8" ht="15.75" x14ac:dyDescent="0.25">
      <c r="A22" s="122"/>
      <c r="B22" s="129">
        <v>45318</v>
      </c>
      <c r="C22" s="130" t="s">
        <v>331</v>
      </c>
      <c r="D22" s="130" t="s">
        <v>348</v>
      </c>
      <c r="E22" s="138" t="s">
        <v>349</v>
      </c>
      <c r="F22" s="141" t="s">
        <v>353</v>
      </c>
      <c r="G22" s="134" t="s">
        <v>332</v>
      </c>
      <c r="H22" s="130" t="s">
        <v>354</v>
      </c>
    </row>
    <row r="23" spans="1:8" ht="15.75" x14ac:dyDescent="0.25">
      <c r="A23" s="122"/>
      <c r="B23" s="135">
        <v>44967</v>
      </c>
      <c r="C23" s="131" t="s">
        <v>331</v>
      </c>
      <c r="D23" s="131" t="s">
        <v>24</v>
      </c>
      <c r="E23" s="136" t="s">
        <v>381</v>
      </c>
      <c r="F23" s="137"/>
      <c r="G23" s="133" t="s">
        <v>382</v>
      </c>
      <c r="H23" s="130" t="s">
        <v>383</v>
      </c>
    </row>
    <row r="24" spans="1:8" x14ac:dyDescent="0.2">
      <c r="A24" s="128"/>
      <c r="B24" s="135">
        <v>45232</v>
      </c>
      <c r="C24" s="131" t="s">
        <v>331</v>
      </c>
      <c r="D24" s="131" t="s">
        <v>24</v>
      </c>
      <c r="E24" s="136" t="s">
        <v>384</v>
      </c>
      <c r="F24" s="141" t="s">
        <v>385</v>
      </c>
      <c r="G24" s="133" t="s">
        <v>386</v>
      </c>
      <c r="H24" s="130" t="s">
        <v>387</v>
      </c>
    </row>
    <row r="25" spans="1:8" x14ac:dyDescent="0.2">
      <c r="A25" s="128"/>
      <c r="B25" s="129">
        <v>45139</v>
      </c>
      <c r="C25" s="131" t="s">
        <v>331</v>
      </c>
      <c r="D25" s="130" t="s">
        <v>388</v>
      </c>
      <c r="E25" s="130" t="s">
        <v>389</v>
      </c>
      <c r="F25" s="133" t="s">
        <v>288</v>
      </c>
      <c r="G25" s="134" t="s">
        <v>390</v>
      </c>
      <c r="H25" s="130" t="s">
        <v>391</v>
      </c>
    </row>
    <row r="26" spans="1:8" x14ac:dyDescent="0.2">
      <c r="A26" s="128"/>
      <c r="B26" s="129">
        <v>44851</v>
      </c>
      <c r="C26" s="131" t="s">
        <v>331</v>
      </c>
      <c r="D26" s="130" t="s">
        <v>388</v>
      </c>
      <c r="E26" s="285" t="s">
        <v>389</v>
      </c>
      <c r="F26" s="133" t="s">
        <v>392</v>
      </c>
      <c r="G26" s="134" t="s">
        <v>393</v>
      </c>
      <c r="H26" s="130" t="s">
        <v>391</v>
      </c>
    </row>
    <row r="27" spans="1:8" x14ac:dyDescent="0.2">
      <c r="A27" s="128"/>
      <c r="B27" s="129">
        <v>44930</v>
      </c>
      <c r="C27" s="130" t="s">
        <v>331</v>
      </c>
      <c r="D27" s="131" t="s">
        <v>394</v>
      </c>
      <c r="E27" s="142" t="s">
        <v>395</v>
      </c>
      <c r="F27" s="140" t="s">
        <v>369</v>
      </c>
      <c r="G27" s="134" t="s">
        <v>332</v>
      </c>
      <c r="H27" s="130" t="s">
        <v>396</v>
      </c>
    </row>
    <row r="28" spans="1:8" x14ac:dyDescent="0.2">
      <c r="A28" s="128"/>
      <c r="B28" s="129">
        <v>44930</v>
      </c>
      <c r="C28" s="130" t="s">
        <v>331</v>
      </c>
      <c r="D28" s="131" t="s">
        <v>394</v>
      </c>
      <c r="E28" s="142" t="s">
        <v>395</v>
      </c>
      <c r="F28" s="140" t="s">
        <v>369</v>
      </c>
      <c r="G28" s="134" t="s">
        <v>332</v>
      </c>
      <c r="H28" s="130" t="s">
        <v>397</v>
      </c>
    </row>
    <row r="29" spans="1:8" ht="15.75" x14ac:dyDescent="0.25">
      <c r="A29" s="122"/>
      <c r="B29" s="135">
        <v>45362</v>
      </c>
      <c r="C29" s="131" t="s">
        <v>331</v>
      </c>
      <c r="D29" s="131" t="s">
        <v>446</v>
      </c>
      <c r="E29" s="146" t="s">
        <v>445</v>
      </c>
      <c r="F29" s="141" t="s">
        <v>444</v>
      </c>
      <c r="G29" s="133" t="s">
        <v>447</v>
      </c>
      <c r="H29" s="130" t="s">
        <v>448</v>
      </c>
    </row>
    <row r="30" spans="1:8" ht="15.75" x14ac:dyDescent="0.25">
      <c r="A30" s="122"/>
      <c r="B30" s="135">
        <v>45161</v>
      </c>
      <c r="C30" s="131" t="s">
        <v>331</v>
      </c>
      <c r="D30" s="131" t="s">
        <v>407</v>
      </c>
      <c r="E30" s="136" t="s">
        <v>408</v>
      </c>
      <c r="F30" s="133" t="s">
        <v>409</v>
      </c>
      <c r="G30" s="133"/>
      <c r="H30" s="130"/>
    </row>
    <row r="31" spans="1:8" ht="15.75" x14ac:dyDescent="0.25">
      <c r="A31" s="122"/>
      <c r="B31" s="129">
        <v>44958</v>
      </c>
      <c r="C31" s="130" t="s">
        <v>331</v>
      </c>
      <c r="D31" s="131" t="s">
        <v>398</v>
      </c>
      <c r="E31" s="132" t="s">
        <v>399</v>
      </c>
      <c r="F31" s="133" t="s">
        <v>400</v>
      </c>
      <c r="G31" s="134" t="s">
        <v>332</v>
      </c>
      <c r="H31" s="130"/>
    </row>
    <row r="32" spans="1:8" ht="15.75" x14ac:dyDescent="0.25">
      <c r="A32" s="122"/>
      <c r="B32" s="129">
        <v>45488</v>
      </c>
      <c r="C32" s="130" t="s">
        <v>331</v>
      </c>
      <c r="D32" s="131" t="s">
        <v>398</v>
      </c>
      <c r="E32" s="285" t="s">
        <v>755</v>
      </c>
      <c r="F32" s="133" t="s">
        <v>756</v>
      </c>
      <c r="G32" s="134" t="s">
        <v>332</v>
      </c>
      <c r="H32" s="130"/>
    </row>
    <row r="33" spans="1:8" ht="15.75" x14ac:dyDescent="0.25">
      <c r="A33" s="122"/>
      <c r="B33" s="129">
        <v>45120</v>
      </c>
      <c r="C33" s="130" t="s">
        <v>331</v>
      </c>
      <c r="D33" s="131" t="s">
        <v>73</v>
      </c>
      <c r="E33" s="132" t="s">
        <v>401</v>
      </c>
      <c r="F33" s="133" t="s">
        <v>402</v>
      </c>
      <c r="G33" s="134" t="s">
        <v>363</v>
      </c>
      <c r="H33" s="130" t="s">
        <v>403</v>
      </c>
    </row>
    <row r="34" spans="1:8" x14ac:dyDescent="0.2">
      <c r="A34" s="128"/>
      <c r="B34" s="135">
        <v>45310</v>
      </c>
      <c r="C34" s="131" t="s">
        <v>331</v>
      </c>
      <c r="D34" s="131" t="s">
        <v>410</v>
      </c>
      <c r="E34" s="146" t="s">
        <v>411</v>
      </c>
      <c r="F34" s="133" t="s">
        <v>369</v>
      </c>
      <c r="G34" s="133"/>
      <c r="H34" s="130" t="s">
        <v>412</v>
      </c>
    </row>
    <row r="35" spans="1:8" x14ac:dyDescent="0.2">
      <c r="A35" s="128"/>
      <c r="B35" s="129"/>
      <c r="C35" s="130" t="s">
        <v>331</v>
      </c>
      <c r="D35" s="131" t="s">
        <v>404</v>
      </c>
      <c r="E35" s="132" t="s">
        <v>405</v>
      </c>
      <c r="F35" s="140" t="s">
        <v>353</v>
      </c>
      <c r="G35" s="134" t="s">
        <v>332</v>
      </c>
      <c r="H35" s="130" t="s">
        <v>406</v>
      </c>
    </row>
    <row r="36" spans="1:8" x14ac:dyDescent="0.2">
      <c r="A36" s="128"/>
      <c r="B36" s="135"/>
      <c r="C36" s="131" t="s">
        <v>415</v>
      </c>
      <c r="D36" s="131" t="s">
        <v>653</v>
      </c>
      <c r="E36" s="143" t="s">
        <v>654</v>
      </c>
      <c r="F36" s="137" t="s">
        <v>655</v>
      </c>
      <c r="G36" s="133" t="s">
        <v>393</v>
      </c>
      <c r="H36" s="130" t="s">
        <v>656</v>
      </c>
    </row>
    <row r="37" spans="1:8" x14ac:dyDescent="0.2">
      <c r="A37" s="128"/>
      <c r="B37" s="135">
        <v>45481</v>
      </c>
      <c r="C37" s="131" t="s">
        <v>415</v>
      </c>
      <c r="D37" s="131" t="s">
        <v>309</v>
      </c>
      <c r="E37" s="143"/>
      <c r="F37" s="137" t="s">
        <v>742</v>
      </c>
      <c r="G37" s="133" t="s">
        <v>741</v>
      </c>
      <c r="H37" s="130" t="s">
        <v>740</v>
      </c>
    </row>
    <row r="38" spans="1:8" x14ac:dyDescent="0.2">
      <c r="A38" s="128"/>
      <c r="B38" s="135"/>
      <c r="C38" s="131" t="s">
        <v>415</v>
      </c>
      <c r="D38" s="131" t="s">
        <v>660</v>
      </c>
      <c r="E38" s="136" t="s">
        <v>657</v>
      </c>
      <c r="F38" s="144" t="s">
        <v>658</v>
      </c>
      <c r="G38" s="133" t="s">
        <v>659</v>
      </c>
      <c r="H38" s="130"/>
    </row>
    <row r="39" spans="1:8" x14ac:dyDescent="0.2">
      <c r="A39" s="128"/>
      <c r="B39" s="135">
        <v>45307</v>
      </c>
      <c r="C39" s="131" t="s">
        <v>415</v>
      </c>
      <c r="D39" s="131" t="s">
        <v>416</v>
      </c>
      <c r="E39" s="136" t="s">
        <v>417</v>
      </c>
      <c r="F39" s="140" t="s">
        <v>418</v>
      </c>
      <c r="G39" s="133" t="s">
        <v>419</v>
      </c>
      <c r="H39" s="130" t="s">
        <v>420</v>
      </c>
    </row>
    <row r="40" spans="1:8" x14ac:dyDescent="0.2">
      <c r="A40" s="128"/>
      <c r="B40" s="121"/>
      <c r="C40" s="121"/>
      <c r="D40" s="121"/>
      <c r="E40" s="284" t="s">
        <v>250</v>
      </c>
      <c r="F40" s="121"/>
      <c r="G40" s="121"/>
      <c r="H40" s="121"/>
    </row>
    <row r="41" spans="1:8" ht="30" x14ac:dyDescent="0.2">
      <c r="A41" s="128"/>
      <c r="B41" s="101" t="s">
        <v>324</v>
      </c>
      <c r="C41" s="101" t="s">
        <v>325</v>
      </c>
      <c r="D41" s="101" t="s">
        <v>326</v>
      </c>
      <c r="E41" s="101" t="s">
        <v>327</v>
      </c>
      <c r="F41" s="101" t="s">
        <v>328</v>
      </c>
      <c r="G41" s="101" t="s">
        <v>329</v>
      </c>
      <c r="H41" s="101" t="s">
        <v>330</v>
      </c>
    </row>
    <row r="42" spans="1:8" x14ac:dyDescent="0.2">
      <c r="A42" s="128"/>
      <c r="B42" s="135">
        <v>45435</v>
      </c>
      <c r="C42" s="131" t="s">
        <v>250</v>
      </c>
      <c r="D42" s="131" t="s">
        <v>651</v>
      </c>
      <c r="E42" s="132" t="s">
        <v>652</v>
      </c>
      <c r="F42" s="137" t="s">
        <v>369</v>
      </c>
      <c r="G42" s="283" t="s">
        <v>363</v>
      </c>
      <c r="H42" s="285" t="s">
        <v>353</v>
      </c>
    </row>
    <row r="43" spans="1:8" x14ac:dyDescent="0.2">
      <c r="B43" s="135">
        <v>45033</v>
      </c>
      <c r="C43" s="131" t="s">
        <v>250</v>
      </c>
      <c r="D43" s="131" t="s">
        <v>338</v>
      </c>
      <c r="E43" s="136" t="s">
        <v>339</v>
      </c>
      <c r="F43" s="137" t="s">
        <v>340</v>
      </c>
      <c r="G43" s="133" t="s">
        <v>341</v>
      </c>
      <c r="H43" s="130" t="s">
        <v>342</v>
      </c>
    </row>
    <row r="44" spans="1:8" x14ac:dyDescent="0.2">
      <c r="B44" s="135">
        <v>45505</v>
      </c>
      <c r="C44" s="131" t="s">
        <v>250</v>
      </c>
      <c r="D44" s="131" t="s">
        <v>820</v>
      </c>
      <c r="E44" s="136"/>
      <c r="F44" s="328" t="s">
        <v>821</v>
      </c>
      <c r="G44" s="133" t="s">
        <v>344</v>
      </c>
      <c r="H44" s="130"/>
    </row>
    <row r="45" spans="1:8" x14ac:dyDescent="0.2">
      <c r="B45" s="135">
        <v>45434</v>
      </c>
      <c r="C45" s="131" t="s">
        <v>250</v>
      </c>
      <c r="D45" s="131" t="s">
        <v>338</v>
      </c>
      <c r="E45" s="136" t="s">
        <v>339</v>
      </c>
      <c r="F45" s="137" t="s">
        <v>649</v>
      </c>
      <c r="G45" s="283" t="s">
        <v>648</v>
      </c>
      <c r="H45" s="130"/>
    </row>
    <row r="47" spans="1:8" x14ac:dyDescent="0.2">
      <c r="B47" s="302"/>
      <c r="C47" s="302"/>
      <c r="D47" s="302"/>
      <c r="E47" s="303" t="s">
        <v>45</v>
      </c>
      <c r="F47" s="302"/>
      <c r="G47" s="302"/>
      <c r="H47" s="302"/>
    </row>
    <row r="48" spans="1:8" ht="30" x14ac:dyDescent="0.2">
      <c r="B48" s="101" t="s">
        <v>324</v>
      </c>
      <c r="C48" s="101" t="s">
        <v>325</v>
      </c>
      <c r="D48" s="101" t="s">
        <v>326</v>
      </c>
      <c r="E48" s="101" t="s">
        <v>327</v>
      </c>
      <c r="F48" s="101" t="s">
        <v>328</v>
      </c>
      <c r="G48" s="101" t="s">
        <v>329</v>
      </c>
      <c r="H48" s="101" t="s">
        <v>330</v>
      </c>
    </row>
    <row r="49" spans="2:8" x14ac:dyDescent="0.2">
      <c r="B49" s="135"/>
      <c r="C49" s="131"/>
      <c r="D49" s="131"/>
      <c r="E49" s="132"/>
      <c r="F49" s="137"/>
      <c r="G49" s="283"/>
      <c r="H49" s="285"/>
    </row>
    <row r="50" spans="2:8" x14ac:dyDescent="0.2">
      <c r="B50" s="135"/>
      <c r="C50" s="131"/>
      <c r="D50" s="131"/>
      <c r="E50" s="136"/>
      <c r="F50" s="137"/>
      <c r="G50" s="133"/>
      <c r="H50" s="130"/>
    </row>
  </sheetData>
  <sortState xmlns:xlrd2="http://schemas.microsoft.com/office/spreadsheetml/2017/richdata2" ref="B42:H45">
    <sortCondition ref="C42:C45"/>
    <sortCondition ref="D42:D45"/>
  </sortState>
  <mergeCells count="3">
    <mergeCell ref="B2:H2"/>
    <mergeCell ref="B3:H3"/>
    <mergeCell ref="B4:H4"/>
  </mergeCells>
  <hyperlinks>
    <hyperlink ref="E10" r:id="rId1" xr:uid="{BA55D08B-787A-483D-BE0C-C6D1F63CA91F}"/>
    <hyperlink ref="E11" r:id="rId2" xr:uid="{7C3A8E2F-05CB-4260-8219-419C673089CB}"/>
    <hyperlink ref="F14" r:id="rId3" xr:uid="{CE26A2EC-6CD7-4584-91A8-73E9B65D30F3}"/>
    <hyperlink ref="F15" r:id="rId4" xr:uid="{B2E3E5E0-4EA7-4F54-AC82-44CA6EB9DAE0}"/>
    <hyperlink ref="E16" r:id="rId5" xr:uid="{61DD0058-A151-4A87-9DD4-E12906B0C1D5}"/>
    <hyperlink ref="H16" r:id="rId6" xr:uid="{8B1B90FA-877A-4BB5-BE66-23BD54B4FC48}"/>
    <hyperlink ref="E19" r:id="rId7" xr:uid="{00C559D9-56FA-4206-A8A3-ABABD38A6F47}"/>
    <hyperlink ref="H19" r:id="rId8" xr:uid="{7E9FA4A1-4808-4211-BACC-3A88ABC0A7B2}"/>
    <hyperlink ref="E31" r:id="rId9" xr:uid="{BA664339-3C4C-416B-8372-8C9C712437FF}"/>
    <hyperlink ref="E33" r:id="rId10" xr:uid="{76C6EAD6-A2FF-40DF-88E8-392EA5D95F82}"/>
    <hyperlink ref="E35" r:id="rId11" xr:uid="{4E143677-8BEE-4C48-8582-5BBBC35C83D3}"/>
    <hyperlink ref="E9" r:id="rId12" xr:uid="{977E72F4-1EBF-49D5-8075-F64F3199B66F}"/>
    <hyperlink ref="E21" r:id="rId13" xr:uid="{B78391AC-B8AC-42CE-90EF-ED349D616D62}"/>
    <hyperlink ref="F21" r:id="rId14" xr:uid="{AD82B3EA-363C-454E-BB21-AC1DA75698FA}"/>
    <hyperlink ref="E27" r:id="rId15" xr:uid="{942B3E28-7959-40E7-B8B3-08215592BBE0}"/>
    <hyperlink ref="F24" r:id="rId16" xr:uid="{A78B8FDC-0A17-47FF-A528-36C73137626C}"/>
    <hyperlink ref="E28" r:id="rId17" xr:uid="{D549E421-A1EE-462D-AFF8-ECE5488D2332}"/>
    <hyperlink ref="F39" r:id="rId18" xr:uid="{FD9256AA-2AC3-4C94-A507-2B52A901263F}"/>
    <hyperlink ref="E34" r:id="rId19" xr:uid="{4532557A-7B72-410D-900A-56DDA93EB028}"/>
    <hyperlink ref="E22" r:id="rId20" xr:uid="{70441491-BD32-4B0A-8743-605EEA348ABB}"/>
    <hyperlink ref="F22" r:id="rId21" xr:uid="{771E8830-8C21-47BA-BC7E-0BB6BE0DD861}"/>
    <hyperlink ref="E13" r:id="rId22" xr:uid="{F84156E7-DAAC-4D03-BBB1-A94A62BF5A34}"/>
    <hyperlink ref="F13" r:id="rId23" xr:uid="{6321ADF3-2748-4CFF-8C08-C5D98C6A694F}"/>
    <hyperlink ref="E20" r:id="rId24" xr:uid="{5797CFC1-5529-41CA-8822-BB2D5AEFB6D1}"/>
    <hyperlink ref="H42" r:id="rId25" xr:uid="{0A5795B5-FCC8-4163-98B7-45E0CA5026BE}"/>
    <hyperlink ref="E26" r:id="rId26" xr:uid="{BDDDD4EE-6240-44B4-A6B8-71BFFF6BAF4F}"/>
    <hyperlink ref="E32" r:id="rId27" xr:uid="{F3CF888D-4CC4-4BD1-AFD8-38668E78D35D}"/>
    <hyperlink ref="F44" r:id="rId28" xr:uid="{F5FB0428-2274-4093-8075-45E2A9FAAEB0}"/>
  </hyperlinks>
  <pageMargins left="0.7" right="0.7" top="0.75" bottom="0.75" header="0.3" footer="0.3"/>
  <drawing r:id="rId29"/>
  <legacy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5CB3-BE16-4BA0-AE51-1CB34E495F5F}">
  <dimension ref="A1:K80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2.21875" bestFit="1" customWidth="1"/>
    <col min="8" max="8" width="14.6640625" customWidth="1"/>
    <col min="9" max="9" width="13.88671875" customWidth="1"/>
    <col min="10" max="10" width="12.21875" bestFit="1" customWidth="1"/>
    <col min="11" max="11" width="12.88671875" bestFit="1" customWidth="1"/>
  </cols>
  <sheetData>
    <row r="1" spans="1:11" ht="20.25" x14ac:dyDescent="0.3">
      <c r="A1" s="162"/>
      <c r="B1" s="162"/>
      <c r="C1" s="163" t="s">
        <v>489</v>
      </c>
      <c r="D1" s="162"/>
      <c r="E1" s="162"/>
      <c r="F1" s="162"/>
      <c r="G1" s="162"/>
      <c r="H1" s="162"/>
      <c r="I1" s="162"/>
      <c r="J1" s="162"/>
      <c r="K1" s="162"/>
    </row>
    <row r="2" spans="1:11" ht="15.75" x14ac:dyDescent="0.25">
      <c r="A2" s="162"/>
      <c r="B2" s="162"/>
      <c r="C2" s="164" t="s">
        <v>315</v>
      </c>
      <c r="D2" s="162"/>
      <c r="E2" s="162"/>
      <c r="F2" s="162"/>
      <c r="G2" s="162"/>
      <c r="H2" s="165" t="s">
        <v>490</v>
      </c>
      <c r="I2" s="162"/>
      <c r="J2" s="162"/>
      <c r="K2" s="162"/>
    </row>
    <row r="3" spans="1:11" ht="15.75" x14ac:dyDescent="0.25">
      <c r="A3" s="162"/>
      <c r="B3" s="162"/>
      <c r="C3" s="164" t="s">
        <v>491</v>
      </c>
      <c r="D3" s="162"/>
      <c r="E3" s="162"/>
      <c r="F3" s="162"/>
      <c r="G3" s="162"/>
      <c r="H3" s="166">
        <v>0.18</v>
      </c>
      <c r="I3" s="162">
        <f>H3/12</f>
        <v>1.4999999999999999E-2</v>
      </c>
      <c r="J3" s="162"/>
      <c r="K3" s="162"/>
    </row>
    <row r="4" spans="1:11" ht="15.75" x14ac:dyDescent="0.25">
      <c r="A4" s="162"/>
      <c r="B4" s="162"/>
      <c r="C4" s="164" t="s">
        <v>492</v>
      </c>
      <c r="D4" s="164" t="s">
        <v>493</v>
      </c>
      <c r="E4" s="162"/>
      <c r="F4" s="162"/>
      <c r="G4" s="162"/>
      <c r="H4" s="162"/>
      <c r="I4" s="162"/>
      <c r="J4" s="162"/>
      <c r="K4" s="162"/>
    </row>
    <row r="5" spans="1:11" ht="15.75" x14ac:dyDescent="0.25">
      <c r="A5" s="162"/>
      <c r="B5" s="162"/>
      <c r="C5" s="167" t="s">
        <v>494</v>
      </c>
      <c r="D5" s="168"/>
      <c r="E5" s="168" t="s">
        <v>4</v>
      </c>
      <c r="F5" s="169">
        <v>148000</v>
      </c>
      <c r="G5" s="169">
        <f>SUBTOTAL(9,G6:G20105)</f>
        <v>196017.60664306159</v>
      </c>
      <c r="H5" s="169">
        <f>SUBTOTAL(9,H6:H20105)</f>
        <v>-20141.293682494023</v>
      </c>
      <c r="I5" s="169">
        <f>SUBTOTAL(9,I6:I20105)</f>
        <v>-3222.5981891990436</v>
      </c>
      <c r="J5" s="169">
        <f>SUBTOTAL(9,J6:J20105)</f>
        <v>173673.3</v>
      </c>
      <c r="K5" s="169">
        <f>J5-211145.13</f>
        <v>-37471.830000000016</v>
      </c>
    </row>
    <row r="6" spans="1:11" ht="15.75" x14ac:dyDescent="0.25">
      <c r="A6" s="162"/>
      <c r="B6" s="149" t="s">
        <v>495</v>
      </c>
      <c r="C6" s="149" t="s">
        <v>496</v>
      </c>
      <c r="D6" s="149" t="s">
        <v>497</v>
      </c>
      <c r="E6" s="149" t="s">
        <v>498</v>
      </c>
      <c r="F6" s="149" t="s">
        <v>499</v>
      </c>
      <c r="G6" s="149" t="s">
        <v>500</v>
      </c>
      <c r="H6" s="149" t="s">
        <v>501</v>
      </c>
      <c r="I6" s="149" t="s">
        <v>502</v>
      </c>
      <c r="J6" s="149" t="s">
        <v>222</v>
      </c>
      <c r="K6" s="149" t="s">
        <v>503</v>
      </c>
    </row>
    <row r="7" spans="1:11" ht="15.75" x14ac:dyDescent="0.25">
      <c r="A7" s="162"/>
      <c r="B7" s="246">
        <v>0</v>
      </c>
      <c r="C7" s="247">
        <v>45269</v>
      </c>
      <c r="D7" s="248" t="s">
        <v>504</v>
      </c>
      <c r="E7" s="245"/>
      <c r="F7" s="245"/>
      <c r="G7" s="245"/>
      <c r="H7" s="245"/>
      <c r="I7" s="245"/>
      <c r="J7" s="245"/>
      <c r="K7" s="245">
        <v>148000</v>
      </c>
    </row>
    <row r="8" spans="1:11" ht="15.75" x14ac:dyDescent="0.25">
      <c r="A8" s="162"/>
      <c r="B8" s="246">
        <v>1</v>
      </c>
      <c r="C8" s="247">
        <v>45293</v>
      </c>
      <c r="D8" s="248" t="s">
        <v>505</v>
      </c>
      <c r="E8" s="249">
        <f>+C8-C7</f>
        <v>24</v>
      </c>
      <c r="F8" s="245">
        <f>+K7</f>
        <v>148000</v>
      </c>
      <c r="G8" s="245">
        <v>1639.84</v>
      </c>
      <c r="H8" s="245">
        <v>1776</v>
      </c>
      <c r="I8" s="245">
        <v>284.16000000000003</v>
      </c>
      <c r="J8" s="245">
        <f t="shared" ref="J8:J13" si="0">G8+H8+I8</f>
        <v>3700</v>
      </c>
      <c r="K8" s="245">
        <f>+F8-G8</f>
        <v>146360.16</v>
      </c>
    </row>
    <row r="9" spans="1:11" ht="15.75" x14ac:dyDescent="0.25">
      <c r="A9" s="162"/>
      <c r="B9" s="246">
        <v>2</v>
      </c>
      <c r="C9" s="247">
        <v>45325</v>
      </c>
      <c r="D9" s="248" t="s">
        <v>505</v>
      </c>
      <c r="E9" s="249">
        <f>+C9-C8</f>
        <v>32</v>
      </c>
      <c r="F9" s="245">
        <f>+K8</f>
        <v>146360.16</v>
      </c>
      <c r="G9" s="245">
        <v>3368.41</v>
      </c>
      <c r="H9" s="245">
        <v>2268.58</v>
      </c>
      <c r="I9" s="245">
        <v>363.01</v>
      </c>
      <c r="J9" s="245">
        <f t="shared" si="0"/>
        <v>6000</v>
      </c>
      <c r="K9" s="245">
        <f>+F9-G9</f>
        <v>142991.75</v>
      </c>
    </row>
    <row r="10" spans="1:11" ht="15.75" x14ac:dyDescent="0.25">
      <c r="A10" s="162"/>
      <c r="B10" s="246">
        <v>3</v>
      </c>
      <c r="C10" s="247">
        <v>45352</v>
      </c>
      <c r="D10" s="248" t="s">
        <v>505</v>
      </c>
      <c r="E10" s="249">
        <f>+C10-C9</f>
        <v>27</v>
      </c>
      <c r="F10" s="245">
        <f>+K9</f>
        <v>142991.75</v>
      </c>
      <c r="G10" s="245">
        <v>47677.68</v>
      </c>
      <c r="H10" s="245">
        <v>2002</v>
      </c>
      <c r="I10" s="245">
        <v>320.32</v>
      </c>
      <c r="J10" s="245">
        <f t="shared" si="0"/>
        <v>50000</v>
      </c>
      <c r="K10" s="245">
        <f>+F10-G10</f>
        <v>95314.07</v>
      </c>
    </row>
    <row r="11" spans="1:11" ht="15.75" x14ac:dyDescent="0.25">
      <c r="A11" s="162"/>
      <c r="B11" s="246">
        <v>4</v>
      </c>
      <c r="C11" s="247">
        <v>45383</v>
      </c>
      <c r="D11" s="248" t="s">
        <v>505</v>
      </c>
      <c r="E11" s="249">
        <f t="shared" ref="E11:E74" si="1">+C11-C10</f>
        <v>31</v>
      </c>
      <c r="F11" s="245">
        <f t="shared" ref="F11:F74" si="2">+K10</f>
        <v>95314.07</v>
      </c>
      <c r="G11" s="245">
        <v>73286.009999999995</v>
      </c>
      <c r="H11" s="245">
        <v>1477.46</v>
      </c>
      <c r="I11" s="245">
        <v>236.53</v>
      </c>
      <c r="J11" s="245">
        <f t="shared" si="0"/>
        <v>75000</v>
      </c>
      <c r="K11" s="245">
        <f t="shared" ref="K11:K74" si="3">+F11-G11</f>
        <v>22028.060000000012</v>
      </c>
    </row>
    <row r="12" spans="1:11" ht="15.75" x14ac:dyDescent="0.25">
      <c r="A12" s="162"/>
      <c r="B12" s="246">
        <v>5</v>
      </c>
      <c r="C12" s="247">
        <v>45414</v>
      </c>
      <c r="D12" s="248" t="s">
        <v>505</v>
      </c>
      <c r="E12" s="249">
        <f t="shared" si="1"/>
        <v>31</v>
      </c>
      <c r="F12" s="245">
        <f t="shared" si="2"/>
        <v>22028.060000000012</v>
      </c>
      <c r="G12" s="245">
        <v>3604.13</v>
      </c>
      <c r="H12" s="245">
        <v>341.31</v>
      </c>
      <c r="I12" s="245">
        <v>54.56</v>
      </c>
      <c r="J12" s="245">
        <f t="shared" si="0"/>
        <v>4000</v>
      </c>
      <c r="K12" s="245">
        <f t="shared" si="3"/>
        <v>18423.930000000011</v>
      </c>
    </row>
    <row r="13" spans="1:11" ht="15.75" x14ac:dyDescent="0.25">
      <c r="A13" s="162"/>
      <c r="B13" s="246">
        <v>6</v>
      </c>
      <c r="C13" s="247">
        <v>45446</v>
      </c>
      <c r="D13" s="248" t="s">
        <v>505</v>
      </c>
      <c r="E13" s="249">
        <f t="shared" si="1"/>
        <v>32</v>
      </c>
      <c r="F13" s="245">
        <f t="shared" si="2"/>
        <v>18423.930000000011</v>
      </c>
      <c r="G13" s="245">
        <v>18423.93</v>
      </c>
      <c r="H13" s="245">
        <v>294.72000000000003</v>
      </c>
      <c r="I13" s="245">
        <v>47.04</v>
      </c>
      <c r="J13" s="245">
        <f t="shared" si="0"/>
        <v>18765.690000000002</v>
      </c>
      <c r="K13" s="245">
        <f t="shared" si="3"/>
        <v>0</v>
      </c>
    </row>
    <row r="14" spans="1:11" ht="15.75" x14ac:dyDescent="0.25">
      <c r="A14" s="162"/>
      <c r="B14" s="171">
        <v>7</v>
      </c>
      <c r="C14" s="172">
        <v>45476</v>
      </c>
      <c r="D14" s="173" t="s">
        <v>505</v>
      </c>
      <c r="E14" s="174">
        <f t="shared" si="1"/>
        <v>30</v>
      </c>
      <c r="F14" s="170">
        <f t="shared" si="2"/>
        <v>0</v>
      </c>
      <c r="G14" s="175">
        <f t="shared" ref="G14:G74" si="4">+J14-H14-I14</f>
        <v>3621</v>
      </c>
      <c r="H14" s="170">
        <f t="shared" ref="H14:H74" si="5">+F14*((0.015/30)*E14)</f>
        <v>0</v>
      </c>
      <c r="I14" s="170">
        <f t="shared" ref="I14:I74" si="6">+H14*0.16</f>
        <v>0</v>
      </c>
      <c r="J14" s="170">
        <v>3621</v>
      </c>
      <c r="K14" s="170">
        <f t="shared" si="3"/>
        <v>-3621</v>
      </c>
    </row>
    <row r="15" spans="1:11" ht="15.75" x14ac:dyDescent="0.25">
      <c r="A15" s="162"/>
      <c r="B15" s="171">
        <v>8</v>
      </c>
      <c r="C15" s="172">
        <v>45507</v>
      </c>
      <c r="D15" s="173" t="s">
        <v>505</v>
      </c>
      <c r="E15" s="174">
        <f t="shared" si="1"/>
        <v>31</v>
      </c>
      <c r="F15" s="170">
        <f t="shared" si="2"/>
        <v>-3621</v>
      </c>
      <c r="G15" s="175">
        <f t="shared" si="4"/>
        <v>3768.1455799999999</v>
      </c>
      <c r="H15" s="170">
        <f t="shared" si="5"/>
        <v>-56.125500000000002</v>
      </c>
      <c r="I15" s="170">
        <f t="shared" si="6"/>
        <v>-8.980080000000001</v>
      </c>
      <c r="J15" s="170">
        <v>3703.04</v>
      </c>
      <c r="K15" s="170">
        <f t="shared" si="3"/>
        <v>-7389.1455800000003</v>
      </c>
    </row>
    <row r="16" spans="1:11" ht="15.75" x14ac:dyDescent="0.25">
      <c r="A16" s="162"/>
      <c r="B16" s="171">
        <v>9</v>
      </c>
      <c r="C16" s="172">
        <v>45538</v>
      </c>
      <c r="D16" s="173" t="s">
        <v>505</v>
      </c>
      <c r="E16" s="174">
        <f t="shared" si="1"/>
        <v>31</v>
      </c>
      <c r="F16" s="170">
        <f t="shared" si="2"/>
        <v>-7389.1455800000003</v>
      </c>
      <c r="G16" s="175">
        <f t="shared" si="4"/>
        <v>3835.2168375284004</v>
      </c>
      <c r="H16" s="170">
        <f t="shared" si="5"/>
        <v>-114.53175649000001</v>
      </c>
      <c r="I16" s="170">
        <f t="shared" si="6"/>
        <v>-18.3250810384</v>
      </c>
      <c r="J16" s="170">
        <v>3702.36</v>
      </c>
      <c r="K16" s="170">
        <f t="shared" si="3"/>
        <v>-11224.3624175284</v>
      </c>
    </row>
    <row r="17" spans="1:11" ht="15.75" x14ac:dyDescent="0.25">
      <c r="A17" s="162"/>
      <c r="B17" s="171">
        <v>10</v>
      </c>
      <c r="C17" s="172">
        <v>45568</v>
      </c>
      <c r="D17" s="173" t="s">
        <v>505</v>
      </c>
      <c r="E17" s="174">
        <f t="shared" si="1"/>
        <v>30</v>
      </c>
      <c r="F17" s="170">
        <f t="shared" si="2"/>
        <v>-11224.3624175284</v>
      </c>
      <c r="G17" s="175">
        <f t="shared" si="4"/>
        <v>3816.303906064994</v>
      </c>
      <c r="H17" s="170">
        <f t="shared" si="5"/>
        <v>-168.36543626292601</v>
      </c>
      <c r="I17" s="170">
        <f t="shared" si="6"/>
        <v>-26.938469802068163</v>
      </c>
      <c r="J17" s="170">
        <v>3621</v>
      </c>
      <c r="K17" s="170">
        <f t="shared" si="3"/>
        <v>-15040.666323593394</v>
      </c>
    </row>
    <row r="18" spans="1:11" ht="15.75" x14ac:dyDescent="0.25">
      <c r="A18" s="162"/>
      <c r="B18" s="171">
        <v>11</v>
      </c>
      <c r="C18" s="172">
        <v>45600</v>
      </c>
      <c r="D18" s="173" t="s">
        <v>505</v>
      </c>
      <c r="E18" s="174">
        <f t="shared" si="1"/>
        <v>32</v>
      </c>
      <c r="F18" s="170">
        <f t="shared" si="2"/>
        <v>-15040.666323593394</v>
      </c>
      <c r="G18" s="175">
        <f t="shared" si="4"/>
        <v>1839.3647669658935</v>
      </c>
      <c r="H18" s="170">
        <f t="shared" si="5"/>
        <v>-240.6506611774943</v>
      </c>
      <c r="I18" s="170">
        <f t="shared" si="6"/>
        <v>-38.504105788399087</v>
      </c>
      <c r="J18" s="170">
        <v>1560.21</v>
      </c>
      <c r="K18" s="170">
        <f t="shared" si="3"/>
        <v>-16880.031090559289</v>
      </c>
    </row>
    <row r="19" spans="1:11" ht="15.75" x14ac:dyDescent="0.25">
      <c r="A19" s="162"/>
      <c r="B19" s="171">
        <v>12</v>
      </c>
      <c r="C19" s="172">
        <v>45629</v>
      </c>
      <c r="D19" s="173" t="s">
        <v>505</v>
      </c>
      <c r="E19" s="174">
        <f t="shared" si="1"/>
        <v>29</v>
      </c>
      <c r="F19" s="170">
        <f t="shared" si="2"/>
        <v>-16880.031090559289</v>
      </c>
      <c r="G19" s="175">
        <f t="shared" si="4"/>
        <v>283.92212294320723</v>
      </c>
      <c r="H19" s="170">
        <f t="shared" si="5"/>
        <v>-244.76045081310968</v>
      </c>
      <c r="I19" s="170">
        <f t="shared" si="6"/>
        <v>-39.16167213009755</v>
      </c>
      <c r="J19" s="170">
        <v>0</v>
      </c>
      <c r="K19" s="170">
        <f t="shared" si="3"/>
        <v>-17163.953213502497</v>
      </c>
    </row>
    <row r="20" spans="1:11" ht="15.75" x14ac:dyDescent="0.25">
      <c r="A20" s="162"/>
      <c r="B20" s="171">
        <v>13</v>
      </c>
      <c r="C20" s="172">
        <v>45660</v>
      </c>
      <c r="D20" s="173" t="s">
        <v>505</v>
      </c>
      <c r="E20" s="174">
        <f t="shared" si="1"/>
        <v>31</v>
      </c>
      <c r="F20" s="170">
        <f t="shared" si="2"/>
        <v>-17163.953213502497</v>
      </c>
      <c r="G20" s="175">
        <f t="shared" si="4"/>
        <v>308.60787877877488</v>
      </c>
      <c r="H20" s="170">
        <f t="shared" si="5"/>
        <v>-266.04127480928867</v>
      </c>
      <c r="I20" s="170">
        <f t="shared" si="6"/>
        <v>-42.566603969486188</v>
      </c>
      <c r="J20" s="170">
        <v>0</v>
      </c>
      <c r="K20" s="170">
        <f t="shared" si="3"/>
        <v>-17472.56109228127</v>
      </c>
    </row>
    <row r="21" spans="1:11" ht="15.75" x14ac:dyDescent="0.25">
      <c r="A21" s="162"/>
      <c r="B21" s="171">
        <v>14</v>
      </c>
      <c r="C21" s="172">
        <v>45691</v>
      </c>
      <c r="D21" s="173" t="s">
        <v>505</v>
      </c>
      <c r="E21" s="174">
        <f t="shared" si="1"/>
        <v>31</v>
      </c>
      <c r="F21" s="170">
        <f t="shared" si="2"/>
        <v>-17472.56109228127</v>
      </c>
      <c r="G21" s="175">
        <f t="shared" si="4"/>
        <v>314.15664843921724</v>
      </c>
      <c r="H21" s="170">
        <f t="shared" si="5"/>
        <v>-270.82469693035966</v>
      </c>
      <c r="I21" s="170">
        <f t="shared" si="6"/>
        <v>-43.33195150885755</v>
      </c>
      <c r="J21" s="170">
        <v>0</v>
      </c>
      <c r="K21" s="170">
        <f t="shared" si="3"/>
        <v>-17786.717740720487</v>
      </c>
    </row>
    <row r="22" spans="1:11" ht="15.75" x14ac:dyDescent="0.25">
      <c r="A22" s="162"/>
      <c r="B22" s="171">
        <v>15</v>
      </c>
      <c r="C22" s="172">
        <v>45719</v>
      </c>
      <c r="D22" s="173" t="s">
        <v>505</v>
      </c>
      <c r="E22" s="174">
        <f t="shared" si="1"/>
        <v>28</v>
      </c>
      <c r="F22" s="170">
        <f t="shared" si="2"/>
        <v>-17786.717740720487</v>
      </c>
      <c r="G22" s="175">
        <f t="shared" si="4"/>
        <v>288.85629610930073</v>
      </c>
      <c r="H22" s="170">
        <f t="shared" si="5"/>
        <v>-249.01404837008684</v>
      </c>
      <c r="I22" s="170">
        <f t="shared" si="6"/>
        <v>-39.842247739213896</v>
      </c>
      <c r="J22" s="170">
        <v>0</v>
      </c>
      <c r="K22" s="170">
        <f t="shared" si="3"/>
        <v>-18075.574036829788</v>
      </c>
    </row>
    <row r="23" spans="1:11" ht="15.75" x14ac:dyDescent="0.25">
      <c r="A23" s="162"/>
      <c r="B23" s="171">
        <v>16</v>
      </c>
      <c r="C23" s="172">
        <v>45750</v>
      </c>
      <c r="D23" s="173" t="s">
        <v>505</v>
      </c>
      <c r="E23" s="174">
        <f t="shared" si="1"/>
        <v>31</v>
      </c>
      <c r="F23" s="170">
        <f t="shared" si="2"/>
        <v>-18075.574036829788</v>
      </c>
      <c r="G23" s="175">
        <f t="shared" si="4"/>
        <v>324.99882118219955</v>
      </c>
      <c r="H23" s="170">
        <f t="shared" si="5"/>
        <v>-280.1713975708617</v>
      </c>
      <c r="I23" s="170">
        <f t="shared" si="6"/>
        <v>-44.827423611337871</v>
      </c>
      <c r="J23" s="170">
        <v>0</v>
      </c>
      <c r="K23" s="170">
        <f t="shared" si="3"/>
        <v>-18400.572858011987</v>
      </c>
    </row>
    <row r="24" spans="1:11" ht="15.75" x14ac:dyDescent="0.25">
      <c r="A24" s="162"/>
      <c r="B24" s="171">
        <v>17</v>
      </c>
      <c r="C24" s="172">
        <v>45780</v>
      </c>
      <c r="D24" s="173" t="s">
        <v>505</v>
      </c>
      <c r="E24" s="174">
        <f t="shared" si="1"/>
        <v>30</v>
      </c>
      <c r="F24" s="170">
        <f t="shared" si="2"/>
        <v>-18400.572858011987</v>
      </c>
      <c r="G24" s="175">
        <f t="shared" si="4"/>
        <v>320.16996772940854</v>
      </c>
      <c r="H24" s="170">
        <f t="shared" si="5"/>
        <v>-276.00859287017977</v>
      </c>
      <c r="I24" s="170">
        <f t="shared" si="6"/>
        <v>-44.161374859228765</v>
      </c>
      <c r="J24" s="170">
        <v>0</v>
      </c>
      <c r="K24" s="170">
        <f t="shared" si="3"/>
        <v>-18720.742825741396</v>
      </c>
    </row>
    <row r="25" spans="1:11" ht="15.75" x14ac:dyDescent="0.25">
      <c r="A25" s="162"/>
      <c r="B25" s="171">
        <v>18</v>
      </c>
      <c r="C25" s="172">
        <v>45811</v>
      </c>
      <c r="D25" s="173" t="s">
        <v>505</v>
      </c>
      <c r="E25" s="174">
        <f t="shared" si="1"/>
        <v>31</v>
      </c>
      <c r="F25" s="170">
        <f t="shared" si="2"/>
        <v>-18720.742825741396</v>
      </c>
      <c r="G25" s="175">
        <f t="shared" si="4"/>
        <v>336.59895600683029</v>
      </c>
      <c r="H25" s="170">
        <f t="shared" si="5"/>
        <v>-290.17151379899161</v>
      </c>
      <c r="I25" s="170">
        <f t="shared" si="6"/>
        <v>-46.427442207838659</v>
      </c>
      <c r="J25" s="170">
        <v>0</v>
      </c>
      <c r="K25" s="170">
        <f t="shared" si="3"/>
        <v>-19057.341781748226</v>
      </c>
    </row>
    <row r="26" spans="1:11" ht="15.75" x14ac:dyDescent="0.25">
      <c r="A26" s="162"/>
      <c r="B26" s="171">
        <v>19</v>
      </c>
      <c r="C26" s="172">
        <v>45841</v>
      </c>
      <c r="D26" s="173" t="s">
        <v>505</v>
      </c>
      <c r="E26" s="174">
        <f t="shared" si="1"/>
        <v>30</v>
      </c>
      <c r="F26" s="170">
        <f t="shared" si="2"/>
        <v>-19057.341781748226</v>
      </c>
      <c r="G26" s="175">
        <f t="shared" si="4"/>
        <v>331.59774700241911</v>
      </c>
      <c r="H26" s="170">
        <f t="shared" si="5"/>
        <v>-285.86012672622337</v>
      </c>
      <c r="I26" s="170">
        <f t="shared" si="6"/>
        <v>-45.737620276195742</v>
      </c>
      <c r="J26" s="170">
        <v>0</v>
      </c>
      <c r="K26" s="170">
        <f t="shared" si="3"/>
        <v>-19388.939528750645</v>
      </c>
    </row>
    <row r="27" spans="1:11" ht="15.75" x14ac:dyDescent="0.25">
      <c r="A27" s="162"/>
      <c r="B27" s="171">
        <v>20</v>
      </c>
      <c r="C27" s="172">
        <v>45873</v>
      </c>
      <c r="D27" s="173" t="s">
        <v>505</v>
      </c>
      <c r="E27" s="174">
        <f t="shared" si="1"/>
        <v>32</v>
      </c>
      <c r="F27" s="170">
        <f t="shared" si="2"/>
        <v>-19388.939528750645</v>
      </c>
      <c r="G27" s="175">
        <f t="shared" si="4"/>
        <v>359.85871765361196</v>
      </c>
      <c r="H27" s="170">
        <f t="shared" si="5"/>
        <v>-310.2230324600103</v>
      </c>
      <c r="I27" s="170">
        <f t="shared" si="6"/>
        <v>-49.635685193601653</v>
      </c>
      <c r="J27" s="170">
        <v>0</v>
      </c>
      <c r="K27" s="170">
        <f t="shared" si="3"/>
        <v>-19748.798246404258</v>
      </c>
    </row>
    <row r="28" spans="1:11" ht="15.75" x14ac:dyDescent="0.25">
      <c r="A28" s="162"/>
      <c r="B28" s="171">
        <v>21</v>
      </c>
      <c r="C28" s="172">
        <v>45903</v>
      </c>
      <c r="D28" s="173" t="s">
        <v>505</v>
      </c>
      <c r="E28" s="174">
        <f t="shared" si="1"/>
        <v>30</v>
      </c>
      <c r="F28" s="170">
        <f t="shared" si="2"/>
        <v>-19748.798246404258</v>
      </c>
      <c r="G28" s="175">
        <f t="shared" si="4"/>
        <v>343.62908948743404</v>
      </c>
      <c r="H28" s="170">
        <f t="shared" si="5"/>
        <v>-296.23197369606385</v>
      </c>
      <c r="I28" s="170">
        <f t="shared" si="6"/>
        <v>-47.397115791370219</v>
      </c>
      <c r="J28" s="170">
        <v>0</v>
      </c>
      <c r="K28" s="170">
        <f t="shared" si="3"/>
        <v>-20092.427335891691</v>
      </c>
    </row>
    <row r="29" spans="1:11" ht="15.75" x14ac:dyDescent="0.25">
      <c r="A29" s="162"/>
      <c r="B29" s="171">
        <v>22</v>
      </c>
      <c r="C29" s="172">
        <v>45933</v>
      </c>
      <c r="D29" s="173" t="s">
        <v>505</v>
      </c>
      <c r="E29" s="174">
        <f t="shared" si="1"/>
        <v>30</v>
      </c>
      <c r="F29" s="170">
        <f t="shared" si="2"/>
        <v>-20092.427335891691</v>
      </c>
      <c r="G29" s="175">
        <f t="shared" si="4"/>
        <v>349.60823564451539</v>
      </c>
      <c r="H29" s="170">
        <f t="shared" si="5"/>
        <v>-301.38641003837535</v>
      </c>
      <c r="I29" s="170">
        <f t="shared" si="6"/>
        <v>-48.221825606140058</v>
      </c>
      <c r="J29" s="170">
        <v>0</v>
      </c>
      <c r="K29" s="170">
        <f t="shared" si="3"/>
        <v>-20442.035571536206</v>
      </c>
    </row>
    <row r="30" spans="1:11" ht="15.75" x14ac:dyDescent="0.25">
      <c r="A30" s="162"/>
      <c r="B30" s="171">
        <v>23</v>
      </c>
      <c r="C30" s="172">
        <v>45964</v>
      </c>
      <c r="D30" s="173" t="s">
        <v>505</v>
      </c>
      <c r="E30" s="174">
        <f t="shared" si="1"/>
        <v>31</v>
      </c>
      <c r="F30" s="170">
        <f t="shared" si="2"/>
        <v>-20442.035571536206</v>
      </c>
      <c r="G30" s="175">
        <f t="shared" si="4"/>
        <v>367.547799576221</v>
      </c>
      <c r="H30" s="170">
        <f t="shared" si="5"/>
        <v>-316.85155135881121</v>
      </c>
      <c r="I30" s="170">
        <f t="shared" si="6"/>
        <v>-50.696248217409796</v>
      </c>
      <c r="J30" s="170">
        <v>0</v>
      </c>
      <c r="K30" s="170">
        <f t="shared" si="3"/>
        <v>-20809.583371112425</v>
      </c>
    </row>
    <row r="31" spans="1:11" ht="15.75" x14ac:dyDescent="0.25">
      <c r="A31" s="162"/>
      <c r="B31" s="171">
        <v>24</v>
      </c>
      <c r="C31" s="172">
        <v>45994</v>
      </c>
      <c r="D31" s="173" t="s">
        <v>505</v>
      </c>
      <c r="E31" s="174">
        <f t="shared" si="1"/>
        <v>30</v>
      </c>
      <c r="F31" s="170">
        <f t="shared" si="2"/>
        <v>-20809.583371112425</v>
      </c>
      <c r="G31" s="175">
        <f t="shared" si="4"/>
        <v>362.08675065735622</v>
      </c>
      <c r="H31" s="170">
        <f t="shared" si="5"/>
        <v>-312.14375056668638</v>
      </c>
      <c r="I31" s="170">
        <f t="shared" si="6"/>
        <v>-49.94300009066982</v>
      </c>
      <c r="J31" s="170">
        <v>0</v>
      </c>
      <c r="K31" s="170">
        <f t="shared" si="3"/>
        <v>-21171.670121769781</v>
      </c>
    </row>
    <row r="32" spans="1:11" ht="15.75" x14ac:dyDescent="0.25">
      <c r="A32" s="162"/>
      <c r="B32" s="171">
        <v>25</v>
      </c>
      <c r="C32" s="172">
        <v>46025</v>
      </c>
      <c r="D32" s="173" t="s">
        <v>505</v>
      </c>
      <c r="E32" s="174">
        <f t="shared" si="1"/>
        <v>31</v>
      </c>
      <c r="F32" s="170">
        <f t="shared" si="2"/>
        <v>-21171.670121769781</v>
      </c>
      <c r="G32" s="175">
        <f t="shared" si="4"/>
        <v>380.66662878942066</v>
      </c>
      <c r="H32" s="170">
        <f t="shared" si="5"/>
        <v>-328.16088688743162</v>
      </c>
      <c r="I32" s="170">
        <f t="shared" si="6"/>
        <v>-52.505741901989062</v>
      </c>
      <c r="J32" s="170">
        <v>0</v>
      </c>
      <c r="K32" s="170">
        <f t="shared" si="3"/>
        <v>-21552.336750559203</v>
      </c>
    </row>
    <row r="33" spans="1:11" ht="15.75" x14ac:dyDescent="0.25">
      <c r="A33" s="162"/>
      <c r="B33" s="171">
        <v>26</v>
      </c>
      <c r="C33" s="172">
        <v>46056</v>
      </c>
      <c r="D33" s="173" t="s">
        <v>505</v>
      </c>
      <c r="E33" s="174">
        <f t="shared" si="1"/>
        <v>31</v>
      </c>
      <c r="F33" s="170">
        <f t="shared" si="2"/>
        <v>-21552.336750559203</v>
      </c>
      <c r="G33" s="175">
        <f t="shared" si="4"/>
        <v>387.51101477505443</v>
      </c>
      <c r="H33" s="170">
        <f t="shared" si="5"/>
        <v>-334.06121963366763</v>
      </c>
      <c r="I33" s="170">
        <f t="shared" si="6"/>
        <v>-53.449795141386822</v>
      </c>
      <c r="J33" s="170">
        <v>0</v>
      </c>
      <c r="K33" s="170">
        <f t="shared" si="3"/>
        <v>-21939.847765334256</v>
      </c>
    </row>
    <row r="34" spans="1:11" ht="15.75" x14ac:dyDescent="0.25">
      <c r="A34" s="162"/>
      <c r="B34" s="171">
        <v>27</v>
      </c>
      <c r="C34" s="172">
        <v>46084</v>
      </c>
      <c r="D34" s="173" t="s">
        <v>505</v>
      </c>
      <c r="E34" s="174">
        <f t="shared" si="1"/>
        <v>28</v>
      </c>
      <c r="F34" s="170">
        <f t="shared" si="2"/>
        <v>-21939.847765334256</v>
      </c>
      <c r="G34" s="175">
        <f t="shared" si="4"/>
        <v>356.30312770902833</v>
      </c>
      <c r="H34" s="170">
        <f t="shared" si="5"/>
        <v>-307.15786871467958</v>
      </c>
      <c r="I34" s="170">
        <f t="shared" si="6"/>
        <v>-49.145258994348737</v>
      </c>
      <c r="J34" s="170">
        <v>0</v>
      </c>
      <c r="K34" s="170">
        <f t="shared" si="3"/>
        <v>-22296.150893043283</v>
      </c>
    </row>
    <row r="35" spans="1:11" ht="15.75" x14ac:dyDescent="0.25">
      <c r="A35" s="162"/>
      <c r="B35" s="171">
        <v>28</v>
      </c>
      <c r="C35" s="172">
        <v>46115</v>
      </c>
      <c r="D35" s="173" t="s">
        <v>505</v>
      </c>
      <c r="E35" s="174">
        <f t="shared" si="1"/>
        <v>31</v>
      </c>
      <c r="F35" s="170">
        <f t="shared" si="2"/>
        <v>-22296.150893043283</v>
      </c>
      <c r="G35" s="175">
        <f t="shared" si="4"/>
        <v>400.88479305691823</v>
      </c>
      <c r="H35" s="170">
        <f t="shared" si="5"/>
        <v>-345.59033884217087</v>
      </c>
      <c r="I35" s="170">
        <f t="shared" si="6"/>
        <v>-55.29445421474734</v>
      </c>
      <c r="J35" s="170">
        <v>0</v>
      </c>
      <c r="K35" s="170">
        <f t="shared" si="3"/>
        <v>-22697.0356861002</v>
      </c>
    </row>
    <row r="36" spans="1:11" ht="15.75" x14ac:dyDescent="0.25">
      <c r="A36" s="162"/>
      <c r="B36" s="171">
        <v>29</v>
      </c>
      <c r="C36" s="172">
        <v>46146</v>
      </c>
      <c r="D36" s="173" t="s">
        <v>505</v>
      </c>
      <c r="E36" s="174">
        <f t="shared" si="1"/>
        <v>31</v>
      </c>
      <c r="F36" s="170">
        <f t="shared" si="2"/>
        <v>-22697.0356861002</v>
      </c>
      <c r="G36" s="175">
        <f t="shared" si="4"/>
        <v>408.09270163608159</v>
      </c>
      <c r="H36" s="170">
        <f t="shared" si="5"/>
        <v>-351.8040531345531</v>
      </c>
      <c r="I36" s="170">
        <f t="shared" si="6"/>
        <v>-56.288648501528499</v>
      </c>
      <c r="J36" s="170">
        <v>0</v>
      </c>
      <c r="K36" s="170">
        <f t="shared" si="3"/>
        <v>-23105.12838773628</v>
      </c>
    </row>
    <row r="37" spans="1:11" ht="15.75" x14ac:dyDescent="0.25">
      <c r="A37" s="162"/>
      <c r="B37" s="171">
        <v>30</v>
      </c>
      <c r="C37" s="172">
        <v>46176</v>
      </c>
      <c r="D37" s="173" t="s">
        <v>505</v>
      </c>
      <c r="E37" s="174">
        <f t="shared" si="1"/>
        <v>30</v>
      </c>
      <c r="F37" s="170">
        <f t="shared" si="2"/>
        <v>-23105.12838773628</v>
      </c>
      <c r="G37" s="175">
        <f t="shared" si="4"/>
        <v>402.02923394661127</v>
      </c>
      <c r="H37" s="170">
        <f t="shared" si="5"/>
        <v>-346.5769258160442</v>
      </c>
      <c r="I37" s="170">
        <f t="shared" si="6"/>
        <v>-55.452308130567076</v>
      </c>
      <c r="J37" s="170">
        <v>0</v>
      </c>
      <c r="K37" s="170">
        <f t="shared" si="3"/>
        <v>-23507.157621682891</v>
      </c>
    </row>
    <row r="38" spans="1:11" ht="15.75" x14ac:dyDescent="0.25">
      <c r="A38" s="162"/>
      <c r="B38" s="171">
        <v>31</v>
      </c>
      <c r="C38" s="172">
        <v>46206</v>
      </c>
      <c r="D38" s="173" t="s">
        <v>505</v>
      </c>
      <c r="E38" s="174">
        <f t="shared" si="1"/>
        <v>30</v>
      </c>
      <c r="F38" s="170">
        <f t="shared" si="2"/>
        <v>-23507.157621682891</v>
      </c>
      <c r="G38" s="175">
        <f t="shared" si="4"/>
        <v>409.02454261728229</v>
      </c>
      <c r="H38" s="170">
        <f t="shared" si="5"/>
        <v>-352.60736432524334</v>
      </c>
      <c r="I38" s="170">
        <f t="shared" si="6"/>
        <v>-56.417178292038933</v>
      </c>
      <c r="J38" s="170">
        <v>0</v>
      </c>
      <c r="K38" s="170">
        <f t="shared" si="3"/>
        <v>-23916.182164300171</v>
      </c>
    </row>
    <row r="39" spans="1:11" ht="15.75" x14ac:dyDescent="0.25">
      <c r="A39" s="162"/>
      <c r="B39" s="171">
        <v>32</v>
      </c>
      <c r="C39" s="172">
        <v>46237</v>
      </c>
      <c r="D39" s="173" t="s">
        <v>505</v>
      </c>
      <c r="E39" s="174">
        <f t="shared" si="1"/>
        <v>31</v>
      </c>
      <c r="F39" s="170">
        <f t="shared" si="2"/>
        <v>-23916.182164300171</v>
      </c>
      <c r="G39" s="175">
        <f t="shared" si="4"/>
        <v>430.01295531411711</v>
      </c>
      <c r="H39" s="170">
        <f t="shared" si="5"/>
        <v>-370.70082354665266</v>
      </c>
      <c r="I39" s="170">
        <f t="shared" si="6"/>
        <v>-59.312131767464429</v>
      </c>
      <c r="J39" s="170">
        <v>0</v>
      </c>
      <c r="K39" s="170">
        <f t="shared" si="3"/>
        <v>-24346.195119614287</v>
      </c>
    </row>
    <row r="40" spans="1:11" ht="15.75" x14ac:dyDescent="0.25">
      <c r="A40" s="162"/>
      <c r="B40" s="171">
        <v>33</v>
      </c>
      <c r="C40" s="172">
        <v>46268</v>
      </c>
      <c r="D40" s="173" t="s">
        <v>505</v>
      </c>
      <c r="E40" s="174">
        <f t="shared" si="1"/>
        <v>31</v>
      </c>
      <c r="F40" s="170">
        <f t="shared" si="2"/>
        <v>-24346.195119614287</v>
      </c>
      <c r="G40" s="175">
        <f t="shared" si="4"/>
        <v>437.74458825066489</v>
      </c>
      <c r="H40" s="170">
        <f t="shared" si="5"/>
        <v>-377.36602435402148</v>
      </c>
      <c r="I40" s="170">
        <f t="shared" si="6"/>
        <v>-60.378563896643435</v>
      </c>
      <c r="J40" s="170">
        <v>0</v>
      </c>
      <c r="K40" s="170">
        <f t="shared" si="3"/>
        <v>-24783.939707864953</v>
      </c>
    </row>
    <row r="41" spans="1:11" ht="15.75" x14ac:dyDescent="0.25">
      <c r="A41" s="162"/>
      <c r="B41" s="171">
        <v>34</v>
      </c>
      <c r="C41" s="172">
        <v>46298</v>
      </c>
      <c r="D41" s="173" t="s">
        <v>505</v>
      </c>
      <c r="E41" s="174">
        <f t="shared" si="1"/>
        <v>30</v>
      </c>
      <c r="F41" s="170">
        <f t="shared" si="2"/>
        <v>-24783.939707864953</v>
      </c>
      <c r="G41" s="175">
        <f t="shared" si="4"/>
        <v>431.24055091685011</v>
      </c>
      <c r="H41" s="170">
        <f t="shared" si="5"/>
        <v>-371.75909561797425</v>
      </c>
      <c r="I41" s="170">
        <f t="shared" si="6"/>
        <v>-59.481455298875879</v>
      </c>
      <c r="J41" s="170">
        <v>0</v>
      </c>
      <c r="K41" s="170">
        <f t="shared" si="3"/>
        <v>-25215.180258781802</v>
      </c>
    </row>
    <row r="42" spans="1:11" ht="15.75" x14ac:dyDescent="0.25">
      <c r="A42" s="162"/>
      <c r="B42" s="171">
        <v>35</v>
      </c>
      <c r="C42" s="172">
        <v>46329</v>
      </c>
      <c r="D42" s="173" t="s">
        <v>505</v>
      </c>
      <c r="E42" s="174">
        <f t="shared" si="1"/>
        <v>31</v>
      </c>
      <c r="F42" s="170">
        <f t="shared" si="2"/>
        <v>-25215.180258781802</v>
      </c>
      <c r="G42" s="175">
        <f t="shared" si="4"/>
        <v>453.36894105289679</v>
      </c>
      <c r="H42" s="170">
        <f t="shared" si="5"/>
        <v>-390.83529401111792</v>
      </c>
      <c r="I42" s="170">
        <f t="shared" si="6"/>
        <v>-62.53364704177887</v>
      </c>
      <c r="J42" s="170">
        <v>0</v>
      </c>
      <c r="K42" s="170">
        <f t="shared" si="3"/>
        <v>-25668.549199834699</v>
      </c>
    </row>
    <row r="43" spans="1:11" ht="15.75" x14ac:dyDescent="0.25">
      <c r="A43" s="162"/>
      <c r="B43" s="171">
        <v>36</v>
      </c>
      <c r="C43" s="172">
        <v>46359</v>
      </c>
      <c r="D43" s="173" t="s">
        <v>505</v>
      </c>
      <c r="E43" s="174">
        <f t="shared" si="1"/>
        <v>30</v>
      </c>
      <c r="F43" s="170">
        <f t="shared" si="2"/>
        <v>-25668.549199834699</v>
      </c>
      <c r="G43" s="175">
        <f t="shared" si="4"/>
        <v>446.63275607712376</v>
      </c>
      <c r="H43" s="170">
        <f t="shared" si="5"/>
        <v>-385.02823799752048</v>
      </c>
      <c r="I43" s="170">
        <f t="shared" si="6"/>
        <v>-61.604518079603281</v>
      </c>
      <c r="J43" s="170">
        <v>0</v>
      </c>
      <c r="K43" s="170">
        <f t="shared" si="3"/>
        <v>-26115.181955911823</v>
      </c>
    </row>
    <row r="44" spans="1:11" ht="15.75" x14ac:dyDescent="0.25">
      <c r="A44" s="162"/>
      <c r="B44" s="171">
        <v>37</v>
      </c>
      <c r="C44" s="172">
        <v>46391</v>
      </c>
      <c r="D44" s="173" t="s">
        <v>505</v>
      </c>
      <c r="E44" s="174">
        <f t="shared" si="1"/>
        <v>32</v>
      </c>
      <c r="F44" s="170">
        <f t="shared" si="2"/>
        <v>-26115.181955911823</v>
      </c>
      <c r="G44" s="175">
        <f t="shared" si="4"/>
        <v>484.69777710172343</v>
      </c>
      <c r="H44" s="170">
        <f t="shared" si="5"/>
        <v>-417.84291129458916</v>
      </c>
      <c r="I44" s="170">
        <f t="shared" si="6"/>
        <v>-66.85486580713426</v>
      </c>
      <c r="J44" s="170">
        <v>0</v>
      </c>
      <c r="K44" s="170">
        <f t="shared" si="3"/>
        <v>-26599.879733013546</v>
      </c>
    </row>
    <row r="45" spans="1:11" ht="15.75" x14ac:dyDescent="0.25">
      <c r="A45" s="162"/>
      <c r="B45" s="171">
        <v>38</v>
      </c>
      <c r="C45" s="172">
        <v>46421</v>
      </c>
      <c r="D45" s="173" t="s">
        <v>505</v>
      </c>
      <c r="E45" s="174">
        <f t="shared" si="1"/>
        <v>30</v>
      </c>
      <c r="F45" s="170">
        <f t="shared" si="2"/>
        <v>-26599.879733013546</v>
      </c>
      <c r="G45" s="175">
        <f t="shared" si="4"/>
        <v>462.83790735443569</v>
      </c>
      <c r="H45" s="170">
        <f t="shared" si="5"/>
        <v>-398.99819599520316</v>
      </c>
      <c r="I45" s="170">
        <f t="shared" si="6"/>
        <v>-63.83971135923251</v>
      </c>
      <c r="J45" s="170">
        <v>0</v>
      </c>
      <c r="K45" s="170">
        <f t="shared" si="3"/>
        <v>-27062.71764036798</v>
      </c>
    </row>
    <row r="46" spans="1:11" ht="15.75" x14ac:dyDescent="0.25">
      <c r="A46" s="162"/>
      <c r="B46" s="171">
        <v>39</v>
      </c>
      <c r="C46" s="172">
        <v>46449</v>
      </c>
      <c r="D46" s="173" t="s">
        <v>505</v>
      </c>
      <c r="E46" s="174">
        <f t="shared" si="1"/>
        <v>28</v>
      </c>
      <c r="F46" s="170">
        <f t="shared" si="2"/>
        <v>-27062.71764036798</v>
      </c>
      <c r="G46" s="175">
        <f t="shared" si="4"/>
        <v>439.49853447957599</v>
      </c>
      <c r="H46" s="170">
        <f t="shared" si="5"/>
        <v>-378.87804696515173</v>
      </c>
      <c r="I46" s="170">
        <f t="shared" si="6"/>
        <v>-60.620487514424276</v>
      </c>
      <c r="J46" s="170">
        <v>0</v>
      </c>
      <c r="K46" s="170">
        <f t="shared" si="3"/>
        <v>-27502.216174847556</v>
      </c>
    </row>
    <row r="47" spans="1:11" ht="15.75" x14ac:dyDescent="0.25">
      <c r="A47" s="162"/>
      <c r="B47" s="171">
        <v>40</v>
      </c>
      <c r="C47" s="172">
        <v>46480</v>
      </c>
      <c r="D47" s="173" t="s">
        <v>505</v>
      </c>
      <c r="E47" s="174">
        <f t="shared" si="1"/>
        <v>31</v>
      </c>
      <c r="F47" s="170">
        <f t="shared" si="2"/>
        <v>-27502.216174847556</v>
      </c>
      <c r="G47" s="175">
        <f t="shared" si="4"/>
        <v>494.48984682375908</v>
      </c>
      <c r="H47" s="170">
        <f t="shared" si="5"/>
        <v>-426.28435071013712</v>
      </c>
      <c r="I47" s="170">
        <f t="shared" si="6"/>
        <v>-68.205496113621933</v>
      </c>
      <c r="J47" s="170">
        <v>0</v>
      </c>
      <c r="K47" s="170">
        <f t="shared" si="3"/>
        <v>-27996.706021671314</v>
      </c>
    </row>
    <row r="48" spans="1:11" ht="15.75" x14ac:dyDescent="0.25">
      <c r="A48" s="162"/>
      <c r="B48" s="171">
        <v>41</v>
      </c>
      <c r="C48" s="172">
        <v>46510</v>
      </c>
      <c r="D48" s="173" t="s">
        <v>505</v>
      </c>
      <c r="E48" s="174">
        <f t="shared" si="1"/>
        <v>30</v>
      </c>
      <c r="F48" s="170">
        <f t="shared" si="2"/>
        <v>-27996.706021671314</v>
      </c>
      <c r="G48" s="175">
        <f t="shared" si="4"/>
        <v>487.14268477708083</v>
      </c>
      <c r="H48" s="170">
        <f t="shared" si="5"/>
        <v>-419.9505903250697</v>
      </c>
      <c r="I48" s="170">
        <f t="shared" si="6"/>
        <v>-67.192094452011148</v>
      </c>
      <c r="J48" s="170">
        <v>0</v>
      </c>
      <c r="K48" s="170">
        <f t="shared" si="3"/>
        <v>-28483.848706448396</v>
      </c>
    </row>
    <row r="49" spans="1:11" ht="15.75" x14ac:dyDescent="0.25">
      <c r="A49" s="162"/>
      <c r="B49" s="171">
        <v>42</v>
      </c>
      <c r="C49" s="172">
        <v>46541</v>
      </c>
      <c r="D49" s="173" t="s">
        <v>505</v>
      </c>
      <c r="E49" s="174">
        <f t="shared" si="1"/>
        <v>31</v>
      </c>
      <c r="F49" s="170">
        <f t="shared" si="2"/>
        <v>-28483.848706448396</v>
      </c>
      <c r="G49" s="175">
        <f t="shared" si="4"/>
        <v>512.13959974194211</v>
      </c>
      <c r="H49" s="170">
        <f t="shared" si="5"/>
        <v>-441.49965494995013</v>
      </c>
      <c r="I49" s="170">
        <f t="shared" si="6"/>
        <v>-70.639944791992022</v>
      </c>
      <c r="J49" s="170">
        <v>0</v>
      </c>
      <c r="K49" s="170">
        <f t="shared" si="3"/>
        <v>-28995.988306190338</v>
      </c>
    </row>
    <row r="50" spans="1:11" ht="15.75" x14ac:dyDescent="0.25">
      <c r="A50" s="162"/>
      <c r="B50" s="171">
        <v>43</v>
      </c>
      <c r="C50" s="172">
        <v>46571</v>
      </c>
      <c r="D50" s="173" t="s">
        <v>505</v>
      </c>
      <c r="E50" s="174">
        <f t="shared" si="1"/>
        <v>30</v>
      </c>
      <c r="F50" s="170">
        <f t="shared" si="2"/>
        <v>-28995.988306190338</v>
      </c>
      <c r="G50" s="175">
        <f t="shared" si="4"/>
        <v>504.53019652771189</v>
      </c>
      <c r="H50" s="170">
        <f t="shared" si="5"/>
        <v>-434.93982459285508</v>
      </c>
      <c r="I50" s="170">
        <f t="shared" si="6"/>
        <v>-69.590371934856819</v>
      </c>
      <c r="J50" s="170">
        <v>0</v>
      </c>
      <c r="K50" s="170">
        <f t="shared" si="3"/>
        <v>-29500.518502718049</v>
      </c>
    </row>
    <row r="51" spans="1:11" ht="15.75" x14ac:dyDescent="0.25">
      <c r="A51" s="162"/>
      <c r="B51" s="171">
        <v>44</v>
      </c>
      <c r="C51" s="172">
        <v>46602</v>
      </c>
      <c r="D51" s="173" t="s">
        <v>505</v>
      </c>
      <c r="E51" s="174">
        <f t="shared" si="1"/>
        <v>31</v>
      </c>
      <c r="F51" s="170">
        <f t="shared" si="2"/>
        <v>-29500.518502718049</v>
      </c>
      <c r="G51" s="175">
        <f t="shared" si="4"/>
        <v>530.41932267887046</v>
      </c>
      <c r="H51" s="170">
        <f t="shared" si="5"/>
        <v>-457.25803679212976</v>
      </c>
      <c r="I51" s="170">
        <f t="shared" si="6"/>
        <v>-73.161285886740757</v>
      </c>
      <c r="J51" s="170">
        <v>0</v>
      </c>
      <c r="K51" s="170">
        <f t="shared" si="3"/>
        <v>-30030.937825396919</v>
      </c>
    </row>
    <row r="52" spans="1:11" ht="15.75" x14ac:dyDescent="0.25">
      <c r="A52" s="162"/>
      <c r="B52" s="171">
        <v>45</v>
      </c>
      <c r="C52" s="172">
        <v>46633</v>
      </c>
      <c r="D52" s="173" t="s">
        <v>505</v>
      </c>
      <c r="E52" s="174">
        <f t="shared" si="1"/>
        <v>31</v>
      </c>
      <c r="F52" s="170">
        <f t="shared" si="2"/>
        <v>-30030.937825396919</v>
      </c>
      <c r="G52" s="175">
        <f t="shared" si="4"/>
        <v>539.95626210063665</v>
      </c>
      <c r="H52" s="170">
        <f t="shared" si="5"/>
        <v>-465.47953629365225</v>
      </c>
      <c r="I52" s="170">
        <f t="shared" si="6"/>
        <v>-74.476725806984362</v>
      </c>
      <c r="J52" s="170">
        <v>0</v>
      </c>
      <c r="K52" s="170">
        <f t="shared" si="3"/>
        <v>-30570.894087497556</v>
      </c>
    </row>
    <row r="53" spans="1:11" ht="15.75" x14ac:dyDescent="0.25">
      <c r="A53" s="162"/>
      <c r="B53" s="171">
        <v>46</v>
      </c>
      <c r="C53" s="172">
        <v>46664</v>
      </c>
      <c r="D53" s="173" t="s">
        <v>505</v>
      </c>
      <c r="E53" s="174">
        <f t="shared" si="1"/>
        <v>31</v>
      </c>
      <c r="F53" s="170">
        <f t="shared" si="2"/>
        <v>-30570.894087497556</v>
      </c>
      <c r="G53" s="175">
        <f t="shared" si="4"/>
        <v>549.66467569320605</v>
      </c>
      <c r="H53" s="170">
        <f t="shared" si="5"/>
        <v>-473.84885835621213</v>
      </c>
      <c r="I53" s="170">
        <f t="shared" si="6"/>
        <v>-75.815817336993945</v>
      </c>
      <c r="J53" s="170">
        <v>0</v>
      </c>
      <c r="K53" s="170">
        <f t="shared" si="3"/>
        <v>-31120.558763190762</v>
      </c>
    </row>
    <row r="54" spans="1:11" ht="15.75" x14ac:dyDescent="0.25">
      <c r="A54" s="162"/>
      <c r="B54" s="171">
        <v>47</v>
      </c>
      <c r="C54" s="172">
        <v>46694</v>
      </c>
      <c r="D54" s="173" t="s">
        <v>505</v>
      </c>
      <c r="E54" s="174">
        <f t="shared" si="1"/>
        <v>30</v>
      </c>
      <c r="F54" s="170">
        <f t="shared" si="2"/>
        <v>-31120.558763190762</v>
      </c>
      <c r="G54" s="175">
        <f t="shared" si="4"/>
        <v>541.49772247951921</v>
      </c>
      <c r="H54" s="170">
        <f t="shared" si="5"/>
        <v>-466.80838144786139</v>
      </c>
      <c r="I54" s="170">
        <f t="shared" si="6"/>
        <v>-74.689341031657818</v>
      </c>
      <c r="J54" s="170">
        <v>0</v>
      </c>
      <c r="K54" s="170">
        <f t="shared" si="3"/>
        <v>-31662.05648567028</v>
      </c>
    </row>
    <row r="55" spans="1:11" ht="15.75" x14ac:dyDescent="0.25">
      <c r="A55" s="162"/>
      <c r="B55" s="171">
        <v>48</v>
      </c>
      <c r="C55" s="172">
        <v>46724</v>
      </c>
      <c r="D55" s="173" t="s">
        <v>505</v>
      </c>
      <c r="E55" s="174">
        <f t="shared" si="1"/>
        <v>30</v>
      </c>
      <c r="F55" s="170">
        <f t="shared" si="2"/>
        <v>-31662.05648567028</v>
      </c>
      <c r="G55" s="175">
        <f t="shared" si="4"/>
        <v>550.91978285066284</v>
      </c>
      <c r="H55" s="170">
        <f t="shared" si="5"/>
        <v>-474.9308472850542</v>
      </c>
      <c r="I55" s="170">
        <f t="shared" si="6"/>
        <v>-75.988935565608671</v>
      </c>
      <c r="J55" s="170">
        <v>0</v>
      </c>
      <c r="K55" s="170">
        <f t="shared" si="3"/>
        <v>-32212.976268520943</v>
      </c>
    </row>
    <row r="56" spans="1:11" ht="15.75" x14ac:dyDescent="0.25">
      <c r="A56" s="162"/>
      <c r="B56" s="171">
        <v>49</v>
      </c>
      <c r="C56" s="172">
        <v>46755</v>
      </c>
      <c r="D56" s="173" t="s">
        <v>505</v>
      </c>
      <c r="E56" s="174">
        <f t="shared" si="1"/>
        <v>31</v>
      </c>
      <c r="F56" s="170">
        <f t="shared" si="2"/>
        <v>-32212.976268520943</v>
      </c>
      <c r="G56" s="175">
        <f t="shared" si="4"/>
        <v>579.1893133080066</v>
      </c>
      <c r="H56" s="170">
        <f t="shared" si="5"/>
        <v>-499.30113216207462</v>
      </c>
      <c r="I56" s="170">
        <f t="shared" si="6"/>
        <v>-79.888181145931938</v>
      </c>
      <c r="J56" s="170">
        <v>0</v>
      </c>
      <c r="K56" s="170">
        <f t="shared" si="3"/>
        <v>-32792.165581828951</v>
      </c>
    </row>
    <row r="57" spans="1:11" ht="15.75" x14ac:dyDescent="0.25">
      <c r="A57" s="162"/>
      <c r="B57" s="171">
        <v>50</v>
      </c>
      <c r="C57" s="172">
        <v>46786</v>
      </c>
      <c r="D57" s="173" t="s">
        <v>505</v>
      </c>
      <c r="E57" s="174">
        <f t="shared" si="1"/>
        <v>31</v>
      </c>
      <c r="F57" s="170">
        <f t="shared" si="2"/>
        <v>-32792.165581828951</v>
      </c>
      <c r="G57" s="175">
        <f t="shared" si="4"/>
        <v>589.60313716128451</v>
      </c>
      <c r="H57" s="170">
        <f t="shared" si="5"/>
        <v>-508.27856651834873</v>
      </c>
      <c r="I57" s="170">
        <f t="shared" si="6"/>
        <v>-81.324570642935797</v>
      </c>
      <c r="J57" s="170">
        <v>0</v>
      </c>
      <c r="K57" s="170">
        <f t="shared" si="3"/>
        <v>-33381.768718990235</v>
      </c>
    </row>
    <row r="58" spans="1:11" ht="15.75" x14ac:dyDescent="0.25">
      <c r="A58" s="162"/>
      <c r="B58" s="171">
        <v>51</v>
      </c>
      <c r="C58" s="172">
        <v>46815</v>
      </c>
      <c r="D58" s="173" t="s">
        <v>505</v>
      </c>
      <c r="E58" s="174">
        <f t="shared" si="1"/>
        <v>29</v>
      </c>
      <c r="F58" s="170">
        <f t="shared" si="2"/>
        <v>-33381.768718990235</v>
      </c>
      <c r="G58" s="175">
        <f t="shared" si="4"/>
        <v>561.48134985341585</v>
      </c>
      <c r="H58" s="170">
        <f t="shared" si="5"/>
        <v>-484.03564642535844</v>
      </c>
      <c r="I58" s="170">
        <f t="shared" si="6"/>
        <v>-77.445703428057357</v>
      </c>
      <c r="J58" s="170">
        <v>0</v>
      </c>
      <c r="K58" s="170">
        <f t="shared" si="3"/>
        <v>-33943.250068843648</v>
      </c>
    </row>
    <row r="59" spans="1:11" ht="15.75" x14ac:dyDescent="0.25">
      <c r="A59" s="162"/>
      <c r="B59" s="171">
        <v>52</v>
      </c>
      <c r="C59" s="172">
        <v>46846</v>
      </c>
      <c r="D59" s="173" t="s">
        <v>505</v>
      </c>
      <c r="E59" s="174">
        <f t="shared" si="1"/>
        <v>31</v>
      </c>
      <c r="F59" s="170">
        <f t="shared" si="2"/>
        <v>-33943.250068843648</v>
      </c>
      <c r="G59" s="175">
        <f t="shared" si="4"/>
        <v>610.29963623780884</v>
      </c>
      <c r="H59" s="170">
        <f t="shared" si="5"/>
        <v>-526.12037606707656</v>
      </c>
      <c r="I59" s="170">
        <f t="shared" si="6"/>
        <v>-84.179260170732249</v>
      </c>
      <c r="J59" s="170">
        <v>0</v>
      </c>
      <c r="K59" s="170">
        <f t="shared" si="3"/>
        <v>-34553.549705081459</v>
      </c>
    </row>
    <row r="60" spans="1:11" ht="15.75" x14ac:dyDescent="0.25">
      <c r="A60" s="162"/>
      <c r="B60" s="171">
        <v>53</v>
      </c>
      <c r="C60" s="172">
        <v>46876</v>
      </c>
      <c r="D60" s="173" t="s">
        <v>505</v>
      </c>
      <c r="E60" s="174">
        <f t="shared" si="1"/>
        <v>30</v>
      </c>
      <c r="F60" s="170">
        <f t="shared" si="2"/>
        <v>-34553.549705081459</v>
      </c>
      <c r="G60" s="175">
        <f t="shared" si="4"/>
        <v>601.23176486841737</v>
      </c>
      <c r="H60" s="170">
        <f t="shared" si="5"/>
        <v>-518.30324557622191</v>
      </c>
      <c r="I60" s="170">
        <f t="shared" si="6"/>
        <v>-82.928519292195503</v>
      </c>
      <c r="J60" s="170">
        <v>0</v>
      </c>
      <c r="K60" s="170">
        <f t="shared" si="3"/>
        <v>-35154.781469949878</v>
      </c>
    </row>
    <row r="61" spans="1:11" ht="15.75" x14ac:dyDescent="0.25">
      <c r="A61" s="162"/>
      <c r="B61" s="171">
        <v>54</v>
      </c>
      <c r="C61" s="172">
        <v>46907</v>
      </c>
      <c r="D61" s="173" t="s">
        <v>505</v>
      </c>
      <c r="E61" s="174">
        <f t="shared" si="1"/>
        <v>31</v>
      </c>
      <c r="F61" s="170">
        <f t="shared" si="2"/>
        <v>-35154.781469949878</v>
      </c>
      <c r="G61" s="175">
        <f t="shared" si="4"/>
        <v>632.08297082969887</v>
      </c>
      <c r="H61" s="170">
        <f t="shared" si="5"/>
        <v>-544.89911278422312</v>
      </c>
      <c r="I61" s="170">
        <f t="shared" si="6"/>
        <v>-87.183858045475702</v>
      </c>
      <c r="J61" s="170">
        <v>0</v>
      </c>
      <c r="K61" s="170">
        <f t="shared" si="3"/>
        <v>-35786.86444077958</v>
      </c>
    </row>
    <row r="62" spans="1:11" ht="15.75" x14ac:dyDescent="0.25">
      <c r="A62" s="162"/>
      <c r="B62" s="171">
        <v>55</v>
      </c>
      <c r="C62" s="172">
        <v>46937</v>
      </c>
      <c r="D62" s="173" t="s">
        <v>505</v>
      </c>
      <c r="E62" s="174">
        <f t="shared" si="1"/>
        <v>30</v>
      </c>
      <c r="F62" s="170">
        <f t="shared" si="2"/>
        <v>-35786.86444077958</v>
      </c>
      <c r="G62" s="175">
        <f t="shared" si="4"/>
        <v>622.69144126956473</v>
      </c>
      <c r="H62" s="170">
        <f t="shared" si="5"/>
        <v>-536.80296661169371</v>
      </c>
      <c r="I62" s="170">
        <f t="shared" si="6"/>
        <v>-85.888474657871001</v>
      </c>
      <c r="J62" s="170">
        <v>0</v>
      </c>
      <c r="K62" s="170">
        <f t="shared" si="3"/>
        <v>-36409.555882049142</v>
      </c>
    </row>
    <row r="63" spans="1:11" ht="15.75" x14ac:dyDescent="0.25">
      <c r="A63" s="162"/>
      <c r="B63" s="171">
        <v>56</v>
      </c>
      <c r="C63" s="172">
        <v>46968</v>
      </c>
      <c r="D63" s="173" t="s">
        <v>505</v>
      </c>
      <c r="E63" s="174">
        <f t="shared" si="1"/>
        <v>31</v>
      </c>
      <c r="F63" s="170">
        <f t="shared" si="2"/>
        <v>-36409.555882049142</v>
      </c>
      <c r="G63" s="175">
        <f t="shared" si="4"/>
        <v>654.64381475924358</v>
      </c>
      <c r="H63" s="170">
        <f t="shared" si="5"/>
        <v>-564.34811617176172</v>
      </c>
      <c r="I63" s="170">
        <f t="shared" si="6"/>
        <v>-90.29569858748188</v>
      </c>
      <c r="J63" s="170">
        <v>0</v>
      </c>
      <c r="K63" s="170">
        <f t="shared" si="3"/>
        <v>-37064.199696808384</v>
      </c>
    </row>
    <row r="64" spans="1:11" ht="15.75" x14ac:dyDescent="0.25">
      <c r="A64" s="162"/>
      <c r="B64" s="171">
        <v>57</v>
      </c>
      <c r="C64" s="172">
        <v>47000</v>
      </c>
      <c r="D64" s="173" t="s">
        <v>505</v>
      </c>
      <c r="E64" s="174">
        <f t="shared" si="1"/>
        <v>32</v>
      </c>
      <c r="F64" s="170">
        <f t="shared" si="2"/>
        <v>-37064.199696808384</v>
      </c>
      <c r="G64" s="175">
        <f t="shared" si="4"/>
        <v>687.91154637276372</v>
      </c>
      <c r="H64" s="170">
        <f t="shared" si="5"/>
        <v>-593.0271951489342</v>
      </c>
      <c r="I64" s="170">
        <f t="shared" si="6"/>
        <v>-94.884351223829469</v>
      </c>
      <c r="J64" s="170">
        <v>0</v>
      </c>
      <c r="K64" s="170">
        <f t="shared" si="3"/>
        <v>-37752.111243181149</v>
      </c>
    </row>
    <row r="65" spans="1:11" ht="15.75" x14ac:dyDescent="0.25">
      <c r="A65" s="162"/>
      <c r="B65" s="171">
        <v>58</v>
      </c>
      <c r="C65" s="172">
        <v>47029</v>
      </c>
      <c r="D65" s="173" t="s">
        <v>505</v>
      </c>
      <c r="E65" s="174">
        <f t="shared" si="1"/>
        <v>29</v>
      </c>
      <c r="F65" s="170">
        <f t="shared" si="2"/>
        <v>-37752.111243181149</v>
      </c>
      <c r="G65" s="175">
        <f t="shared" si="4"/>
        <v>634.99051111030701</v>
      </c>
      <c r="H65" s="170">
        <f t="shared" si="5"/>
        <v>-547.40561302612673</v>
      </c>
      <c r="I65" s="170">
        <f t="shared" si="6"/>
        <v>-87.584898084180281</v>
      </c>
      <c r="J65" s="170">
        <v>0</v>
      </c>
      <c r="K65" s="170">
        <f t="shared" si="3"/>
        <v>-38387.101754291456</v>
      </c>
    </row>
    <row r="66" spans="1:11" ht="15.75" x14ac:dyDescent="0.25">
      <c r="A66" s="162"/>
      <c r="B66" s="171">
        <v>59</v>
      </c>
      <c r="C66" s="172">
        <v>47060</v>
      </c>
      <c r="D66" s="173" t="s">
        <v>505</v>
      </c>
      <c r="E66" s="174">
        <f t="shared" si="1"/>
        <v>31</v>
      </c>
      <c r="F66" s="170">
        <f t="shared" si="2"/>
        <v>-38387.101754291456</v>
      </c>
      <c r="G66" s="175">
        <f t="shared" si="4"/>
        <v>690.20008954216041</v>
      </c>
      <c r="H66" s="170">
        <f t="shared" si="5"/>
        <v>-595.00007719151756</v>
      </c>
      <c r="I66" s="170">
        <f t="shared" si="6"/>
        <v>-95.200012350642808</v>
      </c>
      <c r="J66" s="170">
        <v>0</v>
      </c>
      <c r="K66" s="170">
        <f t="shared" si="3"/>
        <v>-39077.301843833615</v>
      </c>
    </row>
    <row r="67" spans="1:11" ht="15.75" x14ac:dyDescent="0.25">
      <c r="A67" s="162"/>
      <c r="B67" s="171">
        <v>60</v>
      </c>
      <c r="C67" s="172">
        <v>47091</v>
      </c>
      <c r="D67" s="173" t="s">
        <v>505</v>
      </c>
      <c r="E67" s="174">
        <f t="shared" si="1"/>
        <v>31</v>
      </c>
      <c r="F67" s="170">
        <f t="shared" si="2"/>
        <v>-39077.301843833615</v>
      </c>
      <c r="G67" s="175">
        <f t="shared" si="4"/>
        <v>702.60988715212829</v>
      </c>
      <c r="H67" s="170">
        <f t="shared" si="5"/>
        <v>-605.69817857942098</v>
      </c>
      <c r="I67" s="170">
        <f t="shared" si="6"/>
        <v>-96.911708572707354</v>
      </c>
      <c r="J67" s="170">
        <v>0</v>
      </c>
      <c r="K67" s="170">
        <f t="shared" si="3"/>
        <v>-39779.911730985747</v>
      </c>
    </row>
    <row r="68" spans="1:11" ht="15.75" x14ac:dyDescent="0.25">
      <c r="A68" s="162"/>
      <c r="B68" s="171">
        <v>61</v>
      </c>
      <c r="C68" s="172">
        <v>47121</v>
      </c>
      <c r="D68" s="173" t="s">
        <v>505</v>
      </c>
      <c r="E68" s="174">
        <f t="shared" si="1"/>
        <v>30</v>
      </c>
      <c r="F68" s="170">
        <f t="shared" si="2"/>
        <v>-39779.911730985747</v>
      </c>
      <c r="G68" s="175">
        <f t="shared" si="4"/>
        <v>692.17046411915192</v>
      </c>
      <c r="H68" s="170">
        <f t="shared" si="5"/>
        <v>-596.69867596478616</v>
      </c>
      <c r="I68" s="170">
        <f t="shared" si="6"/>
        <v>-95.471788154365782</v>
      </c>
      <c r="J68" s="170">
        <v>0</v>
      </c>
      <c r="K68" s="170">
        <f t="shared" si="3"/>
        <v>-40472.0821951049</v>
      </c>
    </row>
    <row r="69" spans="1:11" ht="15.75" x14ac:dyDescent="0.25">
      <c r="A69" s="162"/>
      <c r="B69" s="171">
        <v>62</v>
      </c>
      <c r="C69" s="172">
        <v>47152</v>
      </c>
      <c r="D69" s="173" t="s">
        <v>505</v>
      </c>
      <c r="E69" s="174">
        <f t="shared" si="1"/>
        <v>31</v>
      </c>
      <c r="F69" s="170">
        <f t="shared" si="2"/>
        <v>-40472.0821951049</v>
      </c>
      <c r="G69" s="175">
        <f t="shared" si="4"/>
        <v>727.68803786798605</v>
      </c>
      <c r="H69" s="170">
        <f t="shared" si="5"/>
        <v>-627.31727402412594</v>
      </c>
      <c r="I69" s="170">
        <f t="shared" si="6"/>
        <v>-100.37076384386015</v>
      </c>
      <c r="J69" s="170">
        <v>0</v>
      </c>
      <c r="K69" s="170">
        <f t="shared" si="3"/>
        <v>-41199.770232972885</v>
      </c>
    </row>
    <row r="70" spans="1:11" ht="15.75" x14ac:dyDescent="0.25">
      <c r="A70" s="162"/>
      <c r="B70" s="171">
        <v>63</v>
      </c>
      <c r="C70" s="172">
        <v>47180</v>
      </c>
      <c r="D70" s="173" t="s">
        <v>505</v>
      </c>
      <c r="E70" s="174">
        <f t="shared" si="1"/>
        <v>28</v>
      </c>
      <c r="F70" s="170">
        <f t="shared" si="2"/>
        <v>-41199.770232972885</v>
      </c>
      <c r="G70" s="175">
        <f t="shared" si="4"/>
        <v>669.08426858347957</v>
      </c>
      <c r="H70" s="170">
        <f t="shared" si="5"/>
        <v>-576.79678326162036</v>
      </c>
      <c r="I70" s="170">
        <f t="shared" si="6"/>
        <v>-92.287485321859265</v>
      </c>
      <c r="J70" s="170">
        <v>0</v>
      </c>
      <c r="K70" s="170">
        <f t="shared" si="3"/>
        <v>-41868.854501556365</v>
      </c>
    </row>
    <row r="71" spans="1:11" ht="15.75" x14ac:dyDescent="0.25">
      <c r="A71" s="162"/>
      <c r="B71" s="171">
        <v>64</v>
      </c>
      <c r="C71" s="172">
        <v>47211</v>
      </c>
      <c r="D71" s="173" t="s">
        <v>505</v>
      </c>
      <c r="E71" s="174">
        <f t="shared" si="1"/>
        <v>31</v>
      </c>
      <c r="F71" s="170">
        <f t="shared" si="2"/>
        <v>-41868.854501556365</v>
      </c>
      <c r="G71" s="175">
        <f t="shared" si="4"/>
        <v>752.80200393798339</v>
      </c>
      <c r="H71" s="170">
        <f t="shared" si="5"/>
        <v>-648.96724477412363</v>
      </c>
      <c r="I71" s="170">
        <f t="shared" si="6"/>
        <v>-103.83475916385979</v>
      </c>
      <c r="J71" s="170">
        <v>0</v>
      </c>
      <c r="K71" s="170">
        <f t="shared" si="3"/>
        <v>-42621.656505494349</v>
      </c>
    </row>
    <row r="72" spans="1:11" ht="15.75" x14ac:dyDescent="0.25">
      <c r="A72" s="162"/>
      <c r="B72" s="171">
        <v>65</v>
      </c>
      <c r="C72" s="172">
        <v>47241</v>
      </c>
      <c r="D72" s="173" t="s">
        <v>505</v>
      </c>
      <c r="E72" s="174">
        <f t="shared" si="1"/>
        <v>30</v>
      </c>
      <c r="F72" s="170">
        <f t="shared" si="2"/>
        <v>-42621.656505494349</v>
      </c>
      <c r="G72" s="175">
        <f t="shared" si="4"/>
        <v>741.61682319560168</v>
      </c>
      <c r="H72" s="170">
        <f t="shared" si="5"/>
        <v>-639.32484758241526</v>
      </c>
      <c r="I72" s="170">
        <f t="shared" si="6"/>
        <v>-102.29197561318644</v>
      </c>
      <c r="J72" s="170">
        <v>0</v>
      </c>
      <c r="K72" s="170">
        <f t="shared" si="3"/>
        <v>-43363.273328689953</v>
      </c>
    </row>
    <row r="73" spans="1:11" ht="15.75" x14ac:dyDescent="0.25">
      <c r="A73" s="162"/>
      <c r="B73" s="171">
        <v>66</v>
      </c>
      <c r="C73" s="172">
        <v>47273</v>
      </c>
      <c r="D73" s="173" t="s">
        <v>505</v>
      </c>
      <c r="E73" s="174">
        <f t="shared" si="1"/>
        <v>32</v>
      </c>
      <c r="F73" s="170">
        <f t="shared" si="2"/>
        <v>-43363.273328689953</v>
      </c>
      <c r="G73" s="175">
        <f t="shared" si="4"/>
        <v>804.82235298048556</v>
      </c>
      <c r="H73" s="170">
        <f t="shared" si="5"/>
        <v>-693.8123732590393</v>
      </c>
      <c r="I73" s="170">
        <f t="shared" si="6"/>
        <v>-111.00997972144629</v>
      </c>
      <c r="J73" s="170">
        <v>0</v>
      </c>
      <c r="K73" s="170">
        <f t="shared" si="3"/>
        <v>-44168.095681670442</v>
      </c>
    </row>
    <row r="74" spans="1:11" ht="15.75" x14ac:dyDescent="0.25">
      <c r="A74" s="162"/>
      <c r="B74" s="171">
        <v>67</v>
      </c>
      <c r="C74" s="172">
        <v>47302</v>
      </c>
      <c r="D74" s="173" t="s">
        <v>505</v>
      </c>
      <c r="E74" s="174">
        <f t="shared" si="1"/>
        <v>29</v>
      </c>
      <c r="F74" s="170">
        <f t="shared" si="2"/>
        <v>-44168.095681670442</v>
      </c>
      <c r="G74" s="175">
        <f t="shared" si="4"/>
        <v>742.90736936569692</v>
      </c>
      <c r="H74" s="170">
        <f t="shared" si="5"/>
        <v>-640.43738738422144</v>
      </c>
      <c r="I74" s="170">
        <f t="shared" si="6"/>
        <v>-102.46998198147543</v>
      </c>
      <c r="J74" s="170">
        <v>0</v>
      </c>
      <c r="K74" s="170">
        <f t="shared" si="3"/>
        <v>-44911.003051036139</v>
      </c>
    </row>
    <row r="75" spans="1:11" ht="15.75" x14ac:dyDescent="0.25">
      <c r="A75" s="162"/>
      <c r="B75" s="171">
        <v>68</v>
      </c>
      <c r="C75" s="172">
        <v>47333</v>
      </c>
      <c r="D75" s="173" t="s">
        <v>505</v>
      </c>
      <c r="E75" s="174">
        <f t="shared" ref="E75:E79" si="7">+C75-C74</f>
        <v>31</v>
      </c>
      <c r="F75" s="170">
        <f t="shared" ref="F75:F79" si="8">+K74</f>
        <v>-44911.003051036139</v>
      </c>
      <c r="G75" s="175">
        <f t="shared" ref="G75:G77" si="9">+J75-H75-I75</f>
        <v>807.49983485762971</v>
      </c>
      <c r="H75" s="170">
        <f t="shared" ref="H75:H79" si="10">+F75*((0.015/30)*E75)</f>
        <v>-696.12054729106012</v>
      </c>
      <c r="I75" s="170">
        <f t="shared" ref="I75:I79" si="11">+H75*0.16</f>
        <v>-111.37928756656962</v>
      </c>
      <c r="J75" s="170">
        <v>0</v>
      </c>
      <c r="K75" s="170">
        <f t="shared" ref="K75:K79" si="12">+F75-G75</f>
        <v>-45718.502885893766</v>
      </c>
    </row>
    <row r="76" spans="1:11" ht="15.75" x14ac:dyDescent="0.25">
      <c r="A76" s="162"/>
      <c r="B76" s="171">
        <v>69</v>
      </c>
      <c r="C76" s="172">
        <v>47364</v>
      </c>
      <c r="D76" s="173" t="s">
        <v>505</v>
      </c>
      <c r="E76" s="174">
        <f t="shared" si="7"/>
        <v>31</v>
      </c>
      <c r="F76" s="170">
        <f t="shared" si="8"/>
        <v>-45718.502885893766</v>
      </c>
      <c r="G76" s="175">
        <f t="shared" si="9"/>
        <v>822.01868188836988</v>
      </c>
      <c r="H76" s="170">
        <f t="shared" si="10"/>
        <v>-708.63679473135335</v>
      </c>
      <c r="I76" s="170">
        <f t="shared" si="11"/>
        <v>-113.38188715701654</v>
      </c>
      <c r="J76" s="170">
        <v>0</v>
      </c>
      <c r="K76" s="170">
        <f t="shared" si="12"/>
        <v>-46540.521567782132</v>
      </c>
    </row>
    <row r="77" spans="1:11" ht="15.75" x14ac:dyDescent="0.25">
      <c r="A77" s="162"/>
      <c r="B77" s="171">
        <v>70</v>
      </c>
      <c r="C77" s="172">
        <v>47394</v>
      </c>
      <c r="D77" s="173" t="s">
        <v>505</v>
      </c>
      <c r="E77" s="174">
        <f t="shared" si="7"/>
        <v>30</v>
      </c>
      <c r="F77" s="170">
        <f t="shared" si="8"/>
        <v>-46540.521567782132</v>
      </c>
      <c r="G77" s="175">
        <f t="shared" si="9"/>
        <v>809.80507527940904</v>
      </c>
      <c r="H77" s="170">
        <f t="shared" si="10"/>
        <v>-698.10782351673197</v>
      </c>
      <c r="I77" s="170">
        <f t="shared" si="11"/>
        <v>-111.69725176267711</v>
      </c>
      <c r="J77" s="170">
        <v>0</v>
      </c>
      <c r="K77" s="170">
        <f t="shared" si="12"/>
        <v>-47350.32664306154</v>
      </c>
    </row>
    <row r="78" spans="1:11" ht="15.75" x14ac:dyDescent="0.25">
      <c r="A78" s="162"/>
      <c r="B78" s="171">
        <v>71</v>
      </c>
      <c r="C78" s="172">
        <v>47425</v>
      </c>
      <c r="D78" s="173" t="s">
        <v>505</v>
      </c>
      <c r="E78" s="174">
        <f t="shared" si="7"/>
        <v>31</v>
      </c>
      <c r="F78" s="170">
        <f t="shared" si="8"/>
        <v>-47350.32664306154</v>
      </c>
      <c r="G78" s="175">
        <v>667.28</v>
      </c>
      <c r="H78" s="170">
        <f t="shared" si="10"/>
        <v>-733.93006296745386</v>
      </c>
      <c r="I78" s="170">
        <f t="shared" si="11"/>
        <v>-117.42881007479262</v>
      </c>
      <c r="J78" s="170">
        <v>0</v>
      </c>
      <c r="K78" s="170">
        <f t="shared" si="12"/>
        <v>-48017.606643061539</v>
      </c>
    </row>
    <row r="79" spans="1:11" ht="15.75" x14ac:dyDescent="0.25">
      <c r="A79" s="162"/>
      <c r="B79" s="171">
        <v>72</v>
      </c>
      <c r="C79" s="172">
        <v>47455</v>
      </c>
      <c r="D79" s="173" t="s">
        <v>505</v>
      </c>
      <c r="E79" s="174">
        <f t="shared" si="7"/>
        <v>30</v>
      </c>
      <c r="F79" s="170">
        <f t="shared" si="8"/>
        <v>-48017.606643061539</v>
      </c>
      <c r="G79" s="175"/>
      <c r="H79" s="170">
        <f t="shared" si="10"/>
        <v>-720.26409964592301</v>
      </c>
      <c r="I79" s="170">
        <f t="shared" si="11"/>
        <v>-115.24225594334769</v>
      </c>
      <c r="J79" s="170">
        <v>0</v>
      </c>
      <c r="K79" s="170">
        <f t="shared" si="12"/>
        <v>-48017.606643061539</v>
      </c>
    </row>
    <row r="80" spans="1:11" ht="15.75" x14ac:dyDescent="0.25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19EF-8EB0-4706-92D4-A0D5E92DAE02}">
  <dimension ref="A1:K219"/>
  <sheetViews>
    <sheetView workbookViewId="0">
      <pane ySplit="6" topLeftCell="A7" activePane="bottomLeft" state="frozen"/>
      <selection pane="bottomLeft" activeCell="B7" sqref="B6:B7"/>
    </sheetView>
  </sheetViews>
  <sheetFormatPr baseColWidth="10" defaultRowHeight="15" x14ac:dyDescent="0.2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4.109375" customWidth="1"/>
    <col min="8" max="8" width="14.6640625" customWidth="1"/>
    <col min="9" max="9" width="5.88671875" bestFit="1" customWidth="1"/>
    <col min="10" max="10" width="13.6640625" bestFit="1" customWidth="1"/>
    <col min="11" max="11" width="13.44140625" bestFit="1" customWidth="1"/>
  </cols>
  <sheetData>
    <row r="1" spans="1:11" ht="20.25" x14ac:dyDescent="0.3">
      <c r="A1" s="162"/>
      <c r="B1" s="162"/>
      <c r="C1" s="163" t="s">
        <v>489</v>
      </c>
      <c r="D1" s="162"/>
      <c r="E1" s="162"/>
      <c r="F1" s="162"/>
      <c r="G1" s="162"/>
      <c r="H1" s="162"/>
      <c r="I1" s="162"/>
      <c r="J1" s="162"/>
      <c r="K1" s="162"/>
    </row>
    <row r="2" spans="1:11" ht="15.75" x14ac:dyDescent="0.25">
      <c r="A2" s="162"/>
      <c r="B2" s="162"/>
      <c r="C2" s="164" t="s">
        <v>315</v>
      </c>
      <c r="D2" s="162"/>
      <c r="E2" s="162"/>
      <c r="F2" s="162"/>
      <c r="G2" s="162"/>
      <c r="H2" s="165" t="s">
        <v>490</v>
      </c>
      <c r="I2" s="162"/>
      <c r="J2" s="162"/>
      <c r="K2" s="162"/>
    </row>
    <row r="3" spans="1:11" ht="15.75" x14ac:dyDescent="0.25">
      <c r="A3" s="162"/>
      <c r="B3" s="162"/>
      <c r="C3" s="164" t="s">
        <v>491</v>
      </c>
      <c r="D3" s="162"/>
      <c r="E3" s="162"/>
      <c r="F3" s="162"/>
      <c r="G3" s="162"/>
      <c r="H3" s="166">
        <v>0.108</v>
      </c>
      <c r="I3" s="162"/>
      <c r="J3" s="162"/>
      <c r="K3" s="162"/>
    </row>
    <row r="4" spans="1:11" ht="15.75" x14ac:dyDescent="0.25">
      <c r="A4" s="162"/>
      <c r="B4" s="162"/>
      <c r="C4" s="164" t="s">
        <v>492</v>
      </c>
      <c r="D4" s="164" t="s">
        <v>602</v>
      </c>
      <c r="E4" s="162"/>
      <c r="F4" s="162"/>
      <c r="G4" s="162"/>
      <c r="H4" s="281">
        <f>H3/12</f>
        <v>8.9999999999999993E-3</v>
      </c>
      <c r="I4" s="162"/>
      <c r="J4" s="162"/>
      <c r="K4" s="162"/>
    </row>
    <row r="5" spans="1:11" ht="15.75" x14ac:dyDescent="0.25">
      <c r="A5" s="162"/>
      <c r="B5" s="162"/>
      <c r="C5" s="167" t="s">
        <v>494</v>
      </c>
      <c r="D5" s="168"/>
      <c r="E5" s="168" t="s">
        <v>4</v>
      </c>
      <c r="F5" s="169">
        <v>1000000</v>
      </c>
      <c r="G5" s="169">
        <f>SUBTOTAL(9,G6:G20105)</f>
        <v>1126357.8470689575</v>
      </c>
      <c r="H5" s="169">
        <f>SUBTOTAL(9,H6:H20105)</f>
        <v>949659.79293104261</v>
      </c>
      <c r="I5" s="169">
        <f>SUBTOTAL(9,I6:I20105)</f>
        <v>0</v>
      </c>
      <c r="J5" s="169">
        <f>SUBTOTAL(9,J6:J20105)</f>
        <v>2076017.6399999931</v>
      </c>
      <c r="K5" s="169">
        <f>J5-2076605.7</f>
        <v>-588.06000000680797</v>
      </c>
    </row>
    <row r="6" spans="1:11" ht="15.75" x14ac:dyDescent="0.25">
      <c r="A6" s="162"/>
      <c r="B6" s="149" t="s">
        <v>495</v>
      </c>
      <c r="C6" s="149" t="s">
        <v>496</v>
      </c>
      <c r="D6" s="149" t="s">
        <v>497</v>
      </c>
      <c r="E6" s="149" t="s">
        <v>498</v>
      </c>
      <c r="F6" s="149" t="s">
        <v>499</v>
      </c>
      <c r="G6" s="149" t="s">
        <v>500</v>
      </c>
      <c r="H6" s="149" t="s">
        <v>501</v>
      </c>
      <c r="I6" s="149" t="s">
        <v>502</v>
      </c>
      <c r="J6" s="149" t="s">
        <v>222</v>
      </c>
      <c r="K6" s="149" t="s">
        <v>503</v>
      </c>
    </row>
    <row r="7" spans="1:11" ht="15.75" x14ac:dyDescent="0.25">
      <c r="A7" s="162"/>
      <c r="B7" s="277">
        <v>0</v>
      </c>
      <c r="C7" s="278">
        <v>45414</v>
      </c>
      <c r="D7" s="279" t="s">
        <v>601</v>
      </c>
      <c r="E7" s="175"/>
      <c r="F7" s="175"/>
      <c r="G7" s="175"/>
      <c r="H7" s="175"/>
      <c r="I7" s="175"/>
      <c r="J7" s="175"/>
      <c r="K7" s="175">
        <v>1000000</v>
      </c>
    </row>
    <row r="8" spans="1:11" ht="15.75" x14ac:dyDescent="0.25">
      <c r="A8" s="162"/>
      <c r="B8" s="277">
        <v>1</v>
      </c>
      <c r="C8" s="278">
        <v>45446</v>
      </c>
      <c r="D8" s="279" t="s">
        <v>505</v>
      </c>
      <c r="E8" s="280">
        <f>+C8-C7</f>
        <v>32</v>
      </c>
      <c r="F8" s="282">
        <f t="shared" ref="F8" si="0">+K7</f>
        <v>1000000</v>
      </c>
      <c r="G8" s="282">
        <f>+J8-H8-I8</f>
        <v>2241</v>
      </c>
      <c r="H8" s="282">
        <f>+F8*(($H$4/30)*E8)</f>
        <v>9600</v>
      </c>
      <c r="I8" s="170">
        <v>0</v>
      </c>
      <c r="J8" s="282">
        <v>11841</v>
      </c>
      <c r="K8" s="175">
        <f>+F8-G8</f>
        <v>997759</v>
      </c>
    </row>
    <row r="9" spans="1:11" ht="15.75" x14ac:dyDescent="0.25">
      <c r="A9" s="162"/>
      <c r="B9" s="277">
        <v>2</v>
      </c>
      <c r="C9" s="278">
        <v>45475</v>
      </c>
      <c r="D9" s="279" t="s">
        <v>505</v>
      </c>
      <c r="E9" s="280">
        <f>+C9-C8</f>
        <v>29</v>
      </c>
      <c r="F9" s="282">
        <f t="shared" ref="F9:F17" si="1">+K8</f>
        <v>997759</v>
      </c>
      <c r="G9" s="282">
        <f t="shared" ref="G9:G72" si="2">+J9-H9-I9</f>
        <v>2261.1689999999999</v>
      </c>
      <c r="H9" s="282">
        <f>+F9*(($H$4))</f>
        <v>8979.8310000000001</v>
      </c>
      <c r="I9" s="170">
        <v>0</v>
      </c>
      <c r="J9" s="282">
        <v>11241</v>
      </c>
      <c r="K9" s="175">
        <f>+F9-G9</f>
        <v>995497.83100000001</v>
      </c>
    </row>
    <row r="10" spans="1:11" ht="15.75" x14ac:dyDescent="0.25">
      <c r="A10" s="162"/>
      <c r="B10" s="277">
        <v>3</v>
      </c>
      <c r="C10" s="278">
        <v>45506</v>
      </c>
      <c r="D10" s="279" t="s">
        <v>505</v>
      </c>
      <c r="E10" s="280">
        <f>+C10-C9</f>
        <v>31</v>
      </c>
      <c r="F10" s="282">
        <f t="shared" si="1"/>
        <v>995497.83100000001</v>
      </c>
      <c r="G10" s="175">
        <f t="shared" si="2"/>
        <v>2577.1695209999998</v>
      </c>
      <c r="H10" s="170">
        <f t="shared" ref="H10:H73" si="3">+F10*(($H$4))</f>
        <v>8959.4804789999998</v>
      </c>
      <c r="I10" s="170">
        <v>0</v>
      </c>
      <c r="J10" s="282">
        <v>11536.65</v>
      </c>
      <c r="K10" s="175">
        <f>+F10-G10</f>
        <v>992920.661479</v>
      </c>
    </row>
    <row r="11" spans="1:11" ht="15.75" x14ac:dyDescent="0.25">
      <c r="A11" s="162"/>
      <c r="B11" s="277">
        <v>4</v>
      </c>
      <c r="C11" s="278">
        <v>45537</v>
      </c>
      <c r="D11" s="279" t="s">
        <v>505</v>
      </c>
      <c r="E11" s="280">
        <f t="shared" ref="E11:E74" si="4">+C11-C10</f>
        <v>31</v>
      </c>
      <c r="F11" s="170">
        <f t="shared" si="1"/>
        <v>992920.661479</v>
      </c>
      <c r="G11" s="175">
        <f t="shared" si="2"/>
        <v>2602.6740466890005</v>
      </c>
      <c r="H11" s="170">
        <f t="shared" si="3"/>
        <v>8936.2859533109986</v>
      </c>
      <c r="I11" s="170">
        <v>0</v>
      </c>
      <c r="J11" s="282">
        <v>11538.96</v>
      </c>
      <c r="K11" s="175">
        <f t="shared" ref="K11:K74" si="5">+F11-G11</f>
        <v>990317.98743231106</v>
      </c>
    </row>
    <row r="12" spans="1:11" ht="15.75" x14ac:dyDescent="0.25">
      <c r="A12" s="162"/>
      <c r="B12" s="277">
        <v>5</v>
      </c>
      <c r="C12" s="278">
        <v>45567</v>
      </c>
      <c r="D12" s="279" t="s">
        <v>505</v>
      </c>
      <c r="E12" s="280">
        <f t="shared" si="4"/>
        <v>30</v>
      </c>
      <c r="F12" s="170">
        <f t="shared" si="1"/>
        <v>990317.98743231106</v>
      </c>
      <c r="G12" s="175">
        <f t="shared" si="2"/>
        <v>2328.1381131092003</v>
      </c>
      <c r="H12" s="170">
        <f t="shared" si="3"/>
        <v>8912.8618868907997</v>
      </c>
      <c r="I12" s="170">
        <v>0</v>
      </c>
      <c r="J12" s="282">
        <v>11241</v>
      </c>
      <c r="K12" s="175">
        <f t="shared" si="5"/>
        <v>987989.84931920189</v>
      </c>
    </row>
    <row r="13" spans="1:11" ht="15.75" x14ac:dyDescent="0.25">
      <c r="A13" s="162"/>
      <c r="B13" s="277">
        <v>6</v>
      </c>
      <c r="C13" s="278">
        <v>45598</v>
      </c>
      <c r="D13" s="173" t="s">
        <v>505</v>
      </c>
      <c r="E13" s="174">
        <f t="shared" si="4"/>
        <v>31</v>
      </c>
      <c r="F13" s="170">
        <f t="shared" si="1"/>
        <v>987989.84931920189</v>
      </c>
      <c r="G13" s="175">
        <f t="shared" si="2"/>
        <v>2645.6713561271827</v>
      </c>
      <c r="H13" s="170">
        <f t="shared" si="3"/>
        <v>8891.9086438728173</v>
      </c>
      <c r="I13" s="170">
        <v>0</v>
      </c>
      <c r="J13" s="282">
        <v>11537.58</v>
      </c>
      <c r="K13" s="170">
        <f t="shared" si="5"/>
        <v>985344.17796307476</v>
      </c>
    </row>
    <row r="14" spans="1:11" ht="15.75" x14ac:dyDescent="0.25">
      <c r="A14" s="162"/>
      <c r="B14" s="277">
        <v>7</v>
      </c>
      <c r="C14" s="278">
        <v>45628</v>
      </c>
      <c r="D14" s="173" t="s">
        <v>505</v>
      </c>
      <c r="E14" s="174">
        <f t="shared" si="4"/>
        <v>30</v>
      </c>
      <c r="F14" s="170">
        <f t="shared" si="1"/>
        <v>985344.17796307476</v>
      </c>
      <c r="G14" s="175">
        <f t="shared" si="2"/>
        <v>2372.9023983323277</v>
      </c>
      <c r="H14" s="170">
        <f t="shared" si="3"/>
        <v>8868.0976016676723</v>
      </c>
      <c r="I14" s="170">
        <v>0</v>
      </c>
      <c r="J14" s="282">
        <v>11241</v>
      </c>
      <c r="K14" s="170">
        <f t="shared" si="5"/>
        <v>982971.27556474239</v>
      </c>
    </row>
    <row r="15" spans="1:11" ht="15.75" x14ac:dyDescent="0.25">
      <c r="A15" s="162"/>
      <c r="B15" s="277">
        <v>8</v>
      </c>
      <c r="C15" s="278">
        <v>45659</v>
      </c>
      <c r="D15" s="173" t="s">
        <v>505</v>
      </c>
      <c r="E15" s="174">
        <f t="shared" si="4"/>
        <v>31</v>
      </c>
      <c r="F15" s="170">
        <f t="shared" si="1"/>
        <v>982971.27556474239</v>
      </c>
      <c r="G15" s="175">
        <f t="shared" si="2"/>
        <v>2689.9085199173187</v>
      </c>
      <c r="H15" s="170">
        <f t="shared" si="3"/>
        <v>8846.7414800826809</v>
      </c>
      <c r="I15" s="170">
        <v>0</v>
      </c>
      <c r="J15" s="170">
        <v>11536.65</v>
      </c>
      <c r="K15" s="170">
        <f t="shared" si="5"/>
        <v>980281.36704482511</v>
      </c>
    </row>
    <row r="16" spans="1:11" ht="15.75" x14ac:dyDescent="0.25">
      <c r="A16" s="162"/>
      <c r="B16" s="277">
        <v>9</v>
      </c>
      <c r="C16" s="278">
        <v>45690</v>
      </c>
      <c r="D16" s="173" t="s">
        <v>505</v>
      </c>
      <c r="E16" s="174">
        <f t="shared" si="4"/>
        <v>31</v>
      </c>
      <c r="F16" s="170">
        <f t="shared" si="1"/>
        <v>980281.36704482511</v>
      </c>
      <c r="G16" s="175">
        <f t="shared" si="2"/>
        <v>2714.1176965965751</v>
      </c>
      <c r="H16" s="170">
        <f t="shared" si="3"/>
        <v>8822.5323034034245</v>
      </c>
      <c r="I16" s="170">
        <v>0</v>
      </c>
      <c r="J16" s="170">
        <v>11536.65</v>
      </c>
      <c r="K16" s="170">
        <f t="shared" si="5"/>
        <v>977567.24934822856</v>
      </c>
    </row>
    <row r="17" spans="1:11" ht="15.75" x14ac:dyDescent="0.25">
      <c r="A17" s="162"/>
      <c r="B17" s="277">
        <v>10</v>
      </c>
      <c r="C17" s="278">
        <v>45718</v>
      </c>
      <c r="D17" s="173" t="s">
        <v>505</v>
      </c>
      <c r="E17" s="174">
        <f t="shared" si="4"/>
        <v>28</v>
      </c>
      <c r="F17" s="170">
        <f t="shared" si="1"/>
        <v>977567.24934822856</v>
      </c>
      <c r="G17" s="175">
        <f t="shared" si="2"/>
        <v>2738.5447558659434</v>
      </c>
      <c r="H17" s="170">
        <f t="shared" si="3"/>
        <v>8798.1052441340562</v>
      </c>
      <c r="I17" s="170">
        <v>0</v>
      </c>
      <c r="J17" s="170">
        <v>11536.65</v>
      </c>
      <c r="K17" s="170">
        <f t="shared" si="5"/>
        <v>974828.70459236263</v>
      </c>
    </row>
    <row r="18" spans="1:11" ht="15.75" x14ac:dyDescent="0.25">
      <c r="A18" s="162"/>
      <c r="B18" s="277">
        <v>11</v>
      </c>
      <c r="C18" s="278">
        <v>45749</v>
      </c>
      <c r="D18" s="173" t="s">
        <v>505</v>
      </c>
      <c r="E18" s="174">
        <f t="shared" si="4"/>
        <v>31</v>
      </c>
      <c r="F18" s="170">
        <f t="shared" ref="F18:F74" si="6">+K17</f>
        <v>974828.70459236263</v>
      </c>
      <c r="G18" s="175">
        <f t="shared" si="2"/>
        <v>2763.1916586687366</v>
      </c>
      <c r="H18" s="170">
        <f t="shared" si="3"/>
        <v>8773.458341331263</v>
      </c>
      <c r="I18" s="170">
        <v>0</v>
      </c>
      <c r="J18" s="170">
        <v>11536.65</v>
      </c>
      <c r="K18" s="170">
        <f t="shared" si="5"/>
        <v>972065.51293369394</v>
      </c>
    </row>
    <row r="19" spans="1:11" ht="15.75" x14ac:dyDescent="0.25">
      <c r="A19" s="162"/>
      <c r="B19" s="277">
        <v>12</v>
      </c>
      <c r="C19" s="278">
        <v>45779</v>
      </c>
      <c r="D19" s="173" t="s">
        <v>505</v>
      </c>
      <c r="E19" s="174">
        <f t="shared" si="4"/>
        <v>30</v>
      </c>
      <c r="F19" s="170">
        <f t="shared" si="6"/>
        <v>972065.51293369394</v>
      </c>
      <c r="G19" s="175">
        <f t="shared" si="2"/>
        <v>2788.060383596754</v>
      </c>
      <c r="H19" s="170">
        <f t="shared" si="3"/>
        <v>8748.5896164032456</v>
      </c>
      <c r="I19" s="170">
        <v>0</v>
      </c>
      <c r="J19" s="170">
        <v>11536.65</v>
      </c>
      <c r="K19" s="170">
        <f t="shared" si="5"/>
        <v>969277.45255009714</v>
      </c>
    </row>
    <row r="20" spans="1:11" ht="15.75" x14ac:dyDescent="0.25">
      <c r="A20" s="162"/>
      <c r="B20" s="277">
        <v>13</v>
      </c>
      <c r="C20" s="278">
        <v>45810</v>
      </c>
      <c r="D20" s="173" t="s">
        <v>505</v>
      </c>
      <c r="E20" s="174">
        <f t="shared" si="4"/>
        <v>31</v>
      </c>
      <c r="F20" s="170">
        <f t="shared" si="6"/>
        <v>969277.45255009714</v>
      </c>
      <c r="G20" s="175">
        <f t="shared" si="2"/>
        <v>2813.1529270491264</v>
      </c>
      <c r="H20" s="170">
        <f t="shared" si="3"/>
        <v>8723.4970729508732</v>
      </c>
      <c r="I20" s="170">
        <v>0</v>
      </c>
      <c r="J20" s="170">
        <v>11536.65</v>
      </c>
      <c r="K20" s="170">
        <f t="shared" si="5"/>
        <v>966464.29962304805</v>
      </c>
    </row>
    <row r="21" spans="1:11" ht="15.75" x14ac:dyDescent="0.25">
      <c r="A21" s="162"/>
      <c r="B21" s="277">
        <v>14</v>
      </c>
      <c r="C21" s="278">
        <v>45840</v>
      </c>
      <c r="D21" s="173" t="s">
        <v>505</v>
      </c>
      <c r="E21" s="174">
        <f t="shared" si="4"/>
        <v>30</v>
      </c>
      <c r="F21" s="170">
        <f t="shared" si="6"/>
        <v>966464.29962304805</v>
      </c>
      <c r="G21" s="175">
        <f t="shared" si="2"/>
        <v>2838.4713033925673</v>
      </c>
      <c r="H21" s="170">
        <f t="shared" si="3"/>
        <v>8698.1786966074324</v>
      </c>
      <c r="I21" s="170">
        <v>0</v>
      </c>
      <c r="J21" s="170">
        <v>11536.65</v>
      </c>
      <c r="K21" s="170">
        <f t="shared" si="5"/>
        <v>963625.8283196555</v>
      </c>
    </row>
    <row r="22" spans="1:11" ht="15.75" x14ac:dyDescent="0.25">
      <c r="A22" s="162"/>
      <c r="B22" s="277">
        <v>15</v>
      </c>
      <c r="C22" s="278">
        <v>45871</v>
      </c>
      <c r="D22" s="173" t="s">
        <v>505</v>
      </c>
      <c r="E22" s="174">
        <f t="shared" si="4"/>
        <v>31</v>
      </c>
      <c r="F22" s="170">
        <f t="shared" si="6"/>
        <v>963625.8283196555</v>
      </c>
      <c r="G22" s="175">
        <f t="shared" si="2"/>
        <v>2864.0175451231007</v>
      </c>
      <c r="H22" s="170">
        <f t="shared" si="3"/>
        <v>8672.6324548768989</v>
      </c>
      <c r="I22" s="170">
        <v>0</v>
      </c>
      <c r="J22" s="170">
        <v>11536.65</v>
      </c>
      <c r="K22" s="170">
        <f t="shared" si="5"/>
        <v>960761.81077453238</v>
      </c>
    </row>
    <row r="23" spans="1:11" ht="15.75" x14ac:dyDescent="0.25">
      <c r="A23" s="162"/>
      <c r="B23" s="277">
        <v>16</v>
      </c>
      <c r="C23" s="278">
        <v>45902</v>
      </c>
      <c r="D23" s="173" t="s">
        <v>505</v>
      </c>
      <c r="E23" s="174">
        <f t="shared" si="4"/>
        <v>31</v>
      </c>
      <c r="F23" s="170">
        <f t="shared" si="6"/>
        <v>960761.81077453238</v>
      </c>
      <c r="G23" s="175">
        <f t="shared" si="2"/>
        <v>2889.7937030292087</v>
      </c>
      <c r="H23" s="170">
        <f t="shared" si="3"/>
        <v>8646.8562969707909</v>
      </c>
      <c r="I23" s="170">
        <v>0</v>
      </c>
      <c r="J23" s="170">
        <v>11536.65</v>
      </c>
      <c r="K23" s="170">
        <f t="shared" si="5"/>
        <v>957872.01707150321</v>
      </c>
    </row>
    <row r="24" spans="1:11" ht="15.75" x14ac:dyDescent="0.25">
      <c r="A24" s="162"/>
      <c r="B24" s="277">
        <v>17</v>
      </c>
      <c r="C24" s="278">
        <v>45932</v>
      </c>
      <c r="D24" s="173" t="s">
        <v>505</v>
      </c>
      <c r="E24" s="174">
        <f t="shared" si="4"/>
        <v>30</v>
      </c>
      <c r="F24" s="170">
        <f t="shared" si="6"/>
        <v>957872.01707150321</v>
      </c>
      <c r="G24" s="175">
        <f t="shared" si="2"/>
        <v>2915.8018463564713</v>
      </c>
      <c r="H24" s="170">
        <f t="shared" si="3"/>
        <v>8620.8481536435283</v>
      </c>
      <c r="I24" s="170">
        <v>0</v>
      </c>
      <c r="J24" s="170">
        <v>11536.65</v>
      </c>
      <c r="K24" s="170">
        <f t="shared" si="5"/>
        <v>954956.21522514673</v>
      </c>
    </row>
    <row r="25" spans="1:11" ht="15.75" x14ac:dyDescent="0.25">
      <c r="A25" s="162"/>
      <c r="B25" s="277">
        <v>18</v>
      </c>
      <c r="C25" s="278">
        <v>45963</v>
      </c>
      <c r="D25" s="173" t="s">
        <v>505</v>
      </c>
      <c r="E25" s="174">
        <f t="shared" si="4"/>
        <v>31</v>
      </c>
      <c r="F25" s="170">
        <f t="shared" si="6"/>
        <v>954956.21522514673</v>
      </c>
      <c r="G25" s="175">
        <f t="shared" si="2"/>
        <v>2942.0440629736804</v>
      </c>
      <c r="H25" s="170">
        <f t="shared" si="3"/>
        <v>8594.6059370263192</v>
      </c>
      <c r="I25" s="170">
        <v>0</v>
      </c>
      <c r="J25" s="170">
        <v>11536.65</v>
      </c>
      <c r="K25" s="170">
        <f t="shared" si="5"/>
        <v>952014.17116217304</v>
      </c>
    </row>
    <row r="26" spans="1:11" ht="15.75" x14ac:dyDescent="0.25">
      <c r="A26" s="162"/>
      <c r="B26" s="277">
        <v>19</v>
      </c>
      <c r="C26" s="278">
        <v>45993</v>
      </c>
      <c r="D26" s="173" t="s">
        <v>505</v>
      </c>
      <c r="E26" s="174">
        <f t="shared" si="4"/>
        <v>30</v>
      </c>
      <c r="F26" s="170">
        <f t="shared" si="6"/>
        <v>952014.17116217304</v>
      </c>
      <c r="G26" s="175">
        <f t="shared" si="2"/>
        <v>2968.5224595404434</v>
      </c>
      <c r="H26" s="170">
        <f t="shared" si="3"/>
        <v>8568.1275404595563</v>
      </c>
      <c r="I26" s="170">
        <v>0</v>
      </c>
      <c r="J26" s="170">
        <v>11536.65</v>
      </c>
      <c r="K26" s="170">
        <f t="shared" si="5"/>
        <v>949045.64870263264</v>
      </c>
    </row>
    <row r="27" spans="1:11" ht="15.75" x14ac:dyDescent="0.25">
      <c r="A27" s="162"/>
      <c r="B27" s="277">
        <v>20</v>
      </c>
      <c r="C27" s="278">
        <v>46024</v>
      </c>
      <c r="D27" s="173" t="s">
        <v>505</v>
      </c>
      <c r="E27" s="174">
        <f t="shared" si="4"/>
        <v>31</v>
      </c>
      <c r="F27" s="170">
        <f t="shared" si="6"/>
        <v>949045.64870263264</v>
      </c>
      <c r="G27" s="175">
        <f t="shared" si="2"/>
        <v>2995.239161676307</v>
      </c>
      <c r="H27" s="170">
        <f t="shared" si="3"/>
        <v>8541.4108383236926</v>
      </c>
      <c r="I27" s="170">
        <v>0</v>
      </c>
      <c r="J27" s="170">
        <v>11536.65</v>
      </c>
      <c r="K27" s="170">
        <f t="shared" si="5"/>
        <v>946050.40954095637</v>
      </c>
    </row>
    <row r="28" spans="1:11" ht="15.75" x14ac:dyDescent="0.25">
      <c r="A28" s="162"/>
      <c r="B28" s="277">
        <v>21</v>
      </c>
      <c r="C28" s="278">
        <v>46055</v>
      </c>
      <c r="D28" s="173" t="s">
        <v>505</v>
      </c>
      <c r="E28" s="174">
        <f t="shared" si="4"/>
        <v>31</v>
      </c>
      <c r="F28" s="170">
        <f t="shared" si="6"/>
        <v>946050.40954095637</v>
      </c>
      <c r="G28" s="175">
        <f t="shared" si="2"/>
        <v>3022.1963141313936</v>
      </c>
      <c r="H28" s="170">
        <f t="shared" si="3"/>
        <v>8514.453685868606</v>
      </c>
      <c r="I28" s="170">
        <v>0</v>
      </c>
      <c r="J28" s="170">
        <v>11536.65</v>
      </c>
      <c r="K28" s="170">
        <f t="shared" si="5"/>
        <v>943028.213226825</v>
      </c>
    </row>
    <row r="29" spans="1:11" ht="15.75" x14ac:dyDescent="0.25">
      <c r="A29" s="162"/>
      <c r="B29" s="277">
        <v>22</v>
      </c>
      <c r="C29" s="278">
        <v>46083</v>
      </c>
      <c r="D29" s="173" t="s">
        <v>505</v>
      </c>
      <c r="E29" s="174">
        <f t="shared" si="4"/>
        <v>28</v>
      </c>
      <c r="F29" s="170">
        <f t="shared" si="6"/>
        <v>943028.213226825</v>
      </c>
      <c r="G29" s="175">
        <f t="shared" si="2"/>
        <v>3049.3960809585751</v>
      </c>
      <c r="H29" s="170">
        <f t="shared" si="3"/>
        <v>8487.2539190414245</v>
      </c>
      <c r="I29" s="170">
        <v>0</v>
      </c>
      <c r="J29" s="170">
        <v>11536.65</v>
      </c>
      <c r="K29" s="170">
        <f t="shared" si="5"/>
        <v>939978.81714586646</v>
      </c>
    </row>
    <row r="30" spans="1:11" ht="15.75" x14ac:dyDescent="0.25">
      <c r="A30" s="162"/>
      <c r="B30" s="277">
        <v>23</v>
      </c>
      <c r="C30" s="278">
        <v>46114</v>
      </c>
      <c r="D30" s="173" t="s">
        <v>505</v>
      </c>
      <c r="E30" s="174">
        <f t="shared" si="4"/>
        <v>31</v>
      </c>
      <c r="F30" s="170">
        <f t="shared" si="6"/>
        <v>939978.81714586646</v>
      </c>
      <c r="G30" s="175">
        <f t="shared" si="2"/>
        <v>3076.8406456872017</v>
      </c>
      <c r="H30" s="170">
        <f t="shared" si="3"/>
        <v>8459.809354312798</v>
      </c>
      <c r="I30" s="170">
        <v>0</v>
      </c>
      <c r="J30" s="170">
        <v>11536.65</v>
      </c>
      <c r="K30" s="170">
        <f t="shared" si="5"/>
        <v>936901.97650017927</v>
      </c>
    </row>
    <row r="31" spans="1:11" ht="15.75" x14ac:dyDescent="0.25">
      <c r="A31" s="162"/>
      <c r="B31" s="277">
        <v>24</v>
      </c>
      <c r="C31" s="278">
        <v>46144</v>
      </c>
      <c r="D31" s="173" t="s">
        <v>505</v>
      </c>
      <c r="E31" s="174">
        <f t="shared" si="4"/>
        <v>30</v>
      </c>
      <c r="F31" s="170">
        <f t="shared" si="6"/>
        <v>936901.97650017927</v>
      </c>
      <c r="G31" s="175">
        <f t="shared" si="2"/>
        <v>3104.5322114983865</v>
      </c>
      <c r="H31" s="170">
        <f t="shared" si="3"/>
        <v>8432.1177885016132</v>
      </c>
      <c r="I31" s="170">
        <v>0</v>
      </c>
      <c r="J31" s="170">
        <v>11536.65</v>
      </c>
      <c r="K31" s="170">
        <f t="shared" si="5"/>
        <v>933797.44428868091</v>
      </c>
    </row>
    <row r="32" spans="1:11" ht="15.75" x14ac:dyDescent="0.25">
      <c r="A32" s="162"/>
      <c r="B32" s="277">
        <v>25</v>
      </c>
      <c r="C32" s="278">
        <v>46175</v>
      </c>
      <c r="D32" s="173" t="s">
        <v>505</v>
      </c>
      <c r="E32" s="174">
        <f t="shared" si="4"/>
        <v>31</v>
      </c>
      <c r="F32" s="170">
        <f t="shared" si="6"/>
        <v>933797.44428868091</v>
      </c>
      <c r="G32" s="175">
        <f t="shared" si="2"/>
        <v>3132.4730014018714</v>
      </c>
      <c r="H32" s="170">
        <f t="shared" si="3"/>
        <v>8404.1769985981282</v>
      </c>
      <c r="I32" s="170">
        <v>0</v>
      </c>
      <c r="J32" s="170">
        <v>11536.65</v>
      </c>
      <c r="K32" s="170">
        <f t="shared" si="5"/>
        <v>930664.97128727904</v>
      </c>
    </row>
    <row r="33" spans="1:11" ht="15.75" x14ac:dyDescent="0.25">
      <c r="A33" s="162"/>
      <c r="B33" s="277">
        <v>26</v>
      </c>
      <c r="C33" s="278">
        <v>46205</v>
      </c>
      <c r="D33" s="173" t="s">
        <v>505</v>
      </c>
      <c r="E33" s="174">
        <f t="shared" si="4"/>
        <v>30</v>
      </c>
      <c r="F33" s="170">
        <f t="shared" si="6"/>
        <v>930664.97128727904</v>
      </c>
      <c r="G33" s="175">
        <f t="shared" si="2"/>
        <v>3160.6652584144886</v>
      </c>
      <c r="H33" s="170">
        <f t="shared" si="3"/>
        <v>8375.9847415855111</v>
      </c>
      <c r="I33" s="170">
        <v>0</v>
      </c>
      <c r="J33" s="170">
        <v>11536.65</v>
      </c>
      <c r="K33" s="170">
        <f t="shared" si="5"/>
        <v>927504.30602886458</v>
      </c>
    </row>
    <row r="34" spans="1:11" ht="15.75" x14ac:dyDescent="0.25">
      <c r="A34" s="162"/>
      <c r="B34" s="277">
        <v>27</v>
      </c>
      <c r="C34" s="278">
        <v>46236</v>
      </c>
      <c r="D34" s="173" t="s">
        <v>505</v>
      </c>
      <c r="E34" s="174">
        <f t="shared" si="4"/>
        <v>31</v>
      </c>
      <c r="F34" s="170">
        <f t="shared" si="6"/>
        <v>927504.30602886458</v>
      </c>
      <c r="G34" s="175">
        <f t="shared" si="2"/>
        <v>3189.1112457402196</v>
      </c>
      <c r="H34" s="170">
        <f t="shared" si="3"/>
        <v>8347.53875425978</v>
      </c>
      <c r="I34" s="170">
        <v>0</v>
      </c>
      <c r="J34" s="170">
        <v>11536.65</v>
      </c>
      <c r="K34" s="170">
        <f t="shared" si="5"/>
        <v>924315.19478312437</v>
      </c>
    </row>
    <row r="35" spans="1:11" ht="15.75" x14ac:dyDescent="0.25">
      <c r="A35" s="162"/>
      <c r="B35" s="277">
        <v>28</v>
      </c>
      <c r="C35" s="278">
        <v>46267</v>
      </c>
      <c r="D35" s="173" t="s">
        <v>505</v>
      </c>
      <c r="E35" s="174">
        <f t="shared" si="4"/>
        <v>31</v>
      </c>
      <c r="F35" s="170">
        <f t="shared" si="6"/>
        <v>924315.19478312437</v>
      </c>
      <c r="G35" s="175">
        <f t="shared" si="2"/>
        <v>3217.8132469518805</v>
      </c>
      <c r="H35" s="170">
        <f t="shared" si="3"/>
        <v>8318.8367530481191</v>
      </c>
      <c r="I35" s="170">
        <v>0</v>
      </c>
      <c r="J35" s="170">
        <v>11536.65</v>
      </c>
      <c r="K35" s="170">
        <f t="shared" si="5"/>
        <v>921097.38153617247</v>
      </c>
    </row>
    <row r="36" spans="1:11" ht="15.75" x14ac:dyDescent="0.25">
      <c r="A36" s="162"/>
      <c r="B36" s="277">
        <v>29</v>
      </c>
      <c r="C36" s="278">
        <v>46297</v>
      </c>
      <c r="D36" s="173" t="s">
        <v>505</v>
      </c>
      <c r="E36" s="174">
        <f t="shared" si="4"/>
        <v>30</v>
      </c>
      <c r="F36" s="170">
        <f t="shared" si="6"/>
        <v>921097.38153617247</v>
      </c>
      <c r="G36" s="175">
        <f t="shared" si="2"/>
        <v>3246.7735661744482</v>
      </c>
      <c r="H36" s="170">
        <f t="shared" si="3"/>
        <v>8289.8764338255514</v>
      </c>
      <c r="I36" s="170">
        <v>0</v>
      </c>
      <c r="J36" s="170">
        <v>11536.65</v>
      </c>
      <c r="K36" s="170">
        <f t="shared" si="5"/>
        <v>917850.60796999803</v>
      </c>
    </row>
    <row r="37" spans="1:11" ht="15.75" x14ac:dyDescent="0.25">
      <c r="A37" s="162"/>
      <c r="B37" s="277">
        <v>30</v>
      </c>
      <c r="C37" s="278">
        <v>46328</v>
      </c>
      <c r="D37" s="173" t="s">
        <v>505</v>
      </c>
      <c r="E37" s="174">
        <f t="shared" si="4"/>
        <v>31</v>
      </c>
      <c r="F37" s="170">
        <f t="shared" si="6"/>
        <v>917850.60796999803</v>
      </c>
      <c r="G37" s="175">
        <f t="shared" si="2"/>
        <v>3275.9945282700173</v>
      </c>
      <c r="H37" s="170">
        <f t="shared" si="3"/>
        <v>8260.6554717299823</v>
      </c>
      <c r="I37" s="170">
        <v>0</v>
      </c>
      <c r="J37" s="170">
        <v>11536.65</v>
      </c>
      <c r="K37" s="170">
        <f t="shared" si="5"/>
        <v>914574.61344172806</v>
      </c>
    </row>
    <row r="38" spans="1:11" ht="15.75" x14ac:dyDescent="0.25">
      <c r="A38" s="162"/>
      <c r="B38" s="277">
        <v>31</v>
      </c>
      <c r="C38" s="278">
        <v>46358</v>
      </c>
      <c r="D38" s="173" t="s">
        <v>505</v>
      </c>
      <c r="E38" s="174">
        <f t="shared" si="4"/>
        <v>30</v>
      </c>
      <c r="F38" s="170">
        <f t="shared" si="6"/>
        <v>914574.61344172806</v>
      </c>
      <c r="G38" s="175">
        <f t="shared" si="2"/>
        <v>3305.4784790244485</v>
      </c>
      <c r="H38" s="170">
        <f t="shared" si="3"/>
        <v>8231.1715209755512</v>
      </c>
      <c r="I38" s="170">
        <v>0</v>
      </c>
      <c r="J38" s="170">
        <v>11536.65</v>
      </c>
      <c r="K38" s="170">
        <f t="shared" si="5"/>
        <v>911269.13496270357</v>
      </c>
    </row>
    <row r="39" spans="1:11" ht="15.75" x14ac:dyDescent="0.25">
      <c r="A39" s="162"/>
      <c r="B39" s="277">
        <v>32</v>
      </c>
      <c r="C39" s="278">
        <v>46389</v>
      </c>
      <c r="D39" s="173" t="s">
        <v>505</v>
      </c>
      <c r="E39" s="174">
        <f t="shared" si="4"/>
        <v>31</v>
      </c>
      <c r="F39" s="170">
        <f t="shared" si="6"/>
        <v>911269.13496270357</v>
      </c>
      <c r="G39" s="175">
        <f t="shared" si="2"/>
        <v>3335.2277853356682</v>
      </c>
      <c r="H39" s="170">
        <f t="shared" si="3"/>
        <v>8201.4222146643315</v>
      </c>
      <c r="I39" s="170">
        <v>0</v>
      </c>
      <c r="J39" s="170">
        <v>11536.65</v>
      </c>
      <c r="K39" s="170">
        <f t="shared" si="5"/>
        <v>907933.90717736795</v>
      </c>
    </row>
    <row r="40" spans="1:11" ht="15.75" x14ac:dyDescent="0.25">
      <c r="A40" s="162"/>
      <c r="B40" s="277">
        <v>33</v>
      </c>
      <c r="C40" s="278">
        <v>46420</v>
      </c>
      <c r="D40" s="173" t="s">
        <v>505</v>
      </c>
      <c r="E40" s="174">
        <f t="shared" si="4"/>
        <v>31</v>
      </c>
      <c r="F40" s="170">
        <f t="shared" si="6"/>
        <v>907933.90717736795</v>
      </c>
      <c r="G40" s="175">
        <f t="shared" si="2"/>
        <v>3365.2448354036887</v>
      </c>
      <c r="H40" s="170">
        <f t="shared" si="3"/>
        <v>8171.4051645963109</v>
      </c>
      <c r="I40" s="170">
        <v>0</v>
      </c>
      <c r="J40" s="170">
        <v>11536.65</v>
      </c>
      <c r="K40" s="170">
        <f t="shared" si="5"/>
        <v>904568.66234196431</v>
      </c>
    </row>
    <row r="41" spans="1:11" ht="15.75" x14ac:dyDescent="0.25">
      <c r="A41" s="162"/>
      <c r="B41" s="277">
        <v>34</v>
      </c>
      <c r="C41" s="278">
        <v>46448</v>
      </c>
      <c r="D41" s="173" t="s">
        <v>505</v>
      </c>
      <c r="E41" s="174">
        <f t="shared" si="4"/>
        <v>28</v>
      </c>
      <c r="F41" s="170">
        <f t="shared" si="6"/>
        <v>904568.66234196431</v>
      </c>
      <c r="G41" s="175">
        <f t="shared" si="2"/>
        <v>3395.5320389223216</v>
      </c>
      <c r="H41" s="170">
        <f t="shared" si="3"/>
        <v>8141.117961077678</v>
      </c>
      <c r="I41" s="170">
        <v>0</v>
      </c>
      <c r="J41" s="170">
        <v>11536.65</v>
      </c>
      <c r="K41" s="170">
        <f t="shared" si="5"/>
        <v>901173.13030304201</v>
      </c>
    </row>
    <row r="42" spans="1:11" ht="15.75" x14ac:dyDescent="0.25">
      <c r="A42" s="162"/>
      <c r="B42" s="277">
        <v>35</v>
      </c>
      <c r="C42" s="278">
        <v>46479</v>
      </c>
      <c r="D42" s="173" t="s">
        <v>505</v>
      </c>
      <c r="E42" s="174">
        <f t="shared" si="4"/>
        <v>31</v>
      </c>
      <c r="F42" s="170">
        <f t="shared" si="6"/>
        <v>901173.13030304201</v>
      </c>
      <c r="G42" s="175">
        <f t="shared" si="2"/>
        <v>3426.0918272726221</v>
      </c>
      <c r="H42" s="170">
        <f t="shared" si="3"/>
        <v>8110.5581727273775</v>
      </c>
      <c r="I42" s="170">
        <v>0</v>
      </c>
      <c r="J42" s="170">
        <v>11536.65</v>
      </c>
      <c r="K42" s="170">
        <f t="shared" si="5"/>
        <v>897747.03847576934</v>
      </c>
    </row>
    <row r="43" spans="1:11" ht="15.75" x14ac:dyDescent="0.25">
      <c r="A43" s="162"/>
      <c r="B43" s="277">
        <v>36</v>
      </c>
      <c r="C43" s="278">
        <v>46509</v>
      </c>
      <c r="D43" s="173" t="s">
        <v>505</v>
      </c>
      <c r="E43" s="174">
        <f t="shared" si="4"/>
        <v>30</v>
      </c>
      <c r="F43" s="170">
        <f t="shared" si="6"/>
        <v>897747.03847576934</v>
      </c>
      <c r="G43" s="175">
        <f t="shared" si="2"/>
        <v>3456.9266537180765</v>
      </c>
      <c r="H43" s="170">
        <f t="shared" si="3"/>
        <v>8079.7233462819231</v>
      </c>
      <c r="I43" s="170">
        <v>0</v>
      </c>
      <c r="J43" s="170">
        <v>11536.65</v>
      </c>
      <c r="K43" s="170">
        <f t="shared" si="5"/>
        <v>894290.11182205123</v>
      </c>
    </row>
    <row r="44" spans="1:11" ht="15.75" x14ac:dyDescent="0.25">
      <c r="A44" s="162"/>
      <c r="B44" s="277">
        <v>37</v>
      </c>
      <c r="C44" s="278">
        <v>46540</v>
      </c>
      <c r="D44" s="173" t="s">
        <v>505</v>
      </c>
      <c r="E44" s="174">
        <f t="shared" si="4"/>
        <v>31</v>
      </c>
      <c r="F44" s="170">
        <f t="shared" si="6"/>
        <v>894290.11182205123</v>
      </c>
      <c r="G44" s="175">
        <f t="shared" si="2"/>
        <v>3488.038993601539</v>
      </c>
      <c r="H44" s="170">
        <f t="shared" si="3"/>
        <v>8048.6110063984606</v>
      </c>
      <c r="I44" s="170">
        <v>0</v>
      </c>
      <c r="J44" s="170">
        <v>11536.65</v>
      </c>
      <c r="K44" s="170">
        <f t="shared" si="5"/>
        <v>890802.07282844966</v>
      </c>
    </row>
    <row r="45" spans="1:11" ht="15.75" x14ac:dyDescent="0.25">
      <c r="A45" s="162"/>
      <c r="B45" s="277">
        <v>38</v>
      </c>
      <c r="C45" s="278">
        <v>46570</v>
      </c>
      <c r="D45" s="173" t="s">
        <v>505</v>
      </c>
      <c r="E45" s="174">
        <f t="shared" si="4"/>
        <v>30</v>
      </c>
      <c r="F45" s="170">
        <f t="shared" si="6"/>
        <v>890802.07282844966</v>
      </c>
      <c r="G45" s="175">
        <f t="shared" si="2"/>
        <v>3519.4313445439529</v>
      </c>
      <c r="H45" s="170">
        <f t="shared" si="3"/>
        <v>8017.2186554560467</v>
      </c>
      <c r="I45" s="170">
        <v>0</v>
      </c>
      <c r="J45" s="170">
        <v>11536.65</v>
      </c>
      <c r="K45" s="170">
        <f t="shared" si="5"/>
        <v>887282.64148390573</v>
      </c>
    </row>
    <row r="46" spans="1:11" ht="15.75" x14ac:dyDescent="0.25">
      <c r="A46" s="162"/>
      <c r="B46" s="277">
        <v>39</v>
      </c>
      <c r="C46" s="278">
        <v>46601</v>
      </c>
      <c r="D46" s="173" t="s">
        <v>505</v>
      </c>
      <c r="E46" s="174">
        <f t="shared" si="4"/>
        <v>31</v>
      </c>
      <c r="F46" s="170">
        <f t="shared" si="6"/>
        <v>887282.64148390573</v>
      </c>
      <c r="G46" s="175">
        <f t="shared" si="2"/>
        <v>3551.1062266448489</v>
      </c>
      <c r="H46" s="170">
        <f t="shared" si="3"/>
        <v>7985.5437733551507</v>
      </c>
      <c r="I46" s="170">
        <v>0</v>
      </c>
      <c r="J46" s="170">
        <v>11536.65</v>
      </c>
      <c r="K46" s="170">
        <f t="shared" si="5"/>
        <v>883731.5352572609</v>
      </c>
    </row>
    <row r="47" spans="1:11" ht="15.75" x14ac:dyDescent="0.25">
      <c r="A47" s="162"/>
      <c r="B47" s="277">
        <v>40</v>
      </c>
      <c r="C47" s="278">
        <v>46632</v>
      </c>
      <c r="D47" s="173" t="s">
        <v>505</v>
      </c>
      <c r="E47" s="174">
        <f t="shared" si="4"/>
        <v>31</v>
      </c>
      <c r="F47" s="170">
        <f t="shared" si="6"/>
        <v>883731.5352572609</v>
      </c>
      <c r="G47" s="175">
        <f t="shared" si="2"/>
        <v>3583.0661826846517</v>
      </c>
      <c r="H47" s="170">
        <f t="shared" si="3"/>
        <v>7953.5838173153479</v>
      </c>
      <c r="I47" s="170">
        <v>0</v>
      </c>
      <c r="J47" s="170">
        <v>11536.65</v>
      </c>
      <c r="K47" s="170">
        <f t="shared" si="5"/>
        <v>880148.46907457628</v>
      </c>
    </row>
    <row r="48" spans="1:11" ht="15.75" x14ac:dyDescent="0.25">
      <c r="A48" s="162"/>
      <c r="B48" s="277">
        <v>41</v>
      </c>
      <c r="C48" s="278">
        <v>46662</v>
      </c>
      <c r="D48" s="173" t="s">
        <v>505</v>
      </c>
      <c r="E48" s="174">
        <f t="shared" si="4"/>
        <v>30</v>
      </c>
      <c r="F48" s="170">
        <f t="shared" si="6"/>
        <v>880148.46907457628</v>
      </c>
      <c r="G48" s="175">
        <f t="shared" si="2"/>
        <v>3615.3137783288139</v>
      </c>
      <c r="H48" s="170">
        <f t="shared" si="3"/>
        <v>7921.3362216711857</v>
      </c>
      <c r="I48" s="170">
        <v>0</v>
      </c>
      <c r="J48" s="170">
        <v>11536.65</v>
      </c>
      <c r="K48" s="170">
        <f t="shared" si="5"/>
        <v>876533.15529624745</v>
      </c>
    </row>
    <row r="49" spans="1:11" ht="15.75" x14ac:dyDescent="0.25">
      <c r="A49" s="162"/>
      <c r="B49" s="277">
        <v>42</v>
      </c>
      <c r="C49" s="278">
        <v>46693</v>
      </c>
      <c r="D49" s="173" t="s">
        <v>505</v>
      </c>
      <c r="E49" s="174">
        <f t="shared" si="4"/>
        <v>31</v>
      </c>
      <c r="F49" s="170">
        <f t="shared" si="6"/>
        <v>876533.15529624745</v>
      </c>
      <c r="G49" s="175">
        <f t="shared" si="2"/>
        <v>3647.8516023337734</v>
      </c>
      <c r="H49" s="170">
        <f t="shared" si="3"/>
        <v>7888.7983976662263</v>
      </c>
      <c r="I49" s="170">
        <v>0</v>
      </c>
      <c r="J49" s="170">
        <v>11536.65</v>
      </c>
      <c r="K49" s="170">
        <f t="shared" si="5"/>
        <v>872885.30369391362</v>
      </c>
    </row>
    <row r="50" spans="1:11" ht="15.75" x14ac:dyDescent="0.25">
      <c r="A50" s="162"/>
      <c r="B50" s="277">
        <v>43</v>
      </c>
      <c r="C50" s="278">
        <v>46723</v>
      </c>
      <c r="D50" s="173" t="s">
        <v>505</v>
      </c>
      <c r="E50" s="174">
        <f t="shared" si="4"/>
        <v>30</v>
      </c>
      <c r="F50" s="170">
        <f t="shared" si="6"/>
        <v>872885.30369391362</v>
      </c>
      <c r="G50" s="175">
        <f t="shared" si="2"/>
        <v>3680.6822667547776</v>
      </c>
      <c r="H50" s="170">
        <f t="shared" si="3"/>
        <v>7855.967733245222</v>
      </c>
      <c r="I50" s="170">
        <v>0</v>
      </c>
      <c r="J50" s="170">
        <v>11536.65</v>
      </c>
      <c r="K50" s="170">
        <f t="shared" si="5"/>
        <v>869204.62142715883</v>
      </c>
    </row>
    <row r="51" spans="1:11" ht="15.75" x14ac:dyDescent="0.25">
      <c r="A51" s="162"/>
      <c r="B51" s="277">
        <v>44</v>
      </c>
      <c r="C51" s="278">
        <v>46754</v>
      </c>
      <c r="D51" s="173" t="s">
        <v>505</v>
      </c>
      <c r="E51" s="174">
        <f t="shared" si="4"/>
        <v>31</v>
      </c>
      <c r="F51" s="170">
        <f t="shared" si="6"/>
        <v>869204.62142715883</v>
      </c>
      <c r="G51" s="175">
        <f t="shared" si="2"/>
        <v>3713.8084071555704</v>
      </c>
      <c r="H51" s="170">
        <f t="shared" si="3"/>
        <v>7822.8415928444292</v>
      </c>
      <c r="I51" s="170">
        <v>0</v>
      </c>
      <c r="J51" s="170">
        <v>11536.65</v>
      </c>
      <c r="K51" s="170">
        <f t="shared" si="5"/>
        <v>865490.81302000326</v>
      </c>
    </row>
    <row r="52" spans="1:11" ht="15.75" x14ac:dyDescent="0.25">
      <c r="A52" s="162"/>
      <c r="B52" s="277">
        <v>45</v>
      </c>
      <c r="C52" s="278">
        <v>46785</v>
      </c>
      <c r="D52" s="173" t="s">
        <v>505</v>
      </c>
      <c r="E52" s="174">
        <f t="shared" si="4"/>
        <v>31</v>
      </c>
      <c r="F52" s="170">
        <f t="shared" si="6"/>
        <v>865490.81302000326</v>
      </c>
      <c r="G52" s="175">
        <f t="shared" si="2"/>
        <v>3747.2326828199712</v>
      </c>
      <c r="H52" s="170">
        <f t="shared" si="3"/>
        <v>7789.4173171800285</v>
      </c>
      <c r="I52" s="170">
        <v>0</v>
      </c>
      <c r="J52" s="170">
        <v>11536.65</v>
      </c>
      <c r="K52" s="170">
        <f t="shared" si="5"/>
        <v>861743.58033718332</v>
      </c>
    </row>
    <row r="53" spans="1:11" ht="15.75" x14ac:dyDescent="0.25">
      <c r="A53" s="162"/>
      <c r="B53" s="277">
        <v>46</v>
      </c>
      <c r="C53" s="278">
        <v>46814</v>
      </c>
      <c r="D53" s="173" t="s">
        <v>505</v>
      </c>
      <c r="E53" s="174">
        <f t="shared" si="4"/>
        <v>29</v>
      </c>
      <c r="F53" s="170">
        <f t="shared" si="6"/>
        <v>861743.58033718332</v>
      </c>
      <c r="G53" s="175">
        <f t="shared" si="2"/>
        <v>3780.9577769653506</v>
      </c>
      <c r="H53" s="170">
        <f t="shared" si="3"/>
        <v>7755.692223034649</v>
      </c>
      <c r="I53" s="170">
        <v>0</v>
      </c>
      <c r="J53" s="170">
        <v>11536.65</v>
      </c>
      <c r="K53" s="170">
        <f t="shared" si="5"/>
        <v>857962.62256021798</v>
      </c>
    </row>
    <row r="54" spans="1:11" ht="15.75" x14ac:dyDescent="0.25">
      <c r="A54" s="162"/>
      <c r="B54" s="277">
        <v>47</v>
      </c>
      <c r="C54" s="278">
        <v>46845</v>
      </c>
      <c r="D54" s="173" t="s">
        <v>505</v>
      </c>
      <c r="E54" s="174">
        <f t="shared" si="4"/>
        <v>31</v>
      </c>
      <c r="F54" s="170">
        <f t="shared" si="6"/>
        <v>857962.62256021798</v>
      </c>
      <c r="G54" s="175">
        <f t="shared" si="2"/>
        <v>3814.9863969580383</v>
      </c>
      <c r="H54" s="170">
        <f t="shared" si="3"/>
        <v>7721.6636030419613</v>
      </c>
      <c r="I54" s="170">
        <v>0</v>
      </c>
      <c r="J54" s="170">
        <v>11536.65</v>
      </c>
      <c r="K54" s="170">
        <f t="shared" si="5"/>
        <v>854147.63616325997</v>
      </c>
    </row>
    <row r="55" spans="1:11" ht="15.75" x14ac:dyDescent="0.25">
      <c r="A55" s="162"/>
      <c r="B55" s="277">
        <v>48</v>
      </c>
      <c r="C55" s="278">
        <v>46875</v>
      </c>
      <c r="D55" s="173" t="s">
        <v>505</v>
      </c>
      <c r="E55" s="174">
        <f t="shared" si="4"/>
        <v>30</v>
      </c>
      <c r="F55" s="170">
        <f t="shared" si="6"/>
        <v>854147.63616325997</v>
      </c>
      <c r="G55" s="175">
        <f t="shared" si="2"/>
        <v>3849.32127453066</v>
      </c>
      <c r="H55" s="170">
        <f t="shared" si="3"/>
        <v>7687.3287254693396</v>
      </c>
      <c r="I55" s="170">
        <v>0</v>
      </c>
      <c r="J55" s="170">
        <v>11536.65</v>
      </c>
      <c r="K55" s="170">
        <f t="shared" si="5"/>
        <v>850298.31488872936</v>
      </c>
    </row>
    <row r="56" spans="1:11" ht="15.75" x14ac:dyDescent="0.25">
      <c r="A56" s="162"/>
      <c r="B56" s="277">
        <v>49</v>
      </c>
      <c r="C56" s="278">
        <v>46906</v>
      </c>
      <c r="D56" s="173" t="s">
        <v>505</v>
      </c>
      <c r="E56" s="174">
        <f t="shared" si="4"/>
        <v>31</v>
      </c>
      <c r="F56" s="170">
        <f t="shared" si="6"/>
        <v>850298.31488872936</v>
      </c>
      <c r="G56" s="175">
        <f t="shared" si="2"/>
        <v>3883.965166001436</v>
      </c>
      <c r="H56" s="170">
        <f t="shared" si="3"/>
        <v>7652.6848339985636</v>
      </c>
      <c r="I56" s="170">
        <v>0</v>
      </c>
      <c r="J56" s="170">
        <v>11536.65</v>
      </c>
      <c r="K56" s="170">
        <f t="shared" si="5"/>
        <v>846414.3497227279</v>
      </c>
    </row>
    <row r="57" spans="1:11" ht="15.75" x14ac:dyDescent="0.25">
      <c r="A57" s="162"/>
      <c r="B57" s="277">
        <v>50</v>
      </c>
      <c r="C57" s="278">
        <v>46936</v>
      </c>
      <c r="D57" s="173" t="s">
        <v>505</v>
      </c>
      <c r="E57" s="174">
        <f t="shared" si="4"/>
        <v>30</v>
      </c>
      <c r="F57" s="170">
        <f t="shared" si="6"/>
        <v>846414.3497227279</v>
      </c>
      <c r="G57" s="175">
        <f t="shared" si="2"/>
        <v>3918.9208524954493</v>
      </c>
      <c r="H57" s="170">
        <f t="shared" si="3"/>
        <v>7617.7291475045504</v>
      </c>
      <c r="I57" s="170">
        <v>0</v>
      </c>
      <c r="J57" s="170">
        <v>11536.65</v>
      </c>
      <c r="K57" s="170">
        <f t="shared" si="5"/>
        <v>842495.42887023243</v>
      </c>
    </row>
    <row r="58" spans="1:11" ht="15.75" x14ac:dyDescent="0.25">
      <c r="A58" s="162"/>
      <c r="B58" s="277">
        <v>51</v>
      </c>
      <c r="C58" s="278">
        <v>46967</v>
      </c>
      <c r="D58" s="173" t="s">
        <v>505</v>
      </c>
      <c r="E58" s="174">
        <f t="shared" si="4"/>
        <v>31</v>
      </c>
      <c r="F58" s="170">
        <f t="shared" si="6"/>
        <v>842495.42887023243</v>
      </c>
      <c r="G58" s="175">
        <f t="shared" si="2"/>
        <v>3954.1911401679081</v>
      </c>
      <c r="H58" s="170">
        <f t="shared" si="3"/>
        <v>7582.4588598320915</v>
      </c>
      <c r="I58" s="170">
        <v>0</v>
      </c>
      <c r="J58" s="170">
        <v>11536.65</v>
      </c>
      <c r="K58" s="170">
        <f t="shared" si="5"/>
        <v>838541.23773006455</v>
      </c>
    </row>
    <row r="59" spans="1:11" ht="15.75" x14ac:dyDescent="0.25">
      <c r="A59" s="162"/>
      <c r="B59" s="277">
        <v>52</v>
      </c>
      <c r="C59" s="278">
        <v>46998</v>
      </c>
      <c r="D59" s="173" t="s">
        <v>505</v>
      </c>
      <c r="E59" s="174">
        <f t="shared" si="4"/>
        <v>31</v>
      </c>
      <c r="F59" s="170">
        <f t="shared" si="6"/>
        <v>838541.23773006455</v>
      </c>
      <c r="G59" s="175">
        <f t="shared" si="2"/>
        <v>3989.7788604294192</v>
      </c>
      <c r="H59" s="170">
        <f t="shared" si="3"/>
        <v>7546.8711395705805</v>
      </c>
      <c r="I59" s="170">
        <v>0</v>
      </c>
      <c r="J59" s="170">
        <v>11536.65</v>
      </c>
      <c r="K59" s="170">
        <f t="shared" si="5"/>
        <v>834551.45886963513</v>
      </c>
    </row>
    <row r="60" spans="1:11" ht="15.75" x14ac:dyDescent="0.25">
      <c r="A60" s="162"/>
      <c r="B60" s="277">
        <v>53</v>
      </c>
      <c r="C60" s="278">
        <v>47028</v>
      </c>
      <c r="D60" s="173" t="s">
        <v>505</v>
      </c>
      <c r="E60" s="174">
        <f t="shared" si="4"/>
        <v>30</v>
      </c>
      <c r="F60" s="170">
        <f t="shared" si="6"/>
        <v>834551.45886963513</v>
      </c>
      <c r="G60" s="175">
        <f t="shared" si="2"/>
        <v>4025.6868701732838</v>
      </c>
      <c r="H60" s="170">
        <f t="shared" si="3"/>
        <v>7510.9631298267159</v>
      </c>
      <c r="I60" s="170">
        <v>0</v>
      </c>
      <c r="J60" s="170">
        <v>11536.65</v>
      </c>
      <c r="K60" s="170">
        <f t="shared" si="5"/>
        <v>830525.77199946181</v>
      </c>
    </row>
    <row r="61" spans="1:11" ht="15.75" x14ac:dyDescent="0.25">
      <c r="A61" s="162"/>
      <c r="B61" s="277">
        <v>54</v>
      </c>
      <c r="C61" s="278">
        <v>47059</v>
      </c>
      <c r="D61" s="173" t="s">
        <v>505</v>
      </c>
      <c r="E61" s="174">
        <f t="shared" si="4"/>
        <v>31</v>
      </c>
      <c r="F61" s="170">
        <f t="shared" si="6"/>
        <v>830525.77199946181</v>
      </c>
      <c r="G61" s="175">
        <f t="shared" si="2"/>
        <v>4061.918052004844</v>
      </c>
      <c r="H61" s="170">
        <f t="shared" si="3"/>
        <v>7474.7319479951557</v>
      </c>
      <c r="I61" s="170">
        <v>0</v>
      </c>
      <c r="J61" s="170">
        <v>11536.65</v>
      </c>
      <c r="K61" s="170">
        <f t="shared" si="5"/>
        <v>826463.85394745693</v>
      </c>
    </row>
    <row r="62" spans="1:11" ht="15.75" x14ac:dyDescent="0.25">
      <c r="A62" s="162"/>
      <c r="B62" s="277">
        <v>55</v>
      </c>
      <c r="C62" s="278">
        <v>47089</v>
      </c>
      <c r="D62" s="173" t="s">
        <v>505</v>
      </c>
      <c r="E62" s="174">
        <f t="shared" si="4"/>
        <v>30</v>
      </c>
      <c r="F62" s="170">
        <f t="shared" si="6"/>
        <v>826463.85394745693</v>
      </c>
      <c r="G62" s="175">
        <f t="shared" si="2"/>
        <v>4098.4753144728875</v>
      </c>
      <c r="H62" s="170">
        <f t="shared" si="3"/>
        <v>7438.1746855271122</v>
      </c>
      <c r="I62" s="170">
        <v>0</v>
      </c>
      <c r="J62" s="170">
        <v>11536.65</v>
      </c>
      <c r="K62" s="170">
        <f t="shared" si="5"/>
        <v>822365.37863298401</v>
      </c>
    </row>
    <row r="63" spans="1:11" ht="15.75" x14ac:dyDescent="0.25">
      <c r="A63" s="162"/>
      <c r="B63" s="277">
        <v>56</v>
      </c>
      <c r="C63" s="278">
        <v>47120</v>
      </c>
      <c r="D63" s="173" t="s">
        <v>505</v>
      </c>
      <c r="E63" s="174">
        <f t="shared" si="4"/>
        <v>31</v>
      </c>
      <c r="F63" s="170">
        <f t="shared" si="6"/>
        <v>822365.37863298401</v>
      </c>
      <c r="G63" s="175">
        <f t="shared" si="2"/>
        <v>4135.3615923031439</v>
      </c>
      <c r="H63" s="170">
        <f t="shared" si="3"/>
        <v>7401.2884076968558</v>
      </c>
      <c r="I63" s="170">
        <v>0</v>
      </c>
      <c r="J63" s="170">
        <v>11536.65</v>
      </c>
      <c r="K63" s="170">
        <f t="shared" si="5"/>
        <v>818230.01704068086</v>
      </c>
    </row>
    <row r="64" spans="1:11" ht="15.75" x14ac:dyDescent="0.25">
      <c r="A64" s="162"/>
      <c r="B64" s="277">
        <v>57</v>
      </c>
      <c r="C64" s="278">
        <v>47151</v>
      </c>
      <c r="D64" s="173" t="s">
        <v>505</v>
      </c>
      <c r="E64" s="174">
        <f t="shared" si="4"/>
        <v>31</v>
      </c>
      <c r="F64" s="170">
        <f t="shared" si="6"/>
        <v>818230.01704068086</v>
      </c>
      <c r="G64" s="175">
        <f t="shared" si="2"/>
        <v>4172.5798466338729</v>
      </c>
      <c r="H64" s="170">
        <f t="shared" si="3"/>
        <v>7364.0701533661268</v>
      </c>
      <c r="I64" s="170">
        <v>0</v>
      </c>
      <c r="J64" s="170">
        <v>11536.65</v>
      </c>
      <c r="K64" s="170">
        <f t="shared" si="5"/>
        <v>814057.43719404703</v>
      </c>
    </row>
    <row r="65" spans="1:11" ht="15.75" x14ac:dyDescent="0.25">
      <c r="A65" s="162"/>
      <c r="B65" s="277">
        <v>58</v>
      </c>
      <c r="C65" s="278">
        <v>47179</v>
      </c>
      <c r="D65" s="173" t="s">
        <v>505</v>
      </c>
      <c r="E65" s="174">
        <f t="shared" si="4"/>
        <v>28</v>
      </c>
      <c r="F65" s="170">
        <f t="shared" si="6"/>
        <v>814057.43719404703</v>
      </c>
      <c r="G65" s="175">
        <f t="shared" si="2"/>
        <v>4210.1330652535771</v>
      </c>
      <c r="H65" s="170">
        <f t="shared" si="3"/>
        <v>7326.5169347464225</v>
      </c>
      <c r="I65" s="170">
        <v>0</v>
      </c>
      <c r="J65" s="170">
        <v>11536.65</v>
      </c>
      <c r="K65" s="170">
        <f t="shared" si="5"/>
        <v>809847.30412879342</v>
      </c>
    </row>
    <row r="66" spans="1:11" ht="15.75" x14ac:dyDescent="0.25">
      <c r="A66" s="162"/>
      <c r="B66" s="277">
        <v>59</v>
      </c>
      <c r="C66" s="278">
        <v>47210</v>
      </c>
      <c r="D66" s="173" t="s">
        <v>505</v>
      </c>
      <c r="E66" s="174">
        <f t="shared" si="4"/>
        <v>31</v>
      </c>
      <c r="F66" s="170">
        <f t="shared" si="6"/>
        <v>809847.30412879342</v>
      </c>
      <c r="G66" s="175">
        <f t="shared" si="2"/>
        <v>4248.0242628408596</v>
      </c>
      <c r="H66" s="170">
        <f t="shared" si="3"/>
        <v>7288.62573715914</v>
      </c>
      <c r="I66" s="170">
        <v>0</v>
      </c>
      <c r="J66" s="170">
        <v>11536.65</v>
      </c>
      <c r="K66" s="170">
        <f t="shared" si="5"/>
        <v>805599.27986595256</v>
      </c>
    </row>
    <row r="67" spans="1:11" ht="15.75" x14ac:dyDescent="0.25">
      <c r="A67" s="162"/>
      <c r="B67" s="277">
        <v>60</v>
      </c>
      <c r="C67" s="278">
        <v>47240</v>
      </c>
      <c r="D67" s="173" t="s">
        <v>505</v>
      </c>
      <c r="E67" s="174">
        <f t="shared" si="4"/>
        <v>30</v>
      </c>
      <c r="F67" s="170">
        <f t="shared" si="6"/>
        <v>805599.27986595256</v>
      </c>
      <c r="G67" s="175">
        <f t="shared" si="2"/>
        <v>4286.2564812064275</v>
      </c>
      <c r="H67" s="170">
        <f t="shared" si="3"/>
        <v>7250.3935187935722</v>
      </c>
      <c r="I67" s="170">
        <v>0</v>
      </c>
      <c r="J67" s="170">
        <v>11536.65</v>
      </c>
      <c r="K67" s="170">
        <f t="shared" si="5"/>
        <v>801313.02338474616</v>
      </c>
    </row>
    <row r="68" spans="1:11" ht="15.75" x14ac:dyDescent="0.25">
      <c r="A68" s="162"/>
      <c r="B68" s="277">
        <v>61</v>
      </c>
      <c r="C68" s="278">
        <v>47271</v>
      </c>
      <c r="D68" s="173" t="s">
        <v>505</v>
      </c>
      <c r="E68" s="174">
        <f t="shared" si="4"/>
        <v>31</v>
      </c>
      <c r="F68" s="170">
        <f t="shared" si="6"/>
        <v>801313.02338474616</v>
      </c>
      <c r="G68" s="175">
        <f t="shared" si="2"/>
        <v>4324.832789537285</v>
      </c>
      <c r="H68" s="170">
        <f t="shared" si="3"/>
        <v>7211.8172104627147</v>
      </c>
      <c r="I68" s="170">
        <v>0</v>
      </c>
      <c r="J68" s="170">
        <v>11536.65</v>
      </c>
      <c r="K68" s="170">
        <f t="shared" si="5"/>
        <v>796988.1905952089</v>
      </c>
    </row>
    <row r="69" spans="1:11" ht="15.75" x14ac:dyDescent="0.25">
      <c r="A69" s="162"/>
      <c r="B69" s="277">
        <v>62</v>
      </c>
      <c r="C69" s="278">
        <v>47301</v>
      </c>
      <c r="D69" s="173" t="s">
        <v>505</v>
      </c>
      <c r="E69" s="174">
        <f t="shared" si="4"/>
        <v>30</v>
      </c>
      <c r="F69" s="170">
        <f t="shared" si="6"/>
        <v>796988.1905952089</v>
      </c>
      <c r="G69" s="175">
        <f t="shared" si="2"/>
        <v>4363.7562846431201</v>
      </c>
      <c r="H69" s="170">
        <f t="shared" si="3"/>
        <v>7172.8937153568795</v>
      </c>
      <c r="I69" s="170">
        <v>0</v>
      </c>
      <c r="J69" s="170">
        <v>11536.65</v>
      </c>
      <c r="K69" s="170">
        <f t="shared" si="5"/>
        <v>792624.43431056582</v>
      </c>
    </row>
    <row r="70" spans="1:11" ht="15.75" x14ac:dyDescent="0.25">
      <c r="A70" s="162"/>
      <c r="B70" s="277">
        <v>63</v>
      </c>
      <c r="C70" s="278">
        <v>47332</v>
      </c>
      <c r="D70" s="173" t="s">
        <v>505</v>
      </c>
      <c r="E70" s="174">
        <f t="shared" si="4"/>
        <v>31</v>
      </c>
      <c r="F70" s="170">
        <f t="shared" si="6"/>
        <v>792624.43431056582</v>
      </c>
      <c r="G70" s="175">
        <f t="shared" si="2"/>
        <v>4403.0300912049079</v>
      </c>
      <c r="H70" s="170">
        <f t="shared" si="3"/>
        <v>7133.6199087950918</v>
      </c>
      <c r="I70" s="170">
        <v>0</v>
      </c>
      <c r="J70" s="170">
        <v>11536.65</v>
      </c>
      <c r="K70" s="170">
        <f t="shared" si="5"/>
        <v>788221.40421936091</v>
      </c>
    </row>
    <row r="71" spans="1:11" ht="15.75" x14ac:dyDescent="0.25">
      <c r="A71" s="162"/>
      <c r="B71" s="277">
        <v>64</v>
      </c>
      <c r="C71" s="278">
        <v>47363</v>
      </c>
      <c r="D71" s="173" t="s">
        <v>505</v>
      </c>
      <c r="E71" s="174">
        <f t="shared" si="4"/>
        <v>31</v>
      </c>
      <c r="F71" s="170">
        <f t="shared" si="6"/>
        <v>788221.40421936091</v>
      </c>
      <c r="G71" s="175">
        <f t="shared" si="2"/>
        <v>4442.6573620257523</v>
      </c>
      <c r="H71" s="170">
        <f t="shared" si="3"/>
        <v>7093.9926379742474</v>
      </c>
      <c r="I71" s="170">
        <v>0</v>
      </c>
      <c r="J71" s="170">
        <v>11536.65</v>
      </c>
      <c r="K71" s="170">
        <f t="shared" si="5"/>
        <v>783778.74685733521</v>
      </c>
    </row>
    <row r="72" spans="1:11" ht="15.75" x14ac:dyDescent="0.25">
      <c r="A72" s="162"/>
      <c r="B72" s="277">
        <v>65</v>
      </c>
      <c r="C72" s="278">
        <v>47393</v>
      </c>
      <c r="D72" s="173" t="s">
        <v>505</v>
      </c>
      <c r="E72" s="174">
        <f t="shared" si="4"/>
        <v>30</v>
      </c>
      <c r="F72" s="170">
        <f t="shared" si="6"/>
        <v>783778.74685733521</v>
      </c>
      <c r="G72" s="175">
        <f t="shared" si="2"/>
        <v>4482.6412782839834</v>
      </c>
      <c r="H72" s="170">
        <f t="shared" si="3"/>
        <v>7054.0087217160162</v>
      </c>
      <c r="I72" s="170">
        <v>0</v>
      </c>
      <c r="J72" s="170">
        <v>11536.65</v>
      </c>
      <c r="K72" s="170">
        <f t="shared" si="5"/>
        <v>779296.10557905119</v>
      </c>
    </row>
    <row r="73" spans="1:11" ht="15.75" x14ac:dyDescent="0.25">
      <c r="A73" s="162"/>
      <c r="B73" s="277">
        <v>66</v>
      </c>
      <c r="C73" s="278">
        <v>47424</v>
      </c>
      <c r="D73" s="173" t="s">
        <v>505</v>
      </c>
      <c r="E73" s="174">
        <f t="shared" si="4"/>
        <v>31</v>
      </c>
      <c r="F73" s="170">
        <f t="shared" si="6"/>
        <v>779296.10557905119</v>
      </c>
      <c r="G73" s="175">
        <f t="shared" ref="G73:G136" si="7">+J73-H73-I73</f>
        <v>4522.9850497885391</v>
      </c>
      <c r="H73" s="170">
        <f t="shared" si="3"/>
        <v>7013.6649502114606</v>
      </c>
      <c r="I73" s="170">
        <v>0</v>
      </c>
      <c r="J73" s="170">
        <v>11536.65</v>
      </c>
      <c r="K73" s="170">
        <f t="shared" si="5"/>
        <v>774773.1205292627</v>
      </c>
    </row>
    <row r="74" spans="1:11" ht="15.75" x14ac:dyDescent="0.25">
      <c r="A74" s="162"/>
      <c r="B74" s="277">
        <v>67</v>
      </c>
      <c r="C74" s="278">
        <v>47454</v>
      </c>
      <c r="D74" s="173" t="s">
        <v>505</v>
      </c>
      <c r="E74" s="174">
        <f t="shared" si="4"/>
        <v>30</v>
      </c>
      <c r="F74" s="170">
        <f t="shared" si="6"/>
        <v>774773.1205292627</v>
      </c>
      <c r="G74" s="175">
        <f t="shared" si="7"/>
        <v>4563.6919152366363</v>
      </c>
      <c r="H74" s="170">
        <f t="shared" ref="H74:H137" si="8">+F74*(($H$4))</f>
        <v>6972.9580847633633</v>
      </c>
      <c r="I74" s="170">
        <v>0</v>
      </c>
      <c r="J74" s="170">
        <v>11536.65</v>
      </c>
      <c r="K74" s="170">
        <f t="shared" si="5"/>
        <v>770209.42861402605</v>
      </c>
    </row>
    <row r="75" spans="1:11" ht="15.75" x14ac:dyDescent="0.25">
      <c r="A75" s="162"/>
      <c r="B75" s="277">
        <v>68</v>
      </c>
      <c r="C75" s="278">
        <v>47485</v>
      </c>
      <c r="D75" s="173" t="s">
        <v>505</v>
      </c>
      <c r="E75" s="174">
        <f t="shared" ref="E75:E79" si="9">+C75-C74</f>
        <v>31</v>
      </c>
      <c r="F75" s="170">
        <f t="shared" ref="F75:F79" si="10">+K74</f>
        <v>770209.42861402605</v>
      </c>
      <c r="G75" s="175">
        <f t="shared" si="7"/>
        <v>4604.765142473766</v>
      </c>
      <c r="H75" s="170">
        <f t="shared" si="8"/>
        <v>6931.8848575262336</v>
      </c>
      <c r="I75" s="170">
        <v>0</v>
      </c>
      <c r="J75" s="170">
        <v>11536.65</v>
      </c>
      <c r="K75" s="170">
        <f t="shared" ref="K75:K79" si="11">+F75-G75</f>
        <v>765604.66347155231</v>
      </c>
    </row>
    <row r="76" spans="1:11" ht="15.75" x14ac:dyDescent="0.25">
      <c r="A76" s="162"/>
      <c r="B76" s="277">
        <v>69</v>
      </c>
      <c r="C76" s="278">
        <v>47516</v>
      </c>
      <c r="D76" s="173" t="s">
        <v>505</v>
      </c>
      <c r="E76" s="174">
        <f t="shared" si="9"/>
        <v>31</v>
      </c>
      <c r="F76" s="170">
        <f t="shared" si="10"/>
        <v>765604.66347155231</v>
      </c>
      <c r="G76" s="175">
        <f t="shared" si="7"/>
        <v>4646.2080287560293</v>
      </c>
      <c r="H76" s="170">
        <f t="shared" si="8"/>
        <v>6890.4419712439703</v>
      </c>
      <c r="I76" s="170">
        <v>0</v>
      </c>
      <c r="J76" s="170">
        <v>11536.65</v>
      </c>
      <c r="K76" s="170">
        <f t="shared" si="11"/>
        <v>760958.45544279623</v>
      </c>
    </row>
    <row r="77" spans="1:11" ht="15.75" x14ac:dyDescent="0.25">
      <c r="A77" s="162"/>
      <c r="B77" s="277">
        <v>70</v>
      </c>
      <c r="C77" s="278">
        <v>47544</v>
      </c>
      <c r="D77" s="173" t="s">
        <v>505</v>
      </c>
      <c r="E77" s="174">
        <f t="shared" si="9"/>
        <v>28</v>
      </c>
      <c r="F77" s="170">
        <f t="shared" si="10"/>
        <v>760958.45544279623</v>
      </c>
      <c r="G77" s="175">
        <f t="shared" si="7"/>
        <v>4688.0239010148343</v>
      </c>
      <c r="H77" s="170">
        <f t="shared" si="8"/>
        <v>6848.6260989851653</v>
      </c>
      <c r="I77" s="170">
        <v>0</v>
      </c>
      <c r="J77" s="170">
        <v>11536.65</v>
      </c>
      <c r="K77" s="170">
        <f t="shared" si="11"/>
        <v>756270.43154178141</v>
      </c>
    </row>
    <row r="78" spans="1:11" ht="15.75" x14ac:dyDescent="0.25">
      <c r="A78" s="162"/>
      <c r="B78" s="277">
        <v>71</v>
      </c>
      <c r="C78" s="278">
        <v>47575</v>
      </c>
      <c r="D78" s="173" t="s">
        <v>505</v>
      </c>
      <c r="E78" s="174">
        <f t="shared" si="9"/>
        <v>31</v>
      </c>
      <c r="F78" s="170">
        <f t="shared" si="10"/>
        <v>756270.43154178141</v>
      </c>
      <c r="G78" s="175">
        <f t="shared" si="7"/>
        <v>4730.2161161239674</v>
      </c>
      <c r="H78" s="170">
        <f t="shared" si="8"/>
        <v>6806.4338838760323</v>
      </c>
      <c r="I78" s="170">
        <v>0</v>
      </c>
      <c r="J78" s="170">
        <v>11536.65</v>
      </c>
      <c r="K78" s="170">
        <f t="shared" si="11"/>
        <v>751540.21542565746</v>
      </c>
    </row>
    <row r="79" spans="1:11" ht="15.75" x14ac:dyDescent="0.25">
      <c r="A79" s="162"/>
      <c r="B79" s="277">
        <v>72</v>
      </c>
      <c r="C79" s="278">
        <v>47605</v>
      </c>
      <c r="D79" s="173" t="s">
        <v>505</v>
      </c>
      <c r="E79" s="174">
        <f t="shared" si="9"/>
        <v>30</v>
      </c>
      <c r="F79" s="170">
        <f t="shared" si="10"/>
        <v>751540.21542565746</v>
      </c>
      <c r="G79" s="175">
        <f t="shared" si="7"/>
        <v>4772.7880611690834</v>
      </c>
      <c r="H79" s="170">
        <f t="shared" si="8"/>
        <v>6763.8619388309162</v>
      </c>
      <c r="I79" s="170">
        <v>0</v>
      </c>
      <c r="J79" s="170">
        <v>11536.65</v>
      </c>
      <c r="K79" s="170">
        <f t="shared" si="11"/>
        <v>746767.42736448837</v>
      </c>
    </row>
    <row r="80" spans="1:11" ht="15.75" x14ac:dyDescent="0.25">
      <c r="A80" s="162"/>
      <c r="B80" s="277">
        <v>73</v>
      </c>
      <c r="C80" s="278">
        <v>47636</v>
      </c>
      <c r="D80" s="173" t="s">
        <v>505</v>
      </c>
      <c r="E80" s="174">
        <f t="shared" ref="E80:E135" si="12">+C80-C79</f>
        <v>31</v>
      </c>
      <c r="F80" s="170">
        <f t="shared" ref="F80:F135" si="13">+K79</f>
        <v>746767.42736448837</v>
      </c>
      <c r="G80" s="175">
        <f t="shared" si="7"/>
        <v>4815.7431537196053</v>
      </c>
      <c r="H80" s="170">
        <f t="shared" si="8"/>
        <v>6720.9068462803943</v>
      </c>
      <c r="I80" s="170">
        <v>0</v>
      </c>
      <c r="J80" s="170">
        <v>11536.65</v>
      </c>
      <c r="K80" s="170">
        <f t="shared" ref="K80:K135" si="14">+F80-G80</f>
        <v>741951.68421076878</v>
      </c>
    </row>
    <row r="81" spans="2:11" x14ac:dyDescent="0.2">
      <c r="B81" s="277">
        <v>74</v>
      </c>
      <c r="C81" s="278">
        <v>47666</v>
      </c>
      <c r="D81" s="173" t="s">
        <v>505</v>
      </c>
      <c r="E81" s="174">
        <f t="shared" si="12"/>
        <v>30</v>
      </c>
      <c r="F81" s="170">
        <f t="shared" si="13"/>
        <v>741951.68421076878</v>
      </c>
      <c r="G81" s="175">
        <f t="shared" si="7"/>
        <v>4859.0848421030814</v>
      </c>
      <c r="H81" s="170">
        <f t="shared" si="8"/>
        <v>6677.5651578969182</v>
      </c>
      <c r="I81" s="170">
        <v>0</v>
      </c>
      <c r="J81" s="170">
        <v>11536.65</v>
      </c>
      <c r="K81" s="170">
        <f t="shared" si="14"/>
        <v>737092.59936866572</v>
      </c>
    </row>
    <row r="82" spans="2:11" x14ac:dyDescent="0.2">
      <c r="B82" s="277">
        <v>75</v>
      </c>
      <c r="C82" s="278">
        <v>47697</v>
      </c>
      <c r="D82" s="173" t="s">
        <v>505</v>
      </c>
      <c r="E82" s="174">
        <f t="shared" si="12"/>
        <v>31</v>
      </c>
      <c r="F82" s="170">
        <f t="shared" si="13"/>
        <v>737092.59936866572</v>
      </c>
      <c r="G82" s="175">
        <f t="shared" si="7"/>
        <v>4902.8166056820091</v>
      </c>
      <c r="H82" s="170">
        <f t="shared" si="8"/>
        <v>6633.8333943179905</v>
      </c>
      <c r="I82" s="170">
        <v>0</v>
      </c>
      <c r="J82" s="170">
        <v>11536.65</v>
      </c>
      <c r="K82" s="170">
        <f t="shared" si="14"/>
        <v>732189.7827629837</v>
      </c>
    </row>
    <row r="83" spans="2:11" x14ac:dyDescent="0.2">
      <c r="B83" s="277">
        <v>76</v>
      </c>
      <c r="C83" s="278">
        <v>47728</v>
      </c>
      <c r="D83" s="173" t="s">
        <v>505</v>
      </c>
      <c r="E83" s="174">
        <f t="shared" si="12"/>
        <v>31</v>
      </c>
      <c r="F83" s="170">
        <f t="shared" si="13"/>
        <v>732189.7827629837</v>
      </c>
      <c r="G83" s="175">
        <f t="shared" si="7"/>
        <v>4946.9419551331466</v>
      </c>
      <c r="H83" s="170">
        <f t="shared" si="8"/>
        <v>6589.708044866853</v>
      </c>
      <c r="I83" s="170">
        <v>0</v>
      </c>
      <c r="J83" s="170">
        <v>11536.65</v>
      </c>
      <c r="K83" s="170">
        <f t="shared" si="14"/>
        <v>727242.84080785059</v>
      </c>
    </row>
    <row r="84" spans="2:11" x14ac:dyDescent="0.2">
      <c r="B84" s="277">
        <v>77</v>
      </c>
      <c r="C84" s="278">
        <v>47758</v>
      </c>
      <c r="D84" s="173" t="s">
        <v>505</v>
      </c>
      <c r="E84" s="174">
        <f t="shared" si="12"/>
        <v>30</v>
      </c>
      <c r="F84" s="170">
        <f t="shared" si="13"/>
        <v>727242.84080785059</v>
      </c>
      <c r="G84" s="175">
        <f t="shared" si="7"/>
        <v>4991.4644327293445</v>
      </c>
      <c r="H84" s="170">
        <f t="shared" si="8"/>
        <v>6545.1855672706552</v>
      </c>
      <c r="I84" s="170">
        <v>0</v>
      </c>
      <c r="J84" s="170">
        <v>11536.65</v>
      </c>
      <c r="K84" s="170">
        <f t="shared" si="14"/>
        <v>722251.3763751213</v>
      </c>
    </row>
    <row r="85" spans="2:11" x14ac:dyDescent="0.2">
      <c r="B85" s="277">
        <v>78</v>
      </c>
      <c r="C85" s="278">
        <v>47789</v>
      </c>
      <c r="D85" s="173" t="s">
        <v>505</v>
      </c>
      <c r="E85" s="174">
        <f t="shared" si="12"/>
        <v>31</v>
      </c>
      <c r="F85" s="170">
        <f t="shared" si="13"/>
        <v>722251.3763751213</v>
      </c>
      <c r="G85" s="175">
        <f t="shared" si="7"/>
        <v>5036.3876126239084</v>
      </c>
      <c r="H85" s="170">
        <f t="shared" si="8"/>
        <v>6500.2623873760913</v>
      </c>
      <c r="I85" s="170">
        <v>0</v>
      </c>
      <c r="J85" s="170">
        <v>11536.65</v>
      </c>
      <c r="K85" s="170">
        <f t="shared" si="14"/>
        <v>717214.98876249744</v>
      </c>
    </row>
    <row r="86" spans="2:11" x14ac:dyDescent="0.2">
      <c r="B86" s="277">
        <v>79</v>
      </c>
      <c r="C86" s="278">
        <v>47819</v>
      </c>
      <c r="D86" s="173" t="s">
        <v>505</v>
      </c>
      <c r="E86" s="174">
        <f t="shared" si="12"/>
        <v>30</v>
      </c>
      <c r="F86" s="170">
        <f t="shared" si="13"/>
        <v>717214.98876249744</v>
      </c>
      <c r="G86" s="175">
        <f t="shared" si="7"/>
        <v>5081.7151011375236</v>
      </c>
      <c r="H86" s="170">
        <f t="shared" si="8"/>
        <v>6454.9348988624761</v>
      </c>
      <c r="I86" s="170">
        <v>0</v>
      </c>
      <c r="J86" s="170">
        <v>11536.65</v>
      </c>
      <c r="K86" s="170">
        <f t="shared" si="14"/>
        <v>712133.27366135991</v>
      </c>
    </row>
    <row r="87" spans="2:11" x14ac:dyDescent="0.2">
      <c r="B87" s="277">
        <v>80</v>
      </c>
      <c r="C87" s="278">
        <v>47850</v>
      </c>
      <c r="D87" s="173" t="s">
        <v>505</v>
      </c>
      <c r="E87" s="174">
        <f t="shared" si="12"/>
        <v>31</v>
      </c>
      <c r="F87" s="170">
        <f t="shared" si="13"/>
        <v>712133.27366135991</v>
      </c>
      <c r="G87" s="175">
        <f t="shared" si="7"/>
        <v>5127.4505370477609</v>
      </c>
      <c r="H87" s="170">
        <f t="shared" si="8"/>
        <v>6409.1994629522387</v>
      </c>
      <c r="I87" s="170">
        <v>0</v>
      </c>
      <c r="J87" s="170">
        <v>11536.65</v>
      </c>
      <c r="K87" s="170">
        <f t="shared" si="14"/>
        <v>707005.8231243121</v>
      </c>
    </row>
    <row r="88" spans="2:11" x14ac:dyDescent="0.2">
      <c r="B88" s="277">
        <v>81</v>
      </c>
      <c r="C88" s="278">
        <v>47881</v>
      </c>
      <c r="D88" s="173" t="s">
        <v>505</v>
      </c>
      <c r="E88" s="174">
        <f t="shared" si="12"/>
        <v>31</v>
      </c>
      <c r="F88" s="170">
        <f t="shared" si="13"/>
        <v>707005.8231243121</v>
      </c>
      <c r="G88" s="175">
        <f t="shared" si="7"/>
        <v>5173.597591881191</v>
      </c>
      <c r="H88" s="170">
        <f t="shared" si="8"/>
        <v>6363.0524081188087</v>
      </c>
      <c r="I88" s="170">
        <v>0</v>
      </c>
      <c r="J88" s="170">
        <v>11536.65</v>
      </c>
      <c r="K88" s="170">
        <f t="shared" si="14"/>
        <v>701832.22553243092</v>
      </c>
    </row>
    <row r="89" spans="2:11" x14ac:dyDescent="0.2">
      <c r="B89" s="277">
        <v>82</v>
      </c>
      <c r="C89" s="278">
        <v>47909</v>
      </c>
      <c r="D89" s="173" t="s">
        <v>505</v>
      </c>
      <c r="E89" s="174">
        <f t="shared" si="12"/>
        <v>28</v>
      </c>
      <c r="F89" s="170">
        <f t="shared" si="13"/>
        <v>701832.22553243092</v>
      </c>
      <c r="G89" s="175">
        <f t="shared" si="7"/>
        <v>5220.1599702081221</v>
      </c>
      <c r="H89" s="170">
        <f t="shared" si="8"/>
        <v>6316.4900297918775</v>
      </c>
      <c r="I89" s="170">
        <v>0</v>
      </c>
      <c r="J89" s="170">
        <v>11536.65</v>
      </c>
      <c r="K89" s="170">
        <f t="shared" si="14"/>
        <v>696612.06556222285</v>
      </c>
    </row>
    <row r="90" spans="2:11" x14ac:dyDescent="0.2">
      <c r="B90" s="277">
        <v>83</v>
      </c>
      <c r="C90" s="278">
        <v>47940</v>
      </c>
      <c r="D90" s="173" t="s">
        <v>505</v>
      </c>
      <c r="E90" s="174">
        <f t="shared" si="12"/>
        <v>31</v>
      </c>
      <c r="F90" s="170">
        <f t="shared" si="13"/>
        <v>696612.06556222285</v>
      </c>
      <c r="G90" s="175">
        <f t="shared" si="7"/>
        <v>5267.1414099399944</v>
      </c>
      <c r="H90" s="170">
        <f t="shared" si="8"/>
        <v>6269.5085900600052</v>
      </c>
      <c r="I90" s="170">
        <v>0</v>
      </c>
      <c r="J90" s="170">
        <v>11536.65</v>
      </c>
      <c r="K90" s="170">
        <f t="shared" si="14"/>
        <v>691344.92415228288</v>
      </c>
    </row>
    <row r="91" spans="2:11" x14ac:dyDescent="0.2">
      <c r="B91" s="277">
        <v>84</v>
      </c>
      <c r="C91" s="278">
        <v>47970</v>
      </c>
      <c r="D91" s="173" t="s">
        <v>505</v>
      </c>
      <c r="E91" s="174">
        <f t="shared" si="12"/>
        <v>30</v>
      </c>
      <c r="F91" s="170">
        <f t="shared" si="13"/>
        <v>691344.92415228288</v>
      </c>
      <c r="G91" s="175">
        <f t="shared" si="7"/>
        <v>5314.5456826294539</v>
      </c>
      <c r="H91" s="170">
        <f t="shared" si="8"/>
        <v>6222.1043173705457</v>
      </c>
      <c r="I91" s="170">
        <v>0</v>
      </c>
      <c r="J91" s="170">
        <v>11536.65</v>
      </c>
      <c r="K91" s="170">
        <f t="shared" si="14"/>
        <v>686030.37846965343</v>
      </c>
    </row>
    <row r="92" spans="2:11" x14ac:dyDescent="0.2">
      <c r="B92" s="277">
        <v>85</v>
      </c>
      <c r="C92" s="278">
        <v>48001</v>
      </c>
      <c r="D92" s="173" t="s">
        <v>505</v>
      </c>
      <c r="E92" s="174">
        <f t="shared" si="12"/>
        <v>31</v>
      </c>
      <c r="F92" s="170">
        <f t="shared" si="13"/>
        <v>686030.37846965343</v>
      </c>
      <c r="G92" s="175">
        <f t="shared" si="7"/>
        <v>5362.3765937731196</v>
      </c>
      <c r="H92" s="170">
        <f t="shared" si="8"/>
        <v>6174.2734062268801</v>
      </c>
      <c r="I92" s="170">
        <v>0</v>
      </c>
      <c r="J92" s="170">
        <v>11536.65</v>
      </c>
      <c r="K92" s="170">
        <f t="shared" si="14"/>
        <v>680668.00187588029</v>
      </c>
    </row>
    <row r="93" spans="2:11" x14ac:dyDescent="0.2">
      <c r="B93" s="277">
        <v>86</v>
      </c>
      <c r="C93" s="278">
        <v>48031</v>
      </c>
      <c r="D93" s="173" t="s">
        <v>505</v>
      </c>
      <c r="E93" s="174">
        <f t="shared" si="12"/>
        <v>30</v>
      </c>
      <c r="F93" s="170">
        <f t="shared" si="13"/>
        <v>680668.00187588029</v>
      </c>
      <c r="G93" s="175">
        <f t="shared" si="7"/>
        <v>5410.6379831170771</v>
      </c>
      <c r="H93" s="170">
        <f t="shared" si="8"/>
        <v>6126.0120168829226</v>
      </c>
      <c r="I93" s="170">
        <v>0</v>
      </c>
      <c r="J93" s="170">
        <v>11536.65</v>
      </c>
      <c r="K93" s="170">
        <f t="shared" si="14"/>
        <v>675257.36389276327</v>
      </c>
    </row>
    <row r="94" spans="2:11" x14ac:dyDescent="0.2">
      <c r="B94" s="277">
        <v>87</v>
      </c>
      <c r="C94" s="278">
        <v>48062</v>
      </c>
      <c r="D94" s="173" t="s">
        <v>505</v>
      </c>
      <c r="E94" s="174">
        <f t="shared" si="12"/>
        <v>31</v>
      </c>
      <c r="F94" s="170">
        <f t="shared" si="13"/>
        <v>675257.36389276327</v>
      </c>
      <c r="G94" s="175">
        <f t="shared" si="7"/>
        <v>5459.3337249651304</v>
      </c>
      <c r="H94" s="170">
        <f t="shared" si="8"/>
        <v>6077.3162750348692</v>
      </c>
      <c r="I94" s="170">
        <v>0</v>
      </c>
      <c r="J94" s="170">
        <v>11536.65</v>
      </c>
      <c r="K94" s="170">
        <f t="shared" si="14"/>
        <v>669798.03016779816</v>
      </c>
    </row>
    <row r="95" spans="2:11" x14ac:dyDescent="0.2">
      <c r="B95" s="277">
        <v>88</v>
      </c>
      <c r="C95" s="278">
        <v>48093</v>
      </c>
      <c r="D95" s="173" t="s">
        <v>505</v>
      </c>
      <c r="E95" s="174">
        <f t="shared" si="12"/>
        <v>31</v>
      </c>
      <c r="F95" s="170">
        <f t="shared" si="13"/>
        <v>669798.03016779816</v>
      </c>
      <c r="G95" s="175">
        <f t="shared" si="7"/>
        <v>5508.4677284898162</v>
      </c>
      <c r="H95" s="170">
        <f t="shared" si="8"/>
        <v>6028.1822715101835</v>
      </c>
      <c r="I95" s="170">
        <v>0</v>
      </c>
      <c r="J95" s="170">
        <v>11536.65</v>
      </c>
      <c r="K95" s="170">
        <f t="shared" si="14"/>
        <v>664289.56243930839</v>
      </c>
    </row>
    <row r="96" spans="2:11" x14ac:dyDescent="0.2">
      <c r="B96" s="277">
        <v>89</v>
      </c>
      <c r="C96" s="278">
        <v>48123</v>
      </c>
      <c r="D96" s="173" t="s">
        <v>505</v>
      </c>
      <c r="E96" s="174">
        <f t="shared" si="12"/>
        <v>30</v>
      </c>
      <c r="F96" s="170">
        <f t="shared" si="13"/>
        <v>664289.56243930839</v>
      </c>
      <c r="G96" s="175">
        <f t="shared" si="7"/>
        <v>5558.0439380462249</v>
      </c>
      <c r="H96" s="170">
        <f t="shared" si="8"/>
        <v>5978.6060619537748</v>
      </c>
      <c r="I96" s="170">
        <v>0</v>
      </c>
      <c r="J96" s="170">
        <v>11536.65</v>
      </c>
      <c r="K96" s="170">
        <f t="shared" si="14"/>
        <v>658731.51850126218</v>
      </c>
    </row>
    <row r="97" spans="2:11" x14ac:dyDescent="0.2">
      <c r="B97" s="277">
        <v>90</v>
      </c>
      <c r="C97" s="278">
        <v>48154</v>
      </c>
      <c r="D97" s="173" t="s">
        <v>505</v>
      </c>
      <c r="E97" s="174">
        <f t="shared" si="12"/>
        <v>31</v>
      </c>
      <c r="F97" s="170">
        <f t="shared" si="13"/>
        <v>658731.51850126218</v>
      </c>
      <c r="G97" s="175">
        <f t="shared" si="7"/>
        <v>5608.0663334886403</v>
      </c>
      <c r="H97" s="170">
        <f t="shared" si="8"/>
        <v>5928.5836665113593</v>
      </c>
      <c r="I97" s="170">
        <v>0</v>
      </c>
      <c r="J97" s="170">
        <v>11536.65</v>
      </c>
      <c r="K97" s="170">
        <f t="shared" si="14"/>
        <v>653123.4521677735</v>
      </c>
    </row>
    <row r="98" spans="2:11" x14ac:dyDescent="0.2">
      <c r="B98" s="277">
        <v>91</v>
      </c>
      <c r="C98" s="278">
        <v>48184</v>
      </c>
      <c r="D98" s="173" t="s">
        <v>505</v>
      </c>
      <c r="E98" s="174">
        <f t="shared" si="12"/>
        <v>30</v>
      </c>
      <c r="F98" s="170">
        <f t="shared" si="13"/>
        <v>653123.4521677735</v>
      </c>
      <c r="G98" s="175">
        <f t="shared" si="7"/>
        <v>5658.5389304900382</v>
      </c>
      <c r="H98" s="170">
        <f t="shared" si="8"/>
        <v>5878.1110695099615</v>
      </c>
      <c r="I98" s="170">
        <v>0</v>
      </c>
      <c r="J98" s="170">
        <v>11536.65</v>
      </c>
      <c r="K98" s="170">
        <f t="shared" si="14"/>
        <v>647464.91323728347</v>
      </c>
    </row>
    <row r="99" spans="2:11" x14ac:dyDescent="0.2">
      <c r="B99" s="277">
        <v>92</v>
      </c>
      <c r="C99" s="278">
        <v>48215</v>
      </c>
      <c r="D99" s="173" t="s">
        <v>505</v>
      </c>
      <c r="E99" s="174">
        <f t="shared" si="12"/>
        <v>31</v>
      </c>
      <c r="F99" s="170">
        <f t="shared" si="13"/>
        <v>647464.91323728347</v>
      </c>
      <c r="G99" s="175">
        <f t="shared" si="7"/>
        <v>5709.4657808644488</v>
      </c>
      <c r="H99" s="170">
        <f t="shared" si="8"/>
        <v>5827.1842191355508</v>
      </c>
      <c r="I99" s="170">
        <v>0</v>
      </c>
      <c r="J99" s="170">
        <v>11536.65</v>
      </c>
      <c r="K99" s="170">
        <f t="shared" si="14"/>
        <v>641755.447456419</v>
      </c>
    </row>
    <row r="100" spans="2:11" x14ac:dyDescent="0.2">
      <c r="B100" s="277">
        <v>93</v>
      </c>
      <c r="C100" s="278">
        <v>48246</v>
      </c>
      <c r="D100" s="173" t="s">
        <v>505</v>
      </c>
      <c r="E100" s="174">
        <f t="shared" si="12"/>
        <v>31</v>
      </c>
      <c r="F100" s="170">
        <f t="shared" si="13"/>
        <v>641755.447456419</v>
      </c>
      <c r="G100" s="175">
        <f t="shared" si="7"/>
        <v>5760.850972892229</v>
      </c>
      <c r="H100" s="170">
        <f t="shared" si="8"/>
        <v>5775.7990271077706</v>
      </c>
      <c r="I100" s="170">
        <v>0</v>
      </c>
      <c r="J100" s="170">
        <v>11536.65</v>
      </c>
      <c r="K100" s="170">
        <f t="shared" si="14"/>
        <v>635994.59648352675</v>
      </c>
    </row>
    <row r="101" spans="2:11" x14ac:dyDescent="0.2">
      <c r="B101" s="277">
        <v>94</v>
      </c>
      <c r="C101" s="278">
        <v>48275</v>
      </c>
      <c r="D101" s="173" t="s">
        <v>505</v>
      </c>
      <c r="E101" s="174">
        <f t="shared" si="12"/>
        <v>29</v>
      </c>
      <c r="F101" s="170">
        <f t="shared" si="13"/>
        <v>635994.59648352675</v>
      </c>
      <c r="G101" s="175">
        <f t="shared" si="7"/>
        <v>5812.6986316482589</v>
      </c>
      <c r="H101" s="170">
        <f t="shared" si="8"/>
        <v>5723.9513683517407</v>
      </c>
      <c r="I101" s="170">
        <v>0</v>
      </c>
      <c r="J101" s="170">
        <v>11536.65</v>
      </c>
      <c r="K101" s="170">
        <f t="shared" si="14"/>
        <v>630181.89785187854</v>
      </c>
    </row>
    <row r="102" spans="2:11" x14ac:dyDescent="0.2">
      <c r="B102" s="277">
        <v>95</v>
      </c>
      <c r="C102" s="278">
        <v>48306</v>
      </c>
      <c r="D102" s="173" t="s">
        <v>505</v>
      </c>
      <c r="E102" s="174">
        <f t="shared" si="12"/>
        <v>31</v>
      </c>
      <c r="F102" s="170">
        <f t="shared" si="13"/>
        <v>630181.89785187854</v>
      </c>
      <c r="G102" s="175">
        <f t="shared" si="7"/>
        <v>5865.0129193330931</v>
      </c>
      <c r="H102" s="170">
        <f t="shared" si="8"/>
        <v>5671.6370806669065</v>
      </c>
      <c r="I102" s="170">
        <v>0</v>
      </c>
      <c r="J102" s="170">
        <v>11536.65</v>
      </c>
      <c r="K102" s="170">
        <f t="shared" si="14"/>
        <v>624316.88493254548</v>
      </c>
    </row>
    <row r="103" spans="2:11" x14ac:dyDescent="0.2">
      <c r="B103" s="277">
        <v>96</v>
      </c>
      <c r="C103" s="278">
        <v>48336</v>
      </c>
      <c r="D103" s="173" t="s">
        <v>505</v>
      </c>
      <c r="E103" s="174">
        <f t="shared" si="12"/>
        <v>30</v>
      </c>
      <c r="F103" s="170">
        <f t="shared" si="13"/>
        <v>624316.88493254548</v>
      </c>
      <c r="G103" s="175">
        <f t="shared" si="7"/>
        <v>5917.7980356070912</v>
      </c>
      <c r="H103" s="170">
        <f t="shared" si="8"/>
        <v>5618.8519643929085</v>
      </c>
      <c r="I103" s="170">
        <v>0</v>
      </c>
      <c r="J103" s="170">
        <v>11536.65</v>
      </c>
      <c r="K103" s="170">
        <f t="shared" si="14"/>
        <v>618399.08689693839</v>
      </c>
    </row>
    <row r="104" spans="2:11" x14ac:dyDescent="0.2">
      <c r="B104" s="277">
        <v>97</v>
      </c>
      <c r="C104" s="278">
        <v>48367</v>
      </c>
      <c r="D104" s="173" t="s">
        <v>505</v>
      </c>
      <c r="E104" s="174">
        <f t="shared" si="12"/>
        <v>31</v>
      </c>
      <c r="F104" s="170">
        <f t="shared" si="13"/>
        <v>618399.08689693839</v>
      </c>
      <c r="G104" s="175">
        <f t="shared" si="7"/>
        <v>5971.0582179275543</v>
      </c>
      <c r="H104" s="170">
        <f t="shared" si="8"/>
        <v>5565.5917820724453</v>
      </c>
      <c r="I104" s="170">
        <v>0</v>
      </c>
      <c r="J104" s="170">
        <v>11536.65</v>
      </c>
      <c r="K104" s="170">
        <f t="shared" si="14"/>
        <v>612428.02867901081</v>
      </c>
    </row>
    <row r="105" spans="2:11" x14ac:dyDescent="0.2">
      <c r="B105" s="277">
        <v>98</v>
      </c>
      <c r="C105" s="278">
        <v>48397</v>
      </c>
      <c r="D105" s="173" t="s">
        <v>505</v>
      </c>
      <c r="E105" s="174">
        <f t="shared" si="12"/>
        <v>30</v>
      </c>
      <c r="F105" s="170">
        <f t="shared" si="13"/>
        <v>612428.02867901081</v>
      </c>
      <c r="G105" s="175">
        <f t="shared" si="7"/>
        <v>6024.7977418889031</v>
      </c>
      <c r="H105" s="170">
        <f t="shared" si="8"/>
        <v>5511.8522581110965</v>
      </c>
      <c r="I105" s="170">
        <v>0</v>
      </c>
      <c r="J105" s="170">
        <v>11536.65</v>
      </c>
      <c r="K105" s="170">
        <f t="shared" si="14"/>
        <v>606403.2309371219</v>
      </c>
    </row>
    <row r="106" spans="2:11" x14ac:dyDescent="0.2">
      <c r="B106" s="277">
        <v>99</v>
      </c>
      <c r="C106" s="278">
        <v>48428</v>
      </c>
      <c r="D106" s="173" t="s">
        <v>505</v>
      </c>
      <c r="E106" s="174">
        <f t="shared" si="12"/>
        <v>31</v>
      </c>
      <c r="F106" s="170">
        <f t="shared" si="13"/>
        <v>606403.2309371219</v>
      </c>
      <c r="G106" s="175">
        <f t="shared" si="7"/>
        <v>6079.0209215659033</v>
      </c>
      <c r="H106" s="170">
        <f t="shared" si="8"/>
        <v>5457.6290784340963</v>
      </c>
      <c r="I106" s="170">
        <v>0</v>
      </c>
      <c r="J106" s="170">
        <v>11536.65</v>
      </c>
      <c r="K106" s="170">
        <f t="shared" si="14"/>
        <v>600324.21001555596</v>
      </c>
    </row>
    <row r="107" spans="2:11" x14ac:dyDescent="0.2">
      <c r="B107" s="277">
        <v>100</v>
      </c>
      <c r="C107" s="278">
        <v>48459</v>
      </c>
      <c r="D107" s="173" t="s">
        <v>505</v>
      </c>
      <c r="E107" s="174">
        <f t="shared" si="12"/>
        <v>31</v>
      </c>
      <c r="F107" s="170">
        <f t="shared" si="13"/>
        <v>600324.21001555596</v>
      </c>
      <c r="G107" s="175">
        <f t="shared" si="7"/>
        <v>6133.7321098599969</v>
      </c>
      <c r="H107" s="170">
        <f t="shared" si="8"/>
        <v>5402.9178901400028</v>
      </c>
      <c r="I107" s="170">
        <v>0</v>
      </c>
      <c r="J107" s="170">
        <v>11536.65</v>
      </c>
      <c r="K107" s="170">
        <f t="shared" si="14"/>
        <v>594190.47790569591</v>
      </c>
    </row>
    <row r="108" spans="2:11" x14ac:dyDescent="0.2">
      <c r="B108" s="277">
        <v>101</v>
      </c>
      <c r="C108" s="278">
        <v>48489</v>
      </c>
      <c r="D108" s="173" t="s">
        <v>505</v>
      </c>
      <c r="E108" s="174">
        <f t="shared" si="12"/>
        <v>30</v>
      </c>
      <c r="F108" s="170">
        <f t="shared" si="13"/>
        <v>594190.47790569591</v>
      </c>
      <c r="G108" s="175">
        <f t="shared" si="7"/>
        <v>6188.935698848737</v>
      </c>
      <c r="H108" s="170">
        <f t="shared" si="8"/>
        <v>5347.7143011512626</v>
      </c>
      <c r="I108" s="170">
        <v>0</v>
      </c>
      <c r="J108" s="170">
        <v>11536.65</v>
      </c>
      <c r="K108" s="170">
        <f t="shared" si="14"/>
        <v>588001.54220684723</v>
      </c>
    </row>
    <row r="109" spans="2:11" x14ac:dyDescent="0.2">
      <c r="B109" s="277">
        <v>102</v>
      </c>
      <c r="C109" s="278">
        <v>48520</v>
      </c>
      <c r="D109" s="173" t="s">
        <v>505</v>
      </c>
      <c r="E109" s="174">
        <f t="shared" si="12"/>
        <v>31</v>
      </c>
      <c r="F109" s="170">
        <f t="shared" si="13"/>
        <v>588001.54220684723</v>
      </c>
      <c r="G109" s="175">
        <f t="shared" si="7"/>
        <v>6244.6361201383752</v>
      </c>
      <c r="H109" s="170">
        <f t="shared" si="8"/>
        <v>5292.0138798616244</v>
      </c>
      <c r="I109" s="170">
        <v>0</v>
      </c>
      <c r="J109" s="170">
        <v>11536.65</v>
      </c>
      <c r="K109" s="170">
        <f t="shared" si="14"/>
        <v>581756.90608670888</v>
      </c>
    </row>
    <row r="110" spans="2:11" x14ac:dyDescent="0.2">
      <c r="B110" s="277">
        <v>103</v>
      </c>
      <c r="C110" s="278">
        <v>48550</v>
      </c>
      <c r="D110" s="173" t="s">
        <v>505</v>
      </c>
      <c r="E110" s="174">
        <f t="shared" si="12"/>
        <v>30</v>
      </c>
      <c r="F110" s="170">
        <f t="shared" si="13"/>
        <v>581756.90608670888</v>
      </c>
      <c r="G110" s="175">
        <f t="shared" si="7"/>
        <v>6300.8378452196202</v>
      </c>
      <c r="H110" s="170">
        <f t="shared" si="8"/>
        <v>5235.8121547803794</v>
      </c>
      <c r="I110" s="170">
        <v>0</v>
      </c>
      <c r="J110" s="170">
        <v>11536.65</v>
      </c>
      <c r="K110" s="170">
        <f t="shared" si="14"/>
        <v>575456.06824148924</v>
      </c>
    </row>
    <row r="111" spans="2:11" x14ac:dyDescent="0.2">
      <c r="B111" s="277">
        <v>104</v>
      </c>
      <c r="C111" s="278">
        <v>48581</v>
      </c>
      <c r="D111" s="173" t="s">
        <v>505</v>
      </c>
      <c r="E111" s="174">
        <f t="shared" si="12"/>
        <v>31</v>
      </c>
      <c r="F111" s="170">
        <f t="shared" si="13"/>
        <v>575456.06824148924</v>
      </c>
      <c r="G111" s="175">
        <f t="shared" si="7"/>
        <v>6357.5453858265973</v>
      </c>
      <c r="H111" s="170">
        <f t="shared" si="8"/>
        <v>5179.1046141734023</v>
      </c>
      <c r="I111" s="170">
        <v>0</v>
      </c>
      <c r="J111" s="170">
        <v>11536.65</v>
      </c>
      <c r="K111" s="170">
        <f t="shared" si="14"/>
        <v>569098.52285566262</v>
      </c>
    </row>
    <row r="112" spans="2:11" x14ac:dyDescent="0.2">
      <c r="B112" s="277">
        <v>105</v>
      </c>
      <c r="C112" s="278">
        <v>48612</v>
      </c>
      <c r="D112" s="173" t="s">
        <v>505</v>
      </c>
      <c r="E112" s="174">
        <f t="shared" si="12"/>
        <v>31</v>
      </c>
      <c r="F112" s="170">
        <f t="shared" si="13"/>
        <v>569098.52285566262</v>
      </c>
      <c r="G112" s="175">
        <f t="shared" si="7"/>
        <v>6414.7632942990367</v>
      </c>
      <c r="H112" s="170">
        <f t="shared" si="8"/>
        <v>5121.8867057009629</v>
      </c>
      <c r="I112" s="170">
        <v>0</v>
      </c>
      <c r="J112" s="170">
        <v>11536.65</v>
      </c>
      <c r="K112" s="170">
        <f t="shared" si="14"/>
        <v>562683.75956136361</v>
      </c>
    </row>
    <row r="113" spans="2:11" x14ac:dyDescent="0.2">
      <c r="B113" s="277">
        <v>106</v>
      </c>
      <c r="C113" s="278">
        <v>48640</v>
      </c>
      <c r="D113" s="173" t="s">
        <v>505</v>
      </c>
      <c r="E113" s="174">
        <f t="shared" si="12"/>
        <v>28</v>
      </c>
      <c r="F113" s="170">
        <f t="shared" si="13"/>
        <v>562683.75956136361</v>
      </c>
      <c r="G113" s="175">
        <f t="shared" si="7"/>
        <v>6472.4961639477278</v>
      </c>
      <c r="H113" s="170">
        <f t="shared" si="8"/>
        <v>5064.1538360522718</v>
      </c>
      <c r="I113" s="170">
        <v>0</v>
      </c>
      <c r="J113" s="170">
        <v>11536.65</v>
      </c>
      <c r="K113" s="170">
        <f t="shared" si="14"/>
        <v>556211.26339741587</v>
      </c>
    </row>
    <row r="114" spans="2:11" x14ac:dyDescent="0.2">
      <c r="B114" s="277">
        <v>107</v>
      </c>
      <c r="C114" s="278">
        <v>48671</v>
      </c>
      <c r="D114" s="173" t="s">
        <v>505</v>
      </c>
      <c r="E114" s="174">
        <f t="shared" si="12"/>
        <v>31</v>
      </c>
      <c r="F114" s="170">
        <f t="shared" si="13"/>
        <v>556211.26339741587</v>
      </c>
      <c r="G114" s="175">
        <f t="shared" si="7"/>
        <v>6530.7486294232576</v>
      </c>
      <c r="H114" s="170">
        <f t="shared" si="8"/>
        <v>5005.901370576742</v>
      </c>
      <c r="I114" s="170">
        <v>0</v>
      </c>
      <c r="J114" s="170">
        <v>11536.65</v>
      </c>
      <c r="K114" s="170">
        <f t="shared" si="14"/>
        <v>549680.51476799266</v>
      </c>
    </row>
    <row r="115" spans="2:11" x14ac:dyDescent="0.2">
      <c r="B115" s="277">
        <v>108</v>
      </c>
      <c r="C115" s="278">
        <v>48701</v>
      </c>
      <c r="D115" s="173" t="s">
        <v>505</v>
      </c>
      <c r="E115" s="174">
        <f t="shared" si="12"/>
        <v>30</v>
      </c>
      <c r="F115" s="170">
        <f t="shared" si="13"/>
        <v>549680.51476799266</v>
      </c>
      <c r="G115" s="175">
        <f t="shared" si="7"/>
        <v>6589.5253670880657</v>
      </c>
      <c r="H115" s="170">
        <f t="shared" si="8"/>
        <v>4947.124632911934</v>
      </c>
      <c r="I115" s="170">
        <v>0</v>
      </c>
      <c r="J115" s="170">
        <v>11536.65</v>
      </c>
      <c r="K115" s="170">
        <f t="shared" si="14"/>
        <v>543090.98940090463</v>
      </c>
    </row>
    <row r="116" spans="2:11" x14ac:dyDescent="0.2">
      <c r="B116" s="277">
        <v>109</v>
      </c>
      <c r="C116" s="278">
        <v>48732</v>
      </c>
      <c r="D116" s="173" t="s">
        <v>505</v>
      </c>
      <c r="E116" s="174">
        <f t="shared" si="12"/>
        <v>31</v>
      </c>
      <c r="F116" s="170">
        <f t="shared" si="13"/>
        <v>543090.98940090463</v>
      </c>
      <c r="G116" s="175">
        <f t="shared" si="7"/>
        <v>6648.8310953918581</v>
      </c>
      <c r="H116" s="170">
        <f t="shared" si="8"/>
        <v>4887.8189046081416</v>
      </c>
      <c r="I116" s="170">
        <v>0</v>
      </c>
      <c r="J116" s="170">
        <v>11536.65</v>
      </c>
      <c r="K116" s="170">
        <f t="shared" si="14"/>
        <v>536442.15830551274</v>
      </c>
    </row>
    <row r="117" spans="2:11" x14ac:dyDescent="0.2">
      <c r="B117" s="277">
        <v>110</v>
      </c>
      <c r="C117" s="278">
        <v>48762</v>
      </c>
      <c r="D117" s="173" t="s">
        <v>505</v>
      </c>
      <c r="E117" s="174">
        <f t="shared" si="12"/>
        <v>30</v>
      </c>
      <c r="F117" s="170">
        <f t="shared" si="13"/>
        <v>536442.15830551274</v>
      </c>
      <c r="G117" s="175">
        <f t="shared" si="7"/>
        <v>6708.6705752503849</v>
      </c>
      <c r="H117" s="170">
        <f t="shared" si="8"/>
        <v>4827.9794247496147</v>
      </c>
      <c r="I117" s="170">
        <v>0</v>
      </c>
      <c r="J117" s="170">
        <v>11536.65</v>
      </c>
      <c r="K117" s="170">
        <f t="shared" si="14"/>
        <v>529733.48773026234</v>
      </c>
    </row>
    <row r="118" spans="2:11" x14ac:dyDescent="0.2">
      <c r="B118" s="277">
        <v>111</v>
      </c>
      <c r="C118" s="278">
        <v>48793</v>
      </c>
      <c r="D118" s="173" t="s">
        <v>505</v>
      </c>
      <c r="E118" s="174">
        <f t="shared" si="12"/>
        <v>31</v>
      </c>
      <c r="F118" s="170">
        <f t="shared" si="13"/>
        <v>529733.48773026234</v>
      </c>
      <c r="G118" s="175">
        <f t="shared" si="7"/>
        <v>6769.0486104276388</v>
      </c>
      <c r="H118" s="170">
        <f t="shared" si="8"/>
        <v>4767.6013895723609</v>
      </c>
      <c r="I118" s="170">
        <v>0</v>
      </c>
      <c r="J118" s="170">
        <v>11536.65</v>
      </c>
      <c r="K118" s="170">
        <f t="shared" si="14"/>
        <v>522964.43911983469</v>
      </c>
    </row>
    <row r="119" spans="2:11" x14ac:dyDescent="0.2">
      <c r="B119" s="277">
        <v>112</v>
      </c>
      <c r="C119" s="278">
        <v>48824</v>
      </c>
      <c r="D119" s="173" t="s">
        <v>505</v>
      </c>
      <c r="E119" s="174">
        <f t="shared" si="12"/>
        <v>31</v>
      </c>
      <c r="F119" s="170">
        <f t="shared" si="13"/>
        <v>522964.43911983469</v>
      </c>
      <c r="G119" s="175">
        <f t="shared" si="7"/>
        <v>6829.970047921488</v>
      </c>
      <c r="H119" s="170">
        <f t="shared" si="8"/>
        <v>4706.6799520785116</v>
      </c>
      <c r="I119" s="170">
        <v>0</v>
      </c>
      <c r="J119" s="170">
        <v>11536.65</v>
      </c>
      <c r="K119" s="170">
        <f t="shared" si="14"/>
        <v>516134.46907191322</v>
      </c>
    </row>
    <row r="120" spans="2:11" x14ac:dyDescent="0.2">
      <c r="B120" s="277">
        <v>113</v>
      </c>
      <c r="C120" s="278">
        <v>48854</v>
      </c>
      <c r="D120" s="173" t="s">
        <v>505</v>
      </c>
      <c r="E120" s="174">
        <f t="shared" si="12"/>
        <v>30</v>
      </c>
      <c r="F120" s="170">
        <f t="shared" si="13"/>
        <v>516134.46907191322</v>
      </c>
      <c r="G120" s="175">
        <f t="shared" si="7"/>
        <v>6891.4397783527811</v>
      </c>
      <c r="H120" s="170">
        <f t="shared" si="8"/>
        <v>4645.2102216472185</v>
      </c>
      <c r="I120" s="170">
        <v>0</v>
      </c>
      <c r="J120" s="170">
        <v>11536.65</v>
      </c>
      <c r="K120" s="170">
        <f t="shared" si="14"/>
        <v>509243.02929356042</v>
      </c>
    </row>
    <row r="121" spans="2:11" x14ac:dyDescent="0.2">
      <c r="B121" s="277">
        <v>114</v>
      </c>
      <c r="C121" s="278">
        <v>48885</v>
      </c>
      <c r="D121" s="173" t="s">
        <v>505</v>
      </c>
      <c r="E121" s="174">
        <f t="shared" si="12"/>
        <v>31</v>
      </c>
      <c r="F121" s="170">
        <f t="shared" si="13"/>
        <v>509243.02929356042</v>
      </c>
      <c r="G121" s="175">
        <f t="shared" si="7"/>
        <v>6953.4627363579566</v>
      </c>
      <c r="H121" s="170">
        <f t="shared" si="8"/>
        <v>4583.187263642043</v>
      </c>
      <c r="I121" s="170">
        <v>0</v>
      </c>
      <c r="J121" s="170">
        <v>11536.65</v>
      </c>
      <c r="K121" s="170">
        <f t="shared" si="14"/>
        <v>502289.56655720249</v>
      </c>
    </row>
    <row r="122" spans="2:11" x14ac:dyDescent="0.2">
      <c r="B122" s="277">
        <v>115</v>
      </c>
      <c r="C122" s="278">
        <v>48915</v>
      </c>
      <c r="D122" s="173" t="s">
        <v>505</v>
      </c>
      <c r="E122" s="174">
        <f t="shared" si="12"/>
        <v>30</v>
      </c>
      <c r="F122" s="170">
        <f t="shared" si="13"/>
        <v>502289.56655720249</v>
      </c>
      <c r="G122" s="175">
        <f t="shared" si="7"/>
        <v>7016.043900985178</v>
      </c>
      <c r="H122" s="170">
        <f t="shared" si="8"/>
        <v>4520.6060990148217</v>
      </c>
      <c r="I122" s="170">
        <v>0</v>
      </c>
      <c r="J122" s="170">
        <v>11536.65</v>
      </c>
      <c r="K122" s="170">
        <f t="shared" si="14"/>
        <v>495273.52265621733</v>
      </c>
    </row>
    <row r="123" spans="2:11" x14ac:dyDescent="0.2">
      <c r="B123" s="277">
        <v>116</v>
      </c>
      <c r="C123" s="278">
        <v>48946</v>
      </c>
      <c r="D123" s="173" t="s">
        <v>505</v>
      </c>
      <c r="E123" s="174">
        <f t="shared" si="12"/>
        <v>31</v>
      </c>
      <c r="F123" s="170">
        <f t="shared" si="13"/>
        <v>495273.52265621733</v>
      </c>
      <c r="G123" s="175">
        <f t="shared" si="7"/>
        <v>7079.1882960940438</v>
      </c>
      <c r="H123" s="170">
        <f t="shared" si="8"/>
        <v>4457.4617039059558</v>
      </c>
      <c r="I123" s="170">
        <v>0</v>
      </c>
      <c r="J123" s="170">
        <v>11536.65</v>
      </c>
      <c r="K123" s="170">
        <f t="shared" si="14"/>
        <v>488194.33436012326</v>
      </c>
    </row>
    <row r="124" spans="2:11" x14ac:dyDescent="0.2">
      <c r="B124" s="277">
        <v>117</v>
      </c>
      <c r="C124" s="278">
        <v>48977</v>
      </c>
      <c r="D124" s="173" t="s">
        <v>505</v>
      </c>
      <c r="E124" s="174">
        <f t="shared" si="12"/>
        <v>31</v>
      </c>
      <c r="F124" s="170">
        <f t="shared" si="13"/>
        <v>488194.33436012326</v>
      </c>
      <c r="G124" s="175">
        <f t="shared" si="7"/>
        <v>7142.9009907588907</v>
      </c>
      <c r="H124" s="170">
        <f t="shared" si="8"/>
        <v>4393.749009241109</v>
      </c>
      <c r="I124" s="170">
        <v>0</v>
      </c>
      <c r="J124" s="170">
        <v>11536.65</v>
      </c>
      <c r="K124" s="170">
        <f t="shared" si="14"/>
        <v>481051.43336936436</v>
      </c>
    </row>
    <row r="125" spans="2:11" x14ac:dyDescent="0.2">
      <c r="B125" s="277">
        <v>118</v>
      </c>
      <c r="C125" s="278">
        <v>49005</v>
      </c>
      <c r="D125" s="173" t="s">
        <v>505</v>
      </c>
      <c r="E125" s="174">
        <f t="shared" si="12"/>
        <v>28</v>
      </c>
      <c r="F125" s="170">
        <f t="shared" si="13"/>
        <v>481051.43336936436</v>
      </c>
      <c r="G125" s="175">
        <f t="shared" si="7"/>
        <v>7207.1870996757207</v>
      </c>
      <c r="H125" s="170">
        <f t="shared" si="8"/>
        <v>4329.462900324279</v>
      </c>
      <c r="I125" s="170">
        <v>0</v>
      </c>
      <c r="J125" s="170">
        <v>11536.65</v>
      </c>
      <c r="K125" s="170">
        <f t="shared" si="14"/>
        <v>473844.24626968865</v>
      </c>
    </row>
    <row r="126" spans="2:11" x14ac:dyDescent="0.2">
      <c r="B126" s="277">
        <v>119</v>
      </c>
      <c r="C126" s="278">
        <v>49036</v>
      </c>
      <c r="D126" s="173" t="s">
        <v>505</v>
      </c>
      <c r="E126" s="174">
        <f t="shared" si="12"/>
        <v>31</v>
      </c>
      <c r="F126" s="170">
        <f t="shared" si="13"/>
        <v>473844.24626968865</v>
      </c>
      <c r="G126" s="175">
        <f t="shared" si="7"/>
        <v>7272.0517835728024</v>
      </c>
      <c r="H126" s="170">
        <f t="shared" si="8"/>
        <v>4264.5982164271973</v>
      </c>
      <c r="I126" s="170">
        <v>0</v>
      </c>
      <c r="J126" s="170">
        <v>11536.65</v>
      </c>
      <c r="K126" s="170">
        <f t="shared" si="14"/>
        <v>466572.19448611583</v>
      </c>
    </row>
    <row r="127" spans="2:11" x14ac:dyDescent="0.2">
      <c r="B127" s="277">
        <v>120</v>
      </c>
      <c r="C127" s="278">
        <v>49066</v>
      </c>
      <c r="D127" s="173" t="s">
        <v>505</v>
      </c>
      <c r="E127" s="174">
        <f t="shared" si="12"/>
        <v>30</v>
      </c>
      <c r="F127" s="170">
        <f t="shared" si="13"/>
        <v>466572.19448611583</v>
      </c>
      <c r="G127" s="175">
        <f t="shared" si="7"/>
        <v>7337.5002496249572</v>
      </c>
      <c r="H127" s="170">
        <f t="shared" si="8"/>
        <v>4199.1497503750425</v>
      </c>
      <c r="I127" s="170">
        <v>0</v>
      </c>
      <c r="J127" s="170">
        <v>11536.65</v>
      </c>
      <c r="K127" s="170">
        <f t="shared" si="14"/>
        <v>459234.69423649088</v>
      </c>
    </row>
    <row r="128" spans="2:11" x14ac:dyDescent="0.2">
      <c r="B128" s="277">
        <v>121</v>
      </c>
      <c r="C128" s="278">
        <v>49097</v>
      </c>
      <c r="D128" s="173" t="s">
        <v>505</v>
      </c>
      <c r="E128" s="174">
        <f t="shared" si="12"/>
        <v>31</v>
      </c>
      <c r="F128" s="170">
        <f t="shared" si="13"/>
        <v>459234.69423649088</v>
      </c>
      <c r="G128" s="175">
        <f t="shared" si="7"/>
        <v>7403.5377518715823</v>
      </c>
      <c r="H128" s="170">
        <f t="shared" si="8"/>
        <v>4133.1122481284174</v>
      </c>
      <c r="I128" s="170">
        <v>0</v>
      </c>
      <c r="J128" s="170">
        <v>11536.65</v>
      </c>
      <c r="K128" s="170">
        <f t="shared" si="14"/>
        <v>451831.15648461931</v>
      </c>
    </row>
    <row r="129" spans="2:11" x14ac:dyDescent="0.2">
      <c r="B129" s="277">
        <v>122</v>
      </c>
      <c r="C129" s="278">
        <v>49127</v>
      </c>
      <c r="D129" s="173" t="s">
        <v>505</v>
      </c>
      <c r="E129" s="174">
        <f t="shared" si="12"/>
        <v>30</v>
      </c>
      <c r="F129" s="170">
        <f t="shared" si="13"/>
        <v>451831.15648461931</v>
      </c>
      <c r="G129" s="175">
        <f t="shared" si="7"/>
        <v>7470.169591638426</v>
      </c>
      <c r="H129" s="170">
        <f t="shared" si="8"/>
        <v>4066.4804083615736</v>
      </c>
      <c r="I129" s="170">
        <v>0</v>
      </c>
      <c r="J129" s="170">
        <v>11536.65</v>
      </c>
      <c r="K129" s="170">
        <f t="shared" si="14"/>
        <v>444360.98689298087</v>
      </c>
    </row>
    <row r="130" spans="2:11" x14ac:dyDescent="0.2">
      <c r="B130" s="277">
        <v>123</v>
      </c>
      <c r="C130" s="278">
        <v>49158</v>
      </c>
      <c r="D130" s="173" t="s">
        <v>505</v>
      </c>
      <c r="E130" s="174">
        <f t="shared" si="12"/>
        <v>31</v>
      </c>
      <c r="F130" s="170">
        <f t="shared" si="13"/>
        <v>444360.98689298087</v>
      </c>
      <c r="G130" s="175">
        <f t="shared" si="7"/>
        <v>7537.4011179631725</v>
      </c>
      <c r="H130" s="170">
        <f t="shared" si="8"/>
        <v>3999.2488820368276</v>
      </c>
      <c r="I130" s="170">
        <v>0</v>
      </c>
      <c r="J130" s="170">
        <v>11536.65</v>
      </c>
      <c r="K130" s="170">
        <f t="shared" si="14"/>
        <v>436823.58577501768</v>
      </c>
    </row>
    <row r="131" spans="2:11" x14ac:dyDescent="0.2">
      <c r="B131" s="277">
        <v>124</v>
      </c>
      <c r="C131" s="278">
        <v>49189</v>
      </c>
      <c r="D131" s="173" t="s">
        <v>505</v>
      </c>
      <c r="E131" s="174">
        <f t="shared" si="12"/>
        <v>31</v>
      </c>
      <c r="F131" s="170">
        <f t="shared" si="13"/>
        <v>436823.58577501768</v>
      </c>
      <c r="G131" s="175">
        <f t="shared" si="7"/>
        <v>7605.2377280248402</v>
      </c>
      <c r="H131" s="170">
        <f t="shared" si="8"/>
        <v>3931.412271975159</v>
      </c>
      <c r="I131" s="170">
        <v>0</v>
      </c>
      <c r="J131" s="170">
        <v>11536.65</v>
      </c>
      <c r="K131" s="170">
        <f t="shared" si="14"/>
        <v>429218.34804699285</v>
      </c>
    </row>
    <row r="132" spans="2:11" x14ac:dyDescent="0.2">
      <c r="B132" s="277">
        <v>125</v>
      </c>
      <c r="C132" s="278">
        <v>49219</v>
      </c>
      <c r="D132" s="173" t="s">
        <v>505</v>
      </c>
      <c r="E132" s="174">
        <f t="shared" si="12"/>
        <v>30</v>
      </c>
      <c r="F132" s="170">
        <f t="shared" si="13"/>
        <v>429218.34804699285</v>
      </c>
      <c r="G132" s="175">
        <f t="shared" si="7"/>
        <v>7673.6848675770643</v>
      </c>
      <c r="H132" s="170">
        <f t="shared" si="8"/>
        <v>3862.9651324229353</v>
      </c>
      <c r="I132" s="170">
        <v>0</v>
      </c>
      <c r="J132" s="170">
        <v>11536.65</v>
      </c>
      <c r="K132" s="170">
        <f t="shared" si="14"/>
        <v>421544.6631794158</v>
      </c>
    </row>
    <row r="133" spans="2:11" x14ac:dyDescent="0.2">
      <c r="B133" s="277">
        <v>126</v>
      </c>
      <c r="C133" s="278">
        <v>49250</v>
      </c>
      <c r="D133" s="173" t="s">
        <v>505</v>
      </c>
      <c r="E133" s="174">
        <f t="shared" si="12"/>
        <v>31</v>
      </c>
      <c r="F133" s="170">
        <f t="shared" si="13"/>
        <v>421544.6631794158</v>
      </c>
      <c r="G133" s="175">
        <f t="shared" si="7"/>
        <v>7742.7480313852575</v>
      </c>
      <c r="H133" s="170">
        <f t="shared" si="8"/>
        <v>3793.9019686147421</v>
      </c>
      <c r="I133" s="170">
        <v>0</v>
      </c>
      <c r="J133" s="170">
        <v>11536.65</v>
      </c>
      <c r="K133" s="170">
        <f t="shared" si="14"/>
        <v>413801.91514803056</v>
      </c>
    </row>
    <row r="134" spans="2:11" x14ac:dyDescent="0.2">
      <c r="B134" s="277">
        <v>127</v>
      </c>
      <c r="C134" s="278">
        <v>49280</v>
      </c>
      <c r="D134" s="173" t="s">
        <v>505</v>
      </c>
      <c r="E134" s="174">
        <f t="shared" si="12"/>
        <v>30</v>
      </c>
      <c r="F134" s="170">
        <f t="shared" si="13"/>
        <v>413801.91514803056</v>
      </c>
      <c r="G134" s="175">
        <f t="shared" si="7"/>
        <v>7812.4327636677244</v>
      </c>
      <c r="H134" s="170">
        <f t="shared" si="8"/>
        <v>3724.2172363322748</v>
      </c>
      <c r="I134" s="170">
        <v>0</v>
      </c>
      <c r="J134" s="170">
        <v>11536.65</v>
      </c>
      <c r="K134" s="170">
        <f t="shared" si="14"/>
        <v>405989.48238436284</v>
      </c>
    </row>
    <row r="135" spans="2:11" x14ac:dyDescent="0.2">
      <c r="B135" s="277">
        <v>128</v>
      </c>
      <c r="C135" s="278">
        <v>49311</v>
      </c>
      <c r="D135" s="173" t="s">
        <v>505</v>
      </c>
      <c r="E135" s="174">
        <f t="shared" si="12"/>
        <v>31</v>
      </c>
      <c r="F135" s="170">
        <f t="shared" si="13"/>
        <v>405989.48238436284</v>
      </c>
      <c r="G135" s="175">
        <f t="shared" si="7"/>
        <v>7882.7446585407342</v>
      </c>
      <c r="H135" s="170">
        <f t="shared" si="8"/>
        <v>3653.9053414592654</v>
      </c>
      <c r="I135" s="170">
        <v>0</v>
      </c>
      <c r="J135" s="170">
        <v>11536.65</v>
      </c>
      <c r="K135" s="170">
        <f t="shared" si="14"/>
        <v>398106.73772582208</v>
      </c>
    </row>
    <row r="136" spans="2:11" x14ac:dyDescent="0.2">
      <c r="B136" s="277">
        <v>129</v>
      </c>
      <c r="C136" s="278">
        <v>49342</v>
      </c>
      <c r="D136" s="173" t="s">
        <v>505</v>
      </c>
      <c r="E136" s="174">
        <f t="shared" ref="E136:E187" si="15">+C136-C135</f>
        <v>31</v>
      </c>
      <c r="F136" s="170">
        <f t="shared" ref="F136:F187" si="16">+K135</f>
        <v>398106.73772582208</v>
      </c>
      <c r="G136" s="175">
        <f t="shared" si="7"/>
        <v>7953.6893604676006</v>
      </c>
      <c r="H136" s="170">
        <f t="shared" si="8"/>
        <v>3582.9606395323985</v>
      </c>
      <c r="I136" s="170">
        <v>0</v>
      </c>
      <c r="J136" s="170">
        <v>11536.65</v>
      </c>
      <c r="K136" s="170">
        <f t="shared" ref="K136:K187" si="17">+F136-G136</f>
        <v>390153.04836535448</v>
      </c>
    </row>
    <row r="137" spans="2:11" x14ac:dyDescent="0.2">
      <c r="B137" s="277">
        <v>130</v>
      </c>
      <c r="C137" s="278">
        <v>49370</v>
      </c>
      <c r="D137" s="173" t="s">
        <v>505</v>
      </c>
      <c r="E137" s="174">
        <f t="shared" si="15"/>
        <v>28</v>
      </c>
      <c r="F137" s="170">
        <f t="shared" si="16"/>
        <v>390153.04836535448</v>
      </c>
      <c r="G137" s="175">
        <f t="shared" ref="G137:G187" si="18">+J137-H137-I137</f>
        <v>8025.2725647118095</v>
      </c>
      <c r="H137" s="170">
        <f t="shared" si="8"/>
        <v>3511.3774352881901</v>
      </c>
      <c r="I137" s="170">
        <v>0</v>
      </c>
      <c r="J137" s="170">
        <v>11536.65</v>
      </c>
      <c r="K137" s="170">
        <f t="shared" si="17"/>
        <v>382127.77580064267</v>
      </c>
    </row>
    <row r="138" spans="2:11" x14ac:dyDescent="0.2">
      <c r="B138" s="277">
        <v>131</v>
      </c>
      <c r="C138" s="278">
        <v>49401</v>
      </c>
      <c r="D138" s="173" t="s">
        <v>505</v>
      </c>
      <c r="E138" s="174">
        <f t="shared" si="15"/>
        <v>31</v>
      </c>
      <c r="F138" s="170">
        <f t="shared" si="16"/>
        <v>382127.77580064267</v>
      </c>
      <c r="G138" s="175">
        <f t="shared" si="18"/>
        <v>8097.5000177942156</v>
      </c>
      <c r="H138" s="170">
        <f t="shared" ref="H138:H187" si="19">+F138*(($H$4))</f>
        <v>3439.149982205784</v>
      </c>
      <c r="I138" s="170">
        <v>0</v>
      </c>
      <c r="J138" s="170">
        <v>11536.65</v>
      </c>
      <c r="K138" s="170">
        <f t="shared" si="17"/>
        <v>374030.27578284848</v>
      </c>
    </row>
    <row r="139" spans="2:11" x14ac:dyDescent="0.2">
      <c r="B139" s="277">
        <v>132</v>
      </c>
      <c r="C139" s="278">
        <v>49431</v>
      </c>
      <c r="D139" s="173" t="s">
        <v>505</v>
      </c>
      <c r="E139" s="174">
        <f t="shared" si="15"/>
        <v>30</v>
      </c>
      <c r="F139" s="170">
        <f t="shared" si="16"/>
        <v>374030.27578284848</v>
      </c>
      <c r="G139" s="175">
        <f t="shared" si="18"/>
        <v>8170.3775179543636</v>
      </c>
      <c r="H139" s="170">
        <f t="shared" si="19"/>
        <v>3366.272482045636</v>
      </c>
      <c r="I139" s="170">
        <v>0</v>
      </c>
      <c r="J139" s="170">
        <v>11536.65</v>
      </c>
      <c r="K139" s="170">
        <f t="shared" si="17"/>
        <v>365859.89826489409</v>
      </c>
    </row>
    <row r="140" spans="2:11" x14ac:dyDescent="0.2">
      <c r="B140" s="277">
        <v>133</v>
      </c>
      <c r="C140" s="278">
        <v>49462</v>
      </c>
      <c r="D140" s="173" t="s">
        <v>505</v>
      </c>
      <c r="E140" s="174">
        <f t="shared" si="15"/>
        <v>31</v>
      </c>
      <c r="F140" s="170">
        <f t="shared" si="16"/>
        <v>365859.89826489409</v>
      </c>
      <c r="G140" s="175">
        <f t="shared" si="18"/>
        <v>8243.9109156159539</v>
      </c>
      <c r="H140" s="170">
        <f t="shared" si="19"/>
        <v>3292.7390843840467</v>
      </c>
      <c r="I140" s="170">
        <v>0</v>
      </c>
      <c r="J140" s="170">
        <v>11536.65</v>
      </c>
      <c r="K140" s="170">
        <f t="shared" si="17"/>
        <v>357615.98734927812</v>
      </c>
    </row>
    <row r="141" spans="2:11" x14ac:dyDescent="0.2">
      <c r="B141" s="277">
        <v>134</v>
      </c>
      <c r="C141" s="278">
        <v>49492</v>
      </c>
      <c r="D141" s="173" t="s">
        <v>505</v>
      </c>
      <c r="E141" s="174">
        <f t="shared" si="15"/>
        <v>30</v>
      </c>
      <c r="F141" s="170">
        <f t="shared" si="16"/>
        <v>357615.98734927812</v>
      </c>
      <c r="G141" s="175">
        <f t="shared" si="18"/>
        <v>8318.1061138564964</v>
      </c>
      <c r="H141" s="170">
        <f t="shared" si="19"/>
        <v>3218.5438861435027</v>
      </c>
      <c r="I141" s="170">
        <v>0</v>
      </c>
      <c r="J141" s="170">
        <v>11536.65</v>
      </c>
      <c r="K141" s="170">
        <f t="shared" si="17"/>
        <v>349297.88123542164</v>
      </c>
    </row>
    <row r="142" spans="2:11" x14ac:dyDescent="0.2">
      <c r="B142" s="277">
        <v>135</v>
      </c>
      <c r="C142" s="278">
        <v>49523</v>
      </c>
      <c r="D142" s="173" t="s">
        <v>505</v>
      </c>
      <c r="E142" s="174">
        <f t="shared" si="15"/>
        <v>31</v>
      </c>
      <c r="F142" s="170">
        <f t="shared" si="16"/>
        <v>349297.88123542164</v>
      </c>
      <c r="G142" s="175">
        <f t="shared" si="18"/>
        <v>8392.9690688812043</v>
      </c>
      <c r="H142" s="170">
        <f t="shared" si="19"/>
        <v>3143.6809311187944</v>
      </c>
      <c r="I142" s="170">
        <v>0</v>
      </c>
      <c r="J142" s="170">
        <v>11536.65</v>
      </c>
      <c r="K142" s="170">
        <f t="shared" si="17"/>
        <v>340904.91216654045</v>
      </c>
    </row>
    <row r="143" spans="2:11" x14ac:dyDescent="0.2">
      <c r="B143" s="277">
        <v>136</v>
      </c>
      <c r="C143" s="278">
        <v>49554</v>
      </c>
      <c r="D143" s="173" t="s">
        <v>505</v>
      </c>
      <c r="E143" s="174">
        <f t="shared" si="15"/>
        <v>31</v>
      </c>
      <c r="F143" s="170">
        <f t="shared" si="16"/>
        <v>340904.91216654045</v>
      </c>
      <c r="G143" s="175">
        <f t="shared" si="18"/>
        <v>8468.5057905011363</v>
      </c>
      <c r="H143" s="170">
        <f t="shared" si="19"/>
        <v>3068.1442094988638</v>
      </c>
      <c r="I143" s="170">
        <v>0</v>
      </c>
      <c r="J143" s="170">
        <v>11536.65</v>
      </c>
      <c r="K143" s="170">
        <f t="shared" si="17"/>
        <v>332436.40637603932</v>
      </c>
    </row>
    <row r="144" spans="2:11" x14ac:dyDescent="0.2">
      <c r="B144" s="277">
        <v>137</v>
      </c>
      <c r="C144" s="278">
        <v>49584</v>
      </c>
      <c r="D144" s="173" t="s">
        <v>505</v>
      </c>
      <c r="E144" s="174">
        <f t="shared" si="15"/>
        <v>30</v>
      </c>
      <c r="F144" s="170">
        <f t="shared" si="16"/>
        <v>332436.40637603932</v>
      </c>
      <c r="G144" s="175">
        <f t="shared" si="18"/>
        <v>8544.7223426156452</v>
      </c>
      <c r="H144" s="170">
        <f t="shared" si="19"/>
        <v>2991.9276573843536</v>
      </c>
      <c r="I144" s="170">
        <v>0</v>
      </c>
      <c r="J144" s="170">
        <v>11536.65</v>
      </c>
      <c r="K144" s="170">
        <f t="shared" si="17"/>
        <v>323891.68403342366</v>
      </c>
    </row>
    <row r="145" spans="2:11" x14ac:dyDescent="0.2">
      <c r="B145" s="277">
        <v>138</v>
      </c>
      <c r="C145" s="278">
        <v>49615</v>
      </c>
      <c r="D145" s="173" t="s">
        <v>505</v>
      </c>
      <c r="E145" s="174">
        <f t="shared" si="15"/>
        <v>31</v>
      </c>
      <c r="F145" s="170">
        <f t="shared" si="16"/>
        <v>323891.68403342366</v>
      </c>
      <c r="G145" s="175">
        <f t="shared" si="18"/>
        <v>8621.6248436991864</v>
      </c>
      <c r="H145" s="170">
        <f t="shared" si="19"/>
        <v>2915.0251563008128</v>
      </c>
      <c r="I145" s="170">
        <v>0</v>
      </c>
      <c r="J145" s="170">
        <v>11536.65</v>
      </c>
      <c r="K145" s="170">
        <f t="shared" si="17"/>
        <v>315270.0591897245</v>
      </c>
    </row>
    <row r="146" spans="2:11" x14ac:dyDescent="0.2">
      <c r="B146" s="277">
        <v>139</v>
      </c>
      <c r="C146" s="278">
        <v>49645</v>
      </c>
      <c r="D146" s="173" t="s">
        <v>505</v>
      </c>
      <c r="E146" s="174">
        <f t="shared" si="15"/>
        <v>30</v>
      </c>
      <c r="F146" s="170">
        <f t="shared" si="16"/>
        <v>315270.0591897245</v>
      </c>
      <c r="G146" s="175">
        <f t="shared" si="18"/>
        <v>8699.2194672924797</v>
      </c>
      <c r="H146" s="170">
        <f t="shared" si="19"/>
        <v>2837.4305327075203</v>
      </c>
      <c r="I146" s="170">
        <v>0</v>
      </c>
      <c r="J146" s="170">
        <v>11536.65</v>
      </c>
      <c r="K146" s="170">
        <f t="shared" si="17"/>
        <v>306570.83972243202</v>
      </c>
    </row>
    <row r="147" spans="2:11" x14ac:dyDescent="0.2">
      <c r="B147" s="277">
        <v>140</v>
      </c>
      <c r="C147" s="278">
        <v>49676</v>
      </c>
      <c r="D147" s="173" t="s">
        <v>505</v>
      </c>
      <c r="E147" s="174">
        <f t="shared" si="15"/>
        <v>31</v>
      </c>
      <c r="F147" s="170">
        <f t="shared" si="16"/>
        <v>306570.83972243202</v>
      </c>
      <c r="G147" s="175">
        <f t="shared" si="18"/>
        <v>8777.5124424981113</v>
      </c>
      <c r="H147" s="170">
        <f t="shared" si="19"/>
        <v>2759.1375575018878</v>
      </c>
      <c r="I147" s="170">
        <v>0</v>
      </c>
      <c r="J147" s="170">
        <v>11536.65</v>
      </c>
      <c r="K147" s="170">
        <f t="shared" si="17"/>
        <v>297793.3272799339</v>
      </c>
    </row>
    <row r="148" spans="2:11" x14ac:dyDescent="0.2">
      <c r="B148" s="277">
        <v>141</v>
      </c>
      <c r="C148" s="278">
        <v>49707</v>
      </c>
      <c r="D148" s="173" t="s">
        <v>505</v>
      </c>
      <c r="E148" s="174">
        <f t="shared" si="15"/>
        <v>31</v>
      </c>
      <c r="F148" s="170">
        <f t="shared" si="16"/>
        <v>297793.3272799339</v>
      </c>
      <c r="G148" s="175">
        <f t="shared" si="18"/>
        <v>8856.5100544805937</v>
      </c>
      <c r="H148" s="170">
        <f t="shared" si="19"/>
        <v>2680.139945519405</v>
      </c>
      <c r="I148" s="170">
        <v>0</v>
      </c>
      <c r="J148" s="170">
        <v>11536.65</v>
      </c>
      <c r="K148" s="170">
        <f t="shared" si="17"/>
        <v>288936.81722545333</v>
      </c>
    </row>
    <row r="149" spans="2:11" x14ac:dyDescent="0.2">
      <c r="B149" s="277">
        <v>142</v>
      </c>
      <c r="C149" s="278">
        <v>49736</v>
      </c>
      <c r="D149" s="173" t="s">
        <v>505</v>
      </c>
      <c r="E149" s="174">
        <f t="shared" si="15"/>
        <v>29</v>
      </c>
      <c r="F149" s="170">
        <f t="shared" si="16"/>
        <v>288936.81722545333</v>
      </c>
      <c r="G149" s="175">
        <f t="shared" si="18"/>
        <v>8936.2186449709188</v>
      </c>
      <c r="H149" s="170">
        <f t="shared" si="19"/>
        <v>2600.4313550290799</v>
      </c>
      <c r="I149" s="170">
        <v>0</v>
      </c>
      <c r="J149" s="170">
        <v>11536.65</v>
      </c>
      <c r="K149" s="170">
        <f t="shared" si="17"/>
        <v>280000.59858048242</v>
      </c>
    </row>
    <row r="150" spans="2:11" x14ac:dyDescent="0.2">
      <c r="B150" s="277">
        <v>143</v>
      </c>
      <c r="C150" s="278">
        <v>49767</v>
      </c>
      <c r="D150" s="173" t="s">
        <v>505</v>
      </c>
      <c r="E150" s="174">
        <f t="shared" si="15"/>
        <v>31</v>
      </c>
      <c r="F150" s="170">
        <f t="shared" si="16"/>
        <v>280000.59858048242</v>
      </c>
      <c r="G150" s="175">
        <f t="shared" si="18"/>
        <v>9016.6446127756572</v>
      </c>
      <c r="H150" s="170">
        <f t="shared" si="19"/>
        <v>2520.0053872243416</v>
      </c>
      <c r="I150" s="170">
        <v>0</v>
      </c>
      <c r="J150" s="170">
        <v>11536.65</v>
      </c>
      <c r="K150" s="170">
        <f t="shared" si="17"/>
        <v>270983.95396770677</v>
      </c>
    </row>
    <row r="151" spans="2:11" x14ac:dyDescent="0.2">
      <c r="B151" s="277">
        <v>144</v>
      </c>
      <c r="C151" s="278">
        <v>49797</v>
      </c>
      <c r="D151" s="173" t="s">
        <v>505</v>
      </c>
      <c r="E151" s="174">
        <f t="shared" si="15"/>
        <v>30</v>
      </c>
      <c r="F151" s="170">
        <f t="shared" si="16"/>
        <v>270983.95396770677</v>
      </c>
      <c r="G151" s="175">
        <f t="shared" si="18"/>
        <v>9097.7944142906381</v>
      </c>
      <c r="H151" s="170">
        <f t="shared" si="19"/>
        <v>2438.8555857093606</v>
      </c>
      <c r="I151" s="170">
        <v>0</v>
      </c>
      <c r="J151" s="170">
        <v>11536.65</v>
      </c>
      <c r="K151" s="170">
        <f t="shared" si="17"/>
        <v>261886.15955341613</v>
      </c>
    </row>
    <row r="152" spans="2:11" x14ac:dyDescent="0.2">
      <c r="B152" s="277">
        <v>145</v>
      </c>
      <c r="C152" s="278">
        <v>49828</v>
      </c>
      <c r="D152" s="173" t="s">
        <v>505</v>
      </c>
      <c r="E152" s="174">
        <f t="shared" si="15"/>
        <v>31</v>
      </c>
      <c r="F152" s="170">
        <f t="shared" si="16"/>
        <v>261886.15955341613</v>
      </c>
      <c r="G152" s="175">
        <f t="shared" si="18"/>
        <v>9179.6745640192548</v>
      </c>
      <c r="H152" s="170">
        <f t="shared" si="19"/>
        <v>2356.9754359807448</v>
      </c>
      <c r="I152" s="170">
        <v>0</v>
      </c>
      <c r="J152" s="170">
        <v>11536.65</v>
      </c>
      <c r="K152" s="170">
        <f t="shared" si="17"/>
        <v>252706.48498939688</v>
      </c>
    </row>
    <row r="153" spans="2:11" x14ac:dyDescent="0.2">
      <c r="B153" s="277">
        <v>146</v>
      </c>
      <c r="C153" s="278">
        <v>49858</v>
      </c>
      <c r="D153" s="173" t="s">
        <v>505</v>
      </c>
      <c r="E153" s="174">
        <f t="shared" si="15"/>
        <v>30</v>
      </c>
      <c r="F153" s="170">
        <f t="shared" si="16"/>
        <v>252706.48498939688</v>
      </c>
      <c r="G153" s="175">
        <f t="shared" si="18"/>
        <v>9262.2916350954274</v>
      </c>
      <c r="H153" s="170">
        <f t="shared" si="19"/>
        <v>2274.3583649045718</v>
      </c>
      <c r="I153" s="170">
        <v>0</v>
      </c>
      <c r="J153" s="170">
        <v>11536.65</v>
      </c>
      <c r="K153" s="170">
        <f t="shared" si="17"/>
        <v>243444.19335430145</v>
      </c>
    </row>
    <row r="154" spans="2:11" x14ac:dyDescent="0.2">
      <c r="B154" s="277">
        <v>147</v>
      </c>
      <c r="C154" s="278">
        <v>49889</v>
      </c>
      <c r="D154" s="173" t="s">
        <v>505</v>
      </c>
      <c r="E154" s="174">
        <f t="shared" si="15"/>
        <v>31</v>
      </c>
      <c r="F154" s="170">
        <f t="shared" si="16"/>
        <v>243444.19335430145</v>
      </c>
      <c r="G154" s="175">
        <f t="shared" si="18"/>
        <v>9345.6522598112861</v>
      </c>
      <c r="H154" s="170">
        <f t="shared" si="19"/>
        <v>2190.9977401887127</v>
      </c>
      <c r="I154" s="170">
        <v>0</v>
      </c>
      <c r="J154" s="170">
        <v>11536.65</v>
      </c>
      <c r="K154" s="170">
        <f t="shared" si="17"/>
        <v>234098.54109449015</v>
      </c>
    </row>
    <row r="155" spans="2:11" x14ac:dyDescent="0.2">
      <c r="B155" s="277">
        <v>148</v>
      </c>
      <c r="C155" s="278">
        <v>49920</v>
      </c>
      <c r="D155" s="173" t="s">
        <v>505</v>
      </c>
      <c r="E155" s="174">
        <f t="shared" si="15"/>
        <v>31</v>
      </c>
      <c r="F155" s="170">
        <f t="shared" si="16"/>
        <v>234098.54109449015</v>
      </c>
      <c r="G155" s="175">
        <f t="shared" si="18"/>
        <v>9429.7631301495894</v>
      </c>
      <c r="H155" s="170">
        <f t="shared" si="19"/>
        <v>2106.8868698504111</v>
      </c>
      <c r="I155" s="170">
        <v>0</v>
      </c>
      <c r="J155" s="170">
        <v>11536.65</v>
      </c>
      <c r="K155" s="170">
        <f t="shared" si="17"/>
        <v>224668.77796434055</v>
      </c>
    </row>
    <row r="156" spans="2:11" x14ac:dyDescent="0.2">
      <c r="B156" s="277">
        <v>149</v>
      </c>
      <c r="C156" s="278">
        <v>49950</v>
      </c>
      <c r="D156" s="173" t="s">
        <v>505</v>
      </c>
      <c r="E156" s="174">
        <f t="shared" si="15"/>
        <v>30</v>
      </c>
      <c r="F156" s="170">
        <f t="shared" si="16"/>
        <v>224668.77796434055</v>
      </c>
      <c r="G156" s="175">
        <f t="shared" si="18"/>
        <v>9514.6309983209358</v>
      </c>
      <c r="H156" s="170">
        <f t="shared" si="19"/>
        <v>2022.0190016790648</v>
      </c>
      <c r="I156" s="170">
        <v>0</v>
      </c>
      <c r="J156" s="170">
        <v>11536.65</v>
      </c>
      <c r="K156" s="170">
        <f t="shared" si="17"/>
        <v>215154.14696601962</v>
      </c>
    </row>
    <row r="157" spans="2:11" x14ac:dyDescent="0.2">
      <c r="B157" s="277">
        <v>150</v>
      </c>
      <c r="C157" s="278">
        <v>49981</v>
      </c>
      <c r="D157" s="173" t="s">
        <v>505</v>
      </c>
      <c r="E157" s="174">
        <f t="shared" si="15"/>
        <v>31</v>
      </c>
      <c r="F157" s="170">
        <f t="shared" si="16"/>
        <v>215154.14696601962</v>
      </c>
      <c r="G157" s="175">
        <f t="shared" si="18"/>
        <v>9600.2626773058237</v>
      </c>
      <c r="H157" s="170">
        <f t="shared" si="19"/>
        <v>1936.3873226941764</v>
      </c>
      <c r="I157" s="170">
        <v>0</v>
      </c>
      <c r="J157" s="170">
        <v>11536.65</v>
      </c>
      <c r="K157" s="170">
        <f t="shared" si="17"/>
        <v>205553.8842887138</v>
      </c>
    </row>
    <row r="158" spans="2:11" x14ac:dyDescent="0.2">
      <c r="B158" s="277">
        <v>151</v>
      </c>
      <c r="C158" s="278">
        <v>50011</v>
      </c>
      <c r="D158" s="173" t="s">
        <v>505</v>
      </c>
      <c r="E158" s="174">
        <f t="shared" si="15"/>
        <v>30</v>
      </c>
      <c r="F158" s="170">
        <f t="shared" si="16"/>
        <v>205553.8842887138</v>
      </c>
      <c r="G158" s="175">
        <f t="shared" si="18"/>
        <v>9686.6650414015749</v>
      </c>
      <c r="H158" s="170">
        <f t="shared" si="19"/>
        <v>1849.9849585984241</v>
      </c>
      <c r="I158" s="170">
        <v>0</v>
      </c>
      <c r="J158" s="170">
        <v>11536.65</v>
      </c>
      <c r="K158" s="170">
        <f t="shared" si="17"/>
        <v>195867.21924731223</v>
      </c>
    </row>
    <row r="159" spans="2:11" x14ac:dyDescent="0.2">
      <c r="B159" s="277">
        <v>152</v>
      </c>
      <c r="C159" s="278">
        <v>50042</v>
      </c>
      <c r="D159" s="173" t="s">
        <v>505</v>
      </c>
      <c r="E159" s="174">
        <f t="shared" si="15"/>
        <v>31</v>
      </c>
      <c r="F159" s="170">
        <f t="shared" si="16"/>
        <v>195867.21924731223</v>
      </c>
      <c r="G159" s="175">
        <f t="shared" si="18"/>
        <v>9773.84502677419</v>
      </c>
      <c r="H159" s="170">
        <f t="shared" si="19"/>
        <v>1762.8049732258098</v>
      </c>
      <c r="I159" s="170">
        <v>0</v>
      </c>
      <c r="J159" s="170">
        <v>11536.65</v>
      </c>
      <c r="K159" s="170">
        <f t="shared" si="17"/>
        <v>186093.37422053804</v>
      </c>
    </row>
    <row r="160" spans="2:11" x14ac:dyDescent="0.2">
      <c r="B160" s="277">
        <v>153</v>
      </c>
      <c r="C160" s="278">
        <v>50073</v>
      </c>
      <c r="D160" s="173" t="s">
        <v>505</v>
      </c>
      <c r="E160" s="174">
        <f t="shared" si="15"/>
        <v>31</v>
      </c>
      <c r="F160" s="170">
        <f t="shared" si="16"/>
        <v>186093.37422053804</v>
      </c>
      <c r="G160" s="175">
        <f t="shared" si="18"/>
        <v>9861.8096320151581</v>
      </c>
      <c r="H160" s="170">
        <f t="shared" si="19"/>
        <v>1674.8403679848423</v>
      </c>
      <c r="I160" s="170">
        <v>0</v>
      </c>
      <c r="J160" s="170">
        <v>11536.65</v>
      </c>
      <c r="K160" s="170">
        <f t="shared" si="17"/>
        <v>176231.56458852289</v>
      </c>
    </row>
    <row r="161" spans="2:11" x14ac:dyDescent="0.2">
      <c r="B161" s="277">
        <v>154</v>
      </c>
      <c r="C161" s="278">
        <v>50101</v>
      </c>
      <c r="D161" s="173" t="s">
        <v>505</v>
      </c>
      <c r="E161" s="174">
        <f t="shared" si="15"/>
        <v>28</v>
      </c>
      <c r="F161" s="170">
        <f t="shared" si="16"/>
        <v>176231.56458852289</v>
      </c>
      <c r="G161" s="175">
        <f t="shared" si="18"/>
        <v>9950.5659187032943</v>
      </c>
      <c r="H161" s="170">
        <f t="shared" si="19"/>
        <v>1586.0840812967058</v>
      </c>
      <c r="I161" s="170">
        <v>0</v>
      </c>
      <c r="J161" s="170">
        <v>11536.65</v>
      </c>
      <c r="K161" s="170">
        <f t="shared" si="17"/>
        <v>166280.99866981959</v>
      </c>
    </row>
    <row r="162" spans="2:11" x14ac:dyDescent="0.2">
      <c r="B162" s="277">
        <v>155</v>
      </c>
      <c r="C162" s="278">
        <v>50132</v>
      </c>
      <c r="D162" s="173" t="s">
        <v>505</v>
      </c>
      <c r="E162" s="174">
        <f t="shared" si="15"/>
        <v>31</v>
      </c>
      <c r="F162" s="170">
        <f t="shared" si="16"/>
        <v>166280.99866981959</v>
      </c>
      <c r="G162" s="175">
        <f t="shared" si="18"/>
        <v>10040.121011971623</v>
      </c>
      <c r="H162" s="170">
        <f t="shared" si="19"/>
        <v>1496.5289880283763</v>
      </c>
      <c r="I162" s="170">
        <v>0</v>
      </c>
      <c r="J162" s="170">
        <v>11536.65</v>
      </c>
      <c r="K162" s="170">
        <f t="shared" si="17"/>
        <v>156240.87765784797</v>
      </c>
    </row>
    <row r="163" spans="2:11" x14ac:dyDescent="0.2">
      <c r="B163" s="277">
        <v>156</v>
      </c>
      <c r="C163" s="278">
        <v>50162</v>
      </c>
      <c r="D163" s="173" t="s">
        <v>505</v>
      </c>
      <c r="E163" s="174">
        <f t="shared" si="15"/>
        <v>30</v>
      </c>
      <c r="F163" s="170">
        <f t="shared" si="16"/>
        <v>156240.87765784797</v>
      </c>
      <c r="G163" s="175">
        <f t="shared" si="18"/>
        <v>10130.482101079368</v>
      </c>
      <c r="H163" s="170">
        <f t="shared" si="19"/>
        <v>1406.1678989206316</v>
      </c>
      <c r="I163" s="170">
        <v>0</v>
      </c>
      <c r="J163" s="170">
        <v>11536.65</v>
      </c>
      <c r="K163" s="170">
        <f t="shared" si="17"/>
        <v>146110.39555676861</v>
      </c>
    </row>
    <row r="164" spans="2:11" x14ac:dyDescent="0.2">
      <c r="B164" s="277">
        <v>157</v>
      </c>
      <c r="C164" s="278">
        <v>50193</v>
      </c>
      <c r="D164" s="173" t="s">
        <v>505</v>
      </c>
      <c r="E164" s="174">
        <f t="shared" si="15"/>
        <v>31</v>
      </c>
      <c r="F164" s="170">
        <f t="shared" si="16"/>
        <v>146110.39555676861</v>
      </c>
      <c r="G164" s="175">
        <f t="shared" si="18"/>
        <v>10221.656439989081</v>
      </c>
      <c r="H164" s="170">
        <f t="shared" si="19"/>
        <v>1314.9935600109175</v>
      </c>
      <c r="I164" s="170">
        <v>0</v>
      </c>
      <c r="J164" s="170">
        <v>11536.65</v>
      </c>
      <c r="K164" s="170">
        <f t="shared" si="17"/>
        <v>135888.73911677953</v>
      </c>
    </row>
    <row r="165" spans="2:11" x14ac:dyDescent="0.2">
      <c r="B165" s="277">
        <v>158</v>
      </c>
      <c r="C165" s="278">
        <v>50223</v>
      </c>
      <c r="D165" s="173" t="s">
        <v>505</v>
      </c>
      <c r="E165" s="174">
        <f t="shared" si="15"/>
        <v>30</v>
      </c>
      <c r="F165" s="170">
        <f t="shared" si="16"/>
        <v>135888.73911677953</v>
      </c>
      <c r="G165" s="175">
        <f t="shared" si="18"/>
        <v>10313.651347948984</v>
      </c>
      <c r="H165" s="170">
        <f t="shared" si="19"/>
        <v>1222.9986520510156</v>
      </c>
      <c r="I165" s="170">
        <v>0</v>
      </c>
      <c r="J165" s="170">
        <v>11536.65</v>
      </c>
      <c r="K165" s="170">
        <f t="shared" si="17"/>
        <v>125575.08776883055</v>
      </c>
    </row>
    <row r="166" spans="2:11" x14ac:dyDescent="0.2">
      <c r="B166" s="277">
        <v>159</v>
      </c>
      <c r="C166" s="278">
        <v>50254</v>
      </c>
      <c r="D166" s="173" t="s">
        <v>505</v>
      </c>
      <c r="E166" s="174">
        <f t="shared" si="15"/>
        <v>31</v>
      </c>
      <c r="F166" s="170">
        <f t="shared" si="16"/>
        <v>125575.08776883055</v>
      </c>
      <c r="G166" s="175">
        <f t="shared" si="18"/>
        <v>10406.474210080525</v>
      </c>
      <c r="H166" s="170">
        <f t="shared" si="19"/>
        <v>1130.1757899194749</v>
      </c>
      <c r="I166" s="170">
        <v>0</v>
      </c>
      <c r="J166" s="170">
        <v>11536.65</v>
      </c>
      <c r="K166" s="170">
        <f t="shared" si="17"/>
        <v>115168.61355875002</v>
      </c>
    </row>
    <row r="167" spans="2:11" x14ac:dyDescent="0.2">
      <c r="B167" s="277">
        <v>160</v>
      </c>
      <c r="C167" s="278">
        <v>50285</v>
      </c>
      <c r="D167" s="173" t="s">
        <v>505</v>
      </c>
      <c r="E167" s="174">
        <f t="shared" si="15"/>
        <v>31</v>
      </c>
      <c r="F167" s="170">
        <f t="shared" si="16"/>
        <v>115168.61355875002</v>
      </c>
      <c r="G167" s="175">
        <f t="shared" si="18"/>
        <v>10500.132477971249</v>
      </c>
      <c r="H167" s="170">
        <f t="shared" si="19"/>
        <v>1036.5175220287501</v>
      </c>
      <c r="I167" s="170">
        <v>0</v>
      </c>
      <c r="J167" s="170">
        <v>11536.65</v>
      </c>
      <c r="K167" s="170">
        <f t="shared" si="17"/>
        <v>104668.48108077877</v>
      </c>
    </row>
    <row r="168" spans="2:11" x14ac:dyDescent="0.2">
      <c r="B168" s="277">
        <v>161</v>
      </c>
      <c r="C168" s="278">
        <v>50315</v>
      </c>
      <c r="D168" s="173" t="s">
        <v>505</v>
      </c>
      <c r="E168" s="174">
        <f t="shared" si="15"/>
        <v>30</v>
      </c>
      <c r="F168" s="170">
        <f t="shared" si="16"/>
        <v>104668.48108077877</v>
      </c>
      <c r="G168" s="175">
        <f t="shared" si="18"/>
        <v>10594.633670272991</v>
      </c>
      <c r="H168" s="170">
        <f t="shared" si="19"/>
        <v>942.01632972700884</v>
      </c>
      <c r="I168" s="170">
        <v>0</v>
      </c>
      <c r="J168" s="170">
        <v>11536.65</v>
      </c>
      <c r="K168" s="170">
        <f t="shared" si="17"/>
        <v>94073.847410505783</v>
      </c>
    </row>
    <row r="169" spans="2:11" x14ac:dyDescent="0.2">
      <c r="B169" s="277">
        <v>162</v>
      </c>
      <c r="C169" s="278">
        <v>50346</v>
      </c>
      <c r="D169" s="173" t="s">
        <v>505</v>
      </c>
      <c r="E169" s="174">
        <f t="shared" si="15"/>
        <v>31</v>
      </c>
      <c r="F169" s="170">
        <f t="shared" si="16"/>
        <v>94073.847410505783</v>
      </c>
      <c r="G169" s="175">
        <f t="shared" si="18"/>
        <v>10689.985373305448</v>
      </c>
      <c r="H169" s="170">
        <f t="shared" si="19"/>
        <v>846.664626694552</v>
      </c>
      <c r="I169" s="170">
        <v>0</v>
      </c>
      <c r="J169" s="170">
        <v>11536.65</v>
      </c>
      <c r="K169" s="170">
        <f t="shared" si="17"/>
        <v>83383.862037200335</v>
      </c>
    </row>
    <row r="170" spans="2:11" x14ac:dyDescent="0.2">
      <c r="B170" s="277">
        <v>163</v>
      </c>
      <c r="C170" s="278">
        <v>50376</v>
      </c>
      <c r="D170" s="173" t="s">
        <v>505</v>
      </c>
      <c r="E170" s="174">
        <f t="shared" si="15"/>
        <v>30</v>
      </c>
      <c r="F170" s="170">
        <f t="shared" si="16"/>
        <v>83383.862037200335</v>
      </c>
      <c r="G170" s="175">
        <f t="shared" si="18"/>
        <v>10786.195241665197</v>
      </c>
      <c r="H170" s="170">
        <f t="shared" si="19"/>
        <v>750.45475833480293</v>
      </c>
      <c r="I170" s="170">
        <v>0</v>
      </c>
      <c r="J170" s="170">
        <v>11536.65</v>
      </c>
      <c r="K170" s="170">
        <f t="shared" si="17"/>
        <v>72597.666795535144</v>
      </c>
    </row>
    <row r="171" spans="2:11" x14ac:dyDescent="0.2">
      <c r="B171" s="277">
        <v>164</v>
      </c>
      <c r="C171" s="278">
        <v>50407</v>
      </c>
      <c r="D171" s="173" t="s">
        <v>505</v>
      </c>
      <c r="E171" s="174">
        <f t="shared" si="15"/>
        <v>31</v>
      </c>
      <c r="F171" s="170">
        <f t="shared" si="16"/>
        <v>72597.666795535144</v>
      </c>
      <c r="G171" s="175">
        <f t="shared" si="18"/>
        <v>10883.270998840184</v>
      </c>
      <c r="H171" s="170">
        <f t="shared" si="19"/>
        <v>653.3790011598162</v>
      </c>
      <c r="I171" s="170">
        <v>0</v>
      </c>
      <c r="J171" s="170">
        <v>11536.65</v>
      </c>
      <c r="K171" s="170">
        <f t="shared" si="17"/>
        <v>61714.39579669496</v>
      </c>
    </row>
    <row r="172" spans="2:11" x14ac:dyDescent="0.2">
      <c r="B172" s="277">
        <v>165</v>
      </c>
      <c r="C172" s="278">
        <v>50438</v>
      </c>
      <c r="D172" s="173" t="s">
        <v>505</v>
      </c>
      <c r="E172" s="174">
        <f t="shared" si="15"/>
        <v>31</v>
      </c>
      <c r="F172" s="170">
        <f t="shared" si="16"/>
        <v>61714.39579669496</v>
      </c>
      <c r="G172" s="175">
        <f t="shared" si="18"/>
        <v>10981.220437829745</v>
      </c>
      <c r="H172" s="170">
        <f t="shared" si="19"/>
        <v>555.4295621702546</v>
      </c>
      <c r="I172" s="170">
        <v>0</v>
      </c>
      <c r="J172" s="170">
        <v>11536.65</v>
      </c>
      <c r="K172" s="170">
        <f t="shared" si="17"/>
        <v>50733.175358865214</v>
      </c>
    </row>
    <row r="173" spans="2:11" x14ac:dyDescent="0.2">
      <c r="B173" s="277">
        <v>166</v>
      </c>
      <c r="C173" s="278">
        <v>50466</v>
      </c>
      <c r="D173" s="173" t="s">
        <v>505</v>
      </c>
      <c r="E173" s="174">
        <f t="shared" si="15"/>
        <v>28</v>
      </c>
      <c r="F173" s="170">
        <f t="shared" si="16"/>
        <v>50733.175358865214</v>
      </c>
      <c r="G173" s="175">
        <f t="shared" si="18"/>
        <v>11080.051421770213</v>
      </c>
      <c r="H173" s="170">
        <f t="shared" si="19"/>
        <v>456.59857822978688</v>
      </c>
      <c r="I173" s="170">
        <v>0</v>
      </c>
      <c r="J173" s="170">
        <v>11536.65</v>
      </c>
      <c r="K173" s="170">
        <f t="shared" si="17"/>
        <v>39653.123937094999</v>
      </c>
    </row>
    <row r="174" spans="2:11" x14ac:dyDescent="0.2">
      <c r="B174" s="277">
        <v>167</v>
      </c>
      <c r="C174" s="278">
        <v>50497</v>
      </c>
      <c r="D174" s="173" t="s">
        <v>505</v>
      </c>
      <c r="E174" s="174">
        <f t="shared" si="15"/>
        <v>31</v>
      </c>
      <c r="F174" s="170">
        <f t="shared" si="16"/>
        <v>39653.123937094999</v>
      </c>
      <c r="G174" s="175">
        <f t="shared" si="18"/>
        <v>11179.771884566144</v>
      </c>
      <c r="H174" s="170">
        <f t="shared" si="19"/>
        <v>356.87811543385499</v>
      </c>
      <c r="I174" s="170">
        <v>0</v>
      </c>
      <c r="J174" s="170">
        <v>11536.65</v>
      </c>
      <c r="K174" s="170">
        <f t="shared" si="17"/>
        <v>28473.352052528855</v>
      </c>
    </row>
    <row r="175" spans="2:11" x14ac:dyDescent="0.2">
      <c r="B175" s="277">
        <v>168</v>
      </c>
      <c r="C175" s="278">
        <v>50527</v>
      </c>
      <c r="D175" s="173" t="s">
        <v>505</v>
      </c>
      <c r="E175" s="174">
        <f t="shared" si="15"/>
        <v>30</v>
      </c>
      <c r="F175" s="170">
        <f t="shared" si="16"/>
        <v>28473.352052528855</v>
      </c>
      <c r="G175" s="175">
        <f t="shared" si="18"/>
        <v>11280.38983152724</v>
      </c>
      <c r="H175" s="170">
        <f t="shared" si="19"/>
        <v>256.26016847275969</v>
      </c>
      <c r="I175" s="170">
        <v>0</v>
      </c>
      <c r="J175" s="170">
        <v>11536.65</v>
      </c>
      <c r="K175" s="170">
        <f t="shared" si="17"/>
        <v>17192.962221001617</v>
      </c>
    </row>
    <row r="176" spans="2:11" x14ac:dyDescent="0.2">
      <c r="B176" s="277">
        <v>169</v>
      </c>
      <c r="C176" s="278">
        <v>50558</v>
      </c>
      <c r="D176" s="173" t="s">
        <v>505</v>
      </c>
      <c r="E176" s="174">
        <f t="shared" si="15"/>
        <v>31</v>
      </c>
      <c r="F176" s="170">
        <f t="shared" si="16"/>
        <v>17192.962221001617</v>
      </c>
      <c r="G176" s="175">
        <f t="shared" si="18"/>
        <v>11381.913340010986</v>
      </c>
      <c r="H176" s="170">
        <f t="shared" si="19"/>
        <v>154.73665998901453</v>
      </c>
      <c r="I176" s="170">
        <v>0</v>
      </c>
      <c r="J176" s="170">
        <v>11536.65</v>
      </c>
      <c r="K176" s="170">
        <f t="shared" si="17"/>
        <v>5811.048880990631</v>
      </c>
    </row>
    <row r="177" spans="2:11" x14ac:dyDescent="0.2">
      <c r="B177" s="277">
        <v>170</v>
      </c>
      <c r="C177" s="278">
        <v>50588</v>
      </c>
      <c r="D177" s="173" t="s">
        <v>505</v>
      </c>
      <c r="E177" s="174">
        <f t="shared" si="15"/>
        <v>30</v>
      </c>
      <c r="F177" s="170">
        <f t="shared" si="16"/>
        <v>5811.048880990631</v>
      </c>
      <c r="G177" s="175">
        <f t="shared" si="18"/>
        <v>11484.350560071083</v>
      </c>
      <c r="H177" s="170">
        <f t="shared" si="19"/>
        <v>52.299439928915675</v>
      </c>
      <c r="I177" s="170">
        <v>0</v>
      </c>
      <c r="J177" s="170">
        <v>11536.65</v>
      </c>
      <c r="K177" s="170">
        <f t="shared" si="17"/>
        <v>-5673.3016790804522</v>
      </c>
    </row>
    <row r="178" spans="2:11" x14ac:dyDescent="0.2">
      <c r="B178" s="277">
        <v>171</v>
      </c>
      <c r="C178" s="278">
        <v>50619</v>
      </c>
      <c r="D178" s="173" t="s">
        <v>505</v>
      </c>
      <c r="E178" s="174">
        <f t="shared" si="15"/>
        <v>31</v>
      </c>
      <c r="F178" s="170">
        <f t="shared" si="16"/>
        <v>-5673.3016790804522</v>
      </c>
      <c r="G178" s="175">
        <f t="shared" si="18"/>
        <v>11587.709715111723</v>
      </c>
      <c r="H178" s="170">
        <f t="shared" si="19"/>
        <v>-51.059715111724067</v>
      </c>
      <c r="I178" s="170">
        <v>0</v>
      </c>
      <c r="J178" s="170">
        <v>11536.65</v>
      </c>
      <c r="K178" s="170">
        <f t="shared" si="17"/>
        <v>-17261.011394192174</v>
      </c>
    </row>
    <row r="179" spans="2:11" x14ac:dyDescent="0.2">
      <c r="B179" s="277">
        <v>172</v>
      </c>
      <c r="C179" s="278">
        <v>50650</v>
      </c>
      <c r="D179" s="173" t="s">
        <v>505</v>
      </c>
      <c r="E179" s="174">
        <f t="shared" si="15"/>
        <v>31</v>
      </c>
      <c r="F179" s="170">
        <f t="shared" si="16"/>
        <v>-17261.011394192174</v>
      </c>
      <c r="G179" s="175">
        <f t="shared" si="18"/>
        <v>11691.999102547728</v>
      </c>
      <c r="H179" s="170">
        <f t="shared" si="19"/>
        <v>-155.34910254772956</v>
      </c>
      <c r="I179" s="170">
        <v>0</v>
      </c>
      <c r="J179" s="170">
        <v>11536.65</v>
      </c>
      <c r="K179" s="170">
        <f t="shared" si="17"/>
        <v>-28953.010496739902</v>
      </c>
    </row>
    <row r="180" spans="2:11" x14ac:dyDescent="0.2">
      <c r="B180" s="277">
        <v>173</v>
      </c>
      <c r="C180" s="278">
        <v>50680</v>
      </c>
      <c r="D180" s="173" t="s">
        <v>505</v>
      </c>
      <c r="E180" s="174">
        <f t="shared" si="15"/>
        <v>30</v>
      </c>
      <c r="F180" s="170">
        <f t="shared" si="16"/>
        <v>-28953.010496739902</v>
      </c>
      <c r="G180" s="175">
        <f t="shared" si="18"/>
        <v>11797.227094470658</v>
      </c>
      <c r="H180" s="170">
        <f t="shared" si="19"/>
        <v>-260.57709447065912</v>
      </c>
      <c r="I180" s="170">
        <v>0</v>
      </c>
      <c r="J180" s="170">
        <v>11536.65</v>
      </c>
      <c r="K180" s="170">
        <f t="shared" si="17"/>
        <v>-40750.237591210564</v>
      </c>
    </row>
    <row r="181" spans="2:11" x14ac:dyDescent="0.2">
      <c r="B181" s="277">
        <v>174</v>
      </c>
      <c r="C181" s="278">
        <v>50711</v>
      </c>
      <c r="D181" s="173" t="s">
        <v>505</v>
      </c>
      <c r="E181" s="174">
        <f t="shared" si="15"/>
        <v>31</v>
      </c>
      <c r="F181" s="170">
        <f t="shared" si="16"/>
        <v>-40750.237591210564</v>
      </c>
      <c r="G181" s="175">
        <f t="shared" si="18"/>
        <v>11903.402138320895</v>
      </c>
      <c r="H181" s="170">
        <f t="shared" si="19"/>
        <v>-366.75213832089503</v>
      </c>
      <c r="I181" s="170">
        <v>0</v>
      </c>
      <c r="J181" s="170">
        <v>11536.65</v>
      </c>
      <c r="K181" s="170">
        <f t="shared" si="17"/>
        <v>-52653.63972953146</v>
      </c>
    </row>
    <row r="182" spans="2:11" x14ac:dyDescent="0.2">
      <c r="B182" s="277">
        <v>175</v>
      </c>
      <c r="C182" s="278">
        <v>50741</v>
      </c>
      <c r="D182" s="173" t="s">
        <v>505</v>
      </c>
      <c r="E182" s="174">
        <f t="shared" si="15"/>
        <v>30</v>
      </c>
      <c r="F182" s="170">
        <f t="shared" si="16"/>
        <v>-52653.63972953146</v>
      </c>
      <c r="G182" s="175">
        <f t="shared" si="18"/>
        <v>12010.532757565783</v>
      </c>
      <c r="H182" s="170">
        <f t="shared" si="19"/>
        <v>-473.88275756578309</v>
      </c>
      <c r="I182" s="170">
        <v>0</v>
      </c>
      <c r="J182" s="170">
        <v>11536.65</v>
      </c>
      <c r="K182" s="170">
        <f t="shared" si="17"/>
        <v>-64664.172487097239</v>
      </c>
    </row>
    <row r="183" spans="2:11" x14ac:dyDescent="0.2">
      <c r="B183" s="277">
        <v>176</v>
      </c>
      <c r="C183" s="278">
        <v>50772</v>
      </c>
      <c r="D183" s="173" t="s">
        <v>505</v>
      </c>
      <c r="E183" s="174">
        <f t="shared" si="15"/>
        <v>31</v>
      </c>
      <c r="F183" s="170">
        <f t="shared" si="16"/>
        <v>-64664.172487097239</v>
      </c>
      <c r="G183" s="175">
        <f t="shared" si="18"/>
        <v>12118.627552383874</v>
      </c>
      <c r="H183" s="170">
        <f t="shared" si="19"/>
        <v>-581.97755238387515</v>
      </c>
      <c r="I183" s="170">
        <v>0</v>
      </c>
      <c r="J183" s="170">
        <v>11536.65</v>
      </c>
      <c r="K183" s="170">
        <f t="shared" si="17"/>
        <v>-76782.80003948111</v>
      </c>
    </row>
    <row r="184" spans="2:11" x14ac:dyDescent="0.2">
      <c r="B184" s="277">
        <v>177</v>
      </c>
      <c r="C184" s="278">
        <v>50803</v>
      </c>
      <c r="D184" s="173" t="s">
        <v>505</v>
      </c>
      <c r="E184" s="174">
        <f t="shared" si="15"/>
        <v>31</v>
      </c>
      <c r="F184" s="170">
        <f t="shared" si="16"/>
        <v>-76782.80003948111</v>
      </c>
      <c r="G184" s="175">
        <f t="shared" si="18"/>
        <v>12227.695200355329</v>
      </c>
      <c r="H184" s="170">
        <f t="shared" si="19"/>
        <v>-691.04520035532994</v>
      </c>
      <c r="I184" s="170">
        <v>0</v>
      </c>
      <c r="J184" s="170">
        <v>11536.65</v>
      </c>
      <c r="K184" s="170">
        <f t="shared" si="17"/>
        <v>-89010.49523983644</v>
      </c>
    </row>
    <row r="185" spans="2:11" x14ac:dyDescent="0.2">
      <c r="B185" s="277">
        <v>178</v>
      </c>
      <c r="C185" s="278">
        <v>50831</v>
      </c>
      <c r="D185" s="173" t="s">
        <v>505</v>
      </c>
      <c r="E185" s="174">
        <f t="shared" si="15"/>
        <v>28</v>
      </c>
      <c r="F185" s="170">
        <f t="shared" si="16"/>
        <v>-89010.49523983644</v>
      </c>
      <c r="G185" s="175">
        <f t="shared" si="18"/>
        <v>12337.744457158527</v>
      </c>
      <c r="H185" s="170">
        <f t="shared" si="19"/>
        <v>-801.09445715852792</v>
      </c>
      <c r="I185" s="170">
        <v>0</v>
      </c>
      <c r="J185" s="170">
        <v>11536.65</v>
      </c>
      <c r="K185" s="170">
        <f t="shared" si="17"/>
        <v>-101348.23969699496</v>
      </c>
    </row>
    <row r="186" spans="2:11" x14ac:dyDescent="0.2">
      <c r="B186" s="277">
        <v>179</v>
      </c>
      <c r="C186" s="278">
        <v>50862</v>
      </c>
      <c r="D186" s="173" t="s">
        <v>505</v>
      </c>
      <c r="E186" s="174">
        <f t="shared" si="15"/>
        <v>31</v>
      </c>
      <c r="F186" s="170">
        <f t="shared" si="16"/>
        <v>-101348.23969699496</v>
      </c>
      <c r="G186" s="175">
        <f t="shared" si="18"/>
        <v>12448.784157272954</v>
      </c>
      <c r="H186" s="170">
        <f t="shared" si="19"/>
        <v>-912.13415727295455</v>
      </c>
      <c r="I186" s="170">
        <v>0</v>
      </c>
      <c r="J186" s="170">
        <v>11536.65</v>
      </c>
      <c r="K186" s="170">
        <f t="shared" si="17"/>
        <v>-113797.02385426791</v>
      </c>
    </row>
    <row r="187" spans="2:11" x14ac:dyDescent="0.2">
      <c r="B187" s="277">
        <v>180</v>
      </c>
      <c r="C187" s="278">
        <v>50892</v>
      </c>
      <c r="D187" s="173" t="s">
        <v>505</v>
      </c>
      <c r="E187" s="174">
        <f t="shared" si="15"/>
        <v>30</v>
      </c>
      <c r="F187" s="170">
        <f t="shared" si="16"/>
        <v>-113797.02385426791</v>
      </c>
      <c r="G187" s="175">
        <f t="shared" si="18"/>
        <v>12560.823214688411</v>
      </c>
      <c r="H187" s="170">
        <f t="shared" si="19"/>
        <v>-1024.1732146884112</v>
      </c>
      <c r="I187" s="170">
        <v>0</v>
      </c>
      <c r="J187" s="170">
        <v>11536.65</v>
      </c>
      <c r="K187" s="170">
        <f t="shared" si="17"/>
        <v>-126357.84706895633</v>
      </c>
    </row>
    <row r="188" spans="2:11" x14ac:dyDescent="0.2">
      <c r="B188" s="277"/>
      <c r="C188" s="172"/>
      <c r="D188" s="173"/>
      <c r="E188" s="174"/>
      <c r="F188" s="170"/>
      <c r="G188" s="175"/>
      <c r="H188" s="170"/>
      <c r="I188" s="170"/>
      <c r="J188" s="170"/>
      <c r="K188" s="170"/>
    </row>
    <row r="189" spans="2:11" x14ac:dyDescent="0.2">
      <c r="B189" s="277"/>
      <c r="C189" s="172"/>
      <c r="D189" s="173"/>
      <c r="E189" s="174"/>
      <c r="F189" s="170"/>
      <c r="G189" s="175"/>
      <c r="H189" s="170"/>
      <c r="I189" s="170"/>
      <c r="J189" s="170"/>
      <c r="K189" s="170"/>
    </row>
    <row r="190" spans="2:11" x14ac:dyDescent="0.2">
      <c r="B190" s="277"/>
      <c r="C190" s="172"/>
      <c r="D190" s="173"/>
      <c r="E190" s="174"/>
      <c r="F190" s="170"/>
      <c r="G190" s="175"/>
      <c r="H190" s="170"/>
      <c r="I190" s="170"/>
      <c r="J190" s="170"/>
      <c r="K190" s="170"/>
    </row>
    <row r="191" spans="2:11" x14ac:dyDescent="0.2">
      <c r="B191" s="277"/>
      <c r="C191" s="172"/>
      <c r="D191" s="173"/>
      <c r="E191" s="174"/>
      <c r="F191" s="170"/>
      <c r="G191" s="175"/>
      <c r="H191" s="170"/>
      <c r="I191" s="170"/>
      <c r="J191" s="170"/>
      <c r="K191" s="170"/>
    </row>
    <row r="192" spans="2:11" x14ac:dyDescent="0.2">
      <c r="B192" s="277"/>
      <c r="C192" s="172"/>
      <c r="D192" s="173"/>
      <c r="E192" s="174"/>
      <c r="F192" s="170"/>
      <c r="G192" s="175"/>
      <c r="H192" s="170"/>
      <c r="I192" s="170"/>
      <c r="J192" s="170"/>
      <c r="K192" s="170"/>
    </row>
    <row r="193" spans="2:11" x14ac:dyDescent="0.2">
      <c r="B193" s="277"/>
      <c r="C193" s="172"/>
      <c r="D193" s="173"/>
      <c r="E193" s="174"/>
      <c r="F193" s="170"/>
      <c r="G193" s="175"/>
      <c r="H193" s="170"/>
      <c r="I193" s="170"/>
      <c r="J193" s="170"/>
      <c r="K193" s="170"/>
    </row>
    <row r="194" spans="2:11" x14ac:dyDescent="0.2">
      <c r="B194" s="277"/>
      <c r="C194" s="172"/>
      <c r="D194" s="173"/>
      <c r="E194" s="174"/>
      <c r="F194" s="170"/>
      <c r="G194" s="175"/>
      <c r="H194" s="170"/>
      <c r="I194" s="170"/>
      <c r="J194" s="170"/>
      <c r="K194" s="170"/>
    </row>
    <row r="195" spans="2:11" x14ac:dyDescent="0.2">
      <c r="B195" s="277"/>
      <c r="C195" s="172"/>
      <c r="D195" s="173"/>
      <c r="E195" s="174"/>
      <c r="F195" s="170"/>
      <c r="G195" s="175"/>
      <c r="H195" s="170"/>
      <c r="I195" s="170"/>
      <c r="J195" s="170"/>
      <c r="K195" s="170"/>
    </row>
    <row r="196" spans="2:11" x14ac:dyDescent="0.2">
      <c r="B196" s="277"/>
      <c r="C196" s="172"/>
      <c r="D196" s="173"/>
      <c r="E196" s="174"/>
      <c r="F196" s="170"/>
      <c r="G196" s="175"/>
      <c r="H196" s="170"/>
      <c r="I196" s="170"/>
      <c r="J196" s="170"/>
      <c r="K196" s="170"/>
    </row>
    <row r="197" spans="2:11" x14ac:dyDescent="0.2">
      <c r="B197" s="277"/>
      <c r="C197" s="172"/>
      <c r="D197" s="173"/>
      <c r="E197" s="174"/>
      <c r="F197" s="170"/>
      <c r="G197" s="175"/>
      <c r="H197" s="170"/>
      <c r="I197" s="170"/>
      <c r="J197" s="170"/>
      <c r="K197" s="170"/>
    </row>
    <row r="198" spans="2:11" x14ac:dyDescent="0.2">
      <c r="B198" s="277"/>
      <c r="C198" s="172"/>
      <c r="D198" s="173"/>
      <c r="E198" s="174"/>
      <c r="F198" s="170"/>
      <c r="G198" s="175"/>
      <c r="H198" s="170"/>
      <c r="I198" s="170"/>
      <c r="J198" s="170"/>
      <c r="K198" s="170"/>
    </row>
    <row r="199" spans="2:11" x14ac:dyDescent="0.2">
      <c r="B199" s="277"/>
      <c r="C199" s="172"/>
      <c r="D199" s="173"/>
      <c r="E199" s="174"/>
      <c r="F199" s="170"/>
      <c r="G199" s="175"/>
      <c r="H199" s="170"/>
      <c r="I199" s="170"/>
      <c r="J199" s="170"/>
      <c r="K199" s="170"/>
    </row>
    <row r="200" spans="2:11" x14ac:dyDescent="0.2">
      <c r="B200" s="277"/>
      <c r="C200" s="172"/>
      <c r="D200" s="173"/>
      <c r="E200" s="174"/>
      <c r="F200" s="170"/>
      <c r="G200" s="175"/>
      <c r="H200" s="170"/>
      <c r="I200" s="170"/>
      <c r="J200" s="170"/>
      <c r="K200" s="170"/>
    </row>
    <row r="201" spans="2:11" x14ac:dyDescent="0.2">
      <c r="B201" s="277"/>
      <c r="C201" s="172"/>
      <c r="D201" s="173"/>
      <c r="E201" s="174"/>
      <c r="F201" s="170"/>
      <c r="G201" s="175"/>
      <c r="H201" s="170"/>
      <c r="I201" s="170"/>
      <c r="J201" s="170"/>
      <c r="K201" s="170"/>
    </row>
    <row r="202" spans="2:11" x14ac:dyDescent="0.2">
      <c r="B202" s="277"/>
      <c r="C202" s="172"/>
      <c r="D202" s="173"/>
      <c r="E202" s="174"/>
      <c r="F202" s="170"/>
      <c r="G202" s="175"/>
      <c r="H202" s="170"/>
      <c r="I202" s="170"/>
      <c r="J202" s="170"/>
      <c r="K202" s="170"/>
    </row>
    <row r="203" spans="2:11" x14ac:dyDescent="0.2">
      <c r="B203" s="277"/>
      <c r="C203" s="172"/>
      <c r="D203" s="173"/>
      <c r="E203" s="174"/>
      <c r="F203" s="170"/>
      <c r="G203" s="175"/>
      <c r="H203" s="170"/>
      <c r="I203" s="170"/>
      <c r="J203" s="170"/>
      <c r="K203" s="170"/>
    </row>
    <row r="204" spans="2:11" x14ac:dyDescent="0.2">
      <c r="B204" s="277"/>
      <c r="C204" s="172"/>
      <c r="D204" s="173"/>
      <c r="E204" s="174"/>
      <c r="F204" s="170"/>
      <c r="G204" s="175"/>
      <c r="H204" s="170"/>
      <c r="I204" s="170"/>
      <c r="J204" s="170"/>
      <c r="K204" s="170"/>
    </row>
    <row r="205" spans="2:11" x14ac:dyDescent="0.2">
      <c r="B205" s="277"/>
      <c r="C205" s="172"/>
      <c r="D205" s="173"/>
      <c r="E205" s="174"/>
      <c r="F205" s="170"/>
      <c r="G205" s="175"/>
      <c r="H205" s="170"/>
      <c r="I205" s="170"/>
      <c r="J205" s="170"/>
      <c r="K205" s="170"/>
    </row>
    <row r="206" spans="2:11" x14ac:dyDescent="0.2">
      <c r="B206" s="277"/>
      <c r="C206" s="172"/>
      <c r="D206" s="173"/>
      <c r="E206" s="174"/>
      <c r="F206" s="170"/>
      <c r="G206" s="175"/>
      <c r="H206" s="170"/>
      <c r="I206" s="170"/>
      <c r="J206" s="170"/>
      <c r="K206" s="170"/>
    </row>
    <row r="207" spans="2:11" x14ac:dyDescent="0.2">
      <c r="B207" s="277"/>
      <c r="C207" s="172"/>
      <c r="D207" s="173"/>
      <c r="E207" s="174"/>
      <c r="F207" s="170"/>
      <c r="G207" s="175"/>
      <c r="H207" s="170"/>
      <c r="I207" s="170"/>
      <c r="J207" s="170"/>
      <c r="K207" s="170"/>
    </row>
    <row r="208" spans="2:11" x14ac:dyDescent="0.2">
      <c r="B208" s="277"/>
      <c r="C208" s="172"/>
      <c r="D208" s="173"/>
      <c r="E208" s="174"/>
      <c r="F208" s="170"/>
      <c r="G208" s="175"/>
      <c r="H208" s="170"/>
      <c r="I208" s="170"/>
      <c r="J208" s="170"/>
      <c r="K208" s="170"/>
    </row>
    <row r="209" spans="2:11" x14ac:dyDescent="0.2">
      <c r="B209" s="277"/>
      <c r="C209" s="172"/>
      <c r="D209" s="173"/>
      <c r="E209" s="174"/>
      <c r="F209" s="170"/>
      <c r="G209" s="175"/>
      <c r="H209" s="170"/>
      <c r="I209" s="170"/>
      <c r="J209" s="170"/>
      <c r="K209" s="170"/>
    </row>
    <row r="210" spans="2:11" x14ac:dyDescent="0.2">
      <c r="B210" s="277"/>
      <c r="C210" s="172"/>
      <c r="D210" s="173"/>
      <c r="E210" s="174"/>
      <c r="F210" s="170"/>
      <c r="G210" s="175"/>
      <c r="H210" s="170"/>
      <c r="I210" s="170"/>
      <c r="J210" s="170"/>
      <c r="K210" s="170"/>
    </row>
    <row r="211" spans="2:11" x14ac:dyDescent="0.2">
      <c r="B211" s="277"/>
      <c r="C211" s="172"/>
      <c r="D211" s="173"/>
      <c r="E211" s="174"/>
      <c r="F211" s="170"/>
      <c r="G211" s="175"/>
      <c r="H211" s="170"/>
      <c r="I211" s="170"/>
      <c r="J211" s="170"/>
      <c r="K211" s="170"/>
    </row>
    <row r="212" spans="2:11" x14ac:dyDescent="0.2">
      <c r="B212" s="277"/>
      <c r="C212" s="172"/>
      <c r="D212" s="173"/>
      <c r="E212" s="174"/>
      <c r="F212" s="170"/>
      <c r="G212" s="175"/>
      <c r="H212" s="170"/>
      <c r="I212" s="170"/>
      <c r="J212" s="170"/>
      <c r="K212" s="170"/>
    </row>
    <row r="213" spans="2:11" x14ac:dyDescent="0.2">
      <c r="B213" s="277"/>
      <c r="C213" s="172"/>
      <c r="D213" s="173"/>
      <c r="E213" s="174"/>
      <c r="F213" s="170"/>
      <c r="G213" s="175"/>
      <c r="H213" s="170"/>
      <c r="I213" s="170"/>
      <c r="J213" s="170"/>
      <c r="K213" s="170"/>
    </row>
    <row r="214" spans="2:11" x14ac:dyDescent="0.2">
      <c r="B214" s="277"/>
      <c r="C214" s="172"/>
      <c r="D214" s="173"/>
      <c r="E214" s="174"/>
      <c r="F214" s="170"/>
      <c r="G214" s="175"/>
      <c r="H214" s="170"/>
      <c r="I214" s="170"/>
      <c r="J214" s="170"/>
      <c r="K214" s="170"/>
    </row>
    <row r="215" spans="2:11" x14ac:dyDescent="0.2">
      <c r="B215" s="277"/>
      <c r="C215" s="172"/>
      <c r="D215" s="173"/>
      <c r="E215" s="174"/>
      <c r="F215" s="170"/>
      <c r="G215" s="175"/>
      <c r="H215" s="170"/>
      <c r="I215" s="170"/>
      <c r="J215" s="170"/>
      <c r="K215" s="170"/>
    </row>
    <row r="216" spans="2:11" x14ac:dyDescent="0.2">
      <c r="B216" s="277"/>
      <c r="C216" s="172"/>
      <c r="D216" s="173"/>
      <c r="E216" s="174"/>
      <c r="F216" s="170"/>
      <c r="G216" s="175"/>
      <c r="H216" s="170"/>
      <c r="I216" s="170"/>
      <c r="J216" s="170"/>
      <c r="K216" s="170"/>
    </row>
    <row r="217" spans="2:11" x14ac:dyDescent="0.2">
      <c r="B217" s="277"/>
      <c r="C217" s="172"/>
      <c r="D217" s="173"/>
      <c r="E217" s="174"/>
      <c r="F217" s="170"/>
      <c r="G217" s="175"/>
      <c r="H217" s="170"/>
      <c r="I217" s="170"/>
      <c r="J217" s="170"/>
      <c r="K217" s="170"/>
    </row>
    <row r="218" spans="2:11" x14ac:dyDescent="0.2">
      <c r="B218" s="277"/>
      <c r="C218" s="172"/>
      <c r="D218" s="173"/>
      <c r="E218" s="174"/>
      <c r="F218" s="170"/>
      <c r="G218" s="175"/>
      <c r="H218" s="170"/>
      <c r="I218" s="170"/>
      <c r="J218" s="170"/>
      <c r="K218" s="170"/>
    </row>
    <row r="219" spans="2:11" x14ac:dyDescent="0.2">
      <c r="B219" s="277"/>
      <c r="C219" s="172"/>
      <c r="D219" s="173"/>
      <c r="E219" s="174"/>
      <c r="F219" s="170"/>
      <c r="G219" s="175"/>
      <c r="H219" s="170"/>
      <c r="I219" s="170"/>
      <c r="J219" s="170"/>
      <c r="K219" s="17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9E5C-EF82-43BE-8510-833A3DB526BA}">
  <dimension ref="A1:P142"/>
  <sheetViews>
    <sheetView workbookViewId="0">
      <pane ySplit="6" topLeftCell="A69" activePane="bottomLeft" state="frozen"/>
      <selection pane="bottomLeft" activeCell="B72" sqref="B72"/>
    </sheetView>
  </sheetViews>
  <sheetFormatPr baseColWidth="10" defaultRowHeight="15" x14ac:dyDescent="0.2"/>
  <cols>
    <col min="1" max="1" width="2.44140625" customWidth="1"/>
    <col min="2" max="2" width="6.109375" customWidth="1"/>
    <col min="3" max="3" width="12.77734375" customWidth="1"/>
  </cols>
  <sheetData>
    <row r="1" spans="1:16" ht="15.75" x14ac:dyDescent="0.2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21" x14ac:dyDescent="0.35">
      <c r="A2" s="96"/>
      <c r="B2" s="176" t="s">
        <v>506</v>
      </c>
      <c r="C2" s="96"/>
      <c r="D2" s="96"/>
      <c r="E2" s="96"/>
      <c r="F2" s="96"/>
      <c r="G2" s="177" t="s">
        <v>507</v>
      </c>
      <c r="H2" s="96"/>
      <c r="I2" s="96"/>
      <c r="J2" s="96"/>
      <c r="K2" s="96"/>
      <c r="L2" s="96"/>
      <c r="M2" s="96"/>
      <c r="N2" s="96"/>
      <c r="O2" s="96"/>
      <c r="P2" s="96"/>
    </row>
    <row r="3" spans="1:16" ht="15.75" x14ac:dyDescent="0.25">
      <c r="A3" s="96"/>
      <c r="B3" s="178" t="s">
        <v>508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</row>
    <row r="4" spans="1:16" ht="18" x14ac:dyDescent="0.25">
      <c r="A4" s="96"/>
      <c r="B4" s="179" t="s">
        <v>509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</row>
    <row r="5" spans="1:16" ht="15.75" x14ac:dyDescent="0.25">
      <c r="A5" s="96"/>
      <c r="B5" s="96"/>
      <c r="C5" s="96"/>
      <c r="D5" s="96"/>
      <c r="E5" s="96"/>
      <c r="F5" s="180" t="s">
        <v>510</v>
      </c>
      <c r="G5" s="180"/>
      <c r="H5" s="181">
        <v>1532.43</v>
      </c>
      <c r="I5" s="182">
        <v>0.13420000000000001</v>
      </c>
      <c r="J5" s="96"/>
      <c r="K5" s="96"/>
      <c r="L5" s="183">
        <f t="shared" ref="L5:N5" si="0">SUBTOTAL(9,L6:L123)</f>
        <v>3360</v>
      </c>
      <c r="M5" s="183">
        <f t="shared" si="0"/>
        <v>104516.14937466667</v>
      </c>
      <c r="N5" s="183">
        <f t="shared" si="0"/>
        <v>101657.5</v>
      </c>
      <c r="O5" s="184">
        <f>M5-N5</f>
        <v>2858.6493746666674</v>
      </c>
      <c r="P5" s="96"/>
    </row>
    <row r="6" spans="1:16" ht="31.5" x14ac:dyDescent="0.25">
      <c r="A6" s="96"/>
      <c r="B6" s="185" t="s">
        <v>495</v>
      </c>
      <c r="C6" s="185" t="s">
        <v>496</v>
      </c>
      <c r="D6" s="185" t="s">
        <v>497</v>
      </c>
      <c r="E6" s="185" t="s">
        <v>498</v>
      </c>
      <c r="F6" s="185" t="s">
        <v>499</v>
      </c>
      <c r="G6" s="185" t="s">
        <v>511</v>
      </c>
      <c r="H6" s="185" t="s">
        <v>500</v>
      </c>
      <c r="I6" s="185" t="s">
        <v>501</v>
      </c>
      <c r="J6" s="185" t="s">
        <v>512</v>
      </c>
      <c r="K6" s="185" t="s">
        <v>513</v>
      </c>
      <c r="L6" s="185" t="s">
        <v>514</v>
      </c>
      <c r="M6" s="185" t="s">
        <v>515</v>
      </c>
      <c r="N6" s="185" t="s">
        <v>235</v>
      </c>
      <c r="O6" s="185" t="s">
        <v>503</v>
      </c>
      <c r="P6" s="186" t="s">
        <v>516</v>
      </c>
    </row>
    <row r="7" spans="1:16" ht="15.75" x14ac:dyDescent="0.25">
      <c r="A7" s="96"/>
      <c r="B7" s="187">
        <v>129</v>
      </c>
      <c r="C7" s="188">
        <v>43466</v>
      </c>
      <c r="D7" s="189" t="s">
        <v>517</v>
      </c>
      <c r="E7" s="190">
        <v>30</v>
      </c>
      <c r="F7" s="191">
        <v>90943.84</v>
      </c>
      <c r="G7" s="191">
        <v>0</v>
      </c>
      <c r="H7" s="191">
        <v>410.96</v>
      </c>
      <c r="I7" s="191">
        <v>1017.06</v>
      </c>
      <c r="J7" s="191">
        <v>15.36</v>
      </c>
      <c r="K7" s="191">
        <v>59.05</v>
      </c>
      <c r="L7" s="191">
        <v>30</v>
      </c>
      <c r="M7" s="191">
        <v>1532.43</v>
      </c>
      <c r="N7" s="191">
        <v>1532.5</v>
      </c>
      <c r="O7" s="191">
        <f t="shared" ref="O7:O120" si="1">+F7-H7-G7</f>
        <v>90532.87999999999</v>
      </c>
      <c r="P7" s="96"/>
    </row>
    <row r="8" spans="1:16" ht="15.75" x14ac:dyDescent="0.25">
      <c r="A8" s="96"/>
      <c r="B8" s="187">
        <v>130</v>
      </c>
      <c r="C8" s="188">
        <v>43497</v>
      </c>
      <c r="D8" s="189" t="s">
        <v>517</v>
      </c>
      <c r="E8" s="190">
        <v>30</v>
      </c>
      <c r="F8" s="191">
        <f t="shared" ref="F8:F120" si="2">O7</f>
        <v>90532.87999999999</v>
      </c>
      <c r="G8" s="191">
        <v>0</v>
      </c>
      <c r="H8" s="191">
        <v>415.56</v>
      </c>
      <c r="I8" s="191">
        <f>(F8*$I$5)/12</f>
        <v>1012.4593746666666</v>
      </c>
      <c r="J8" s="191">
        <v>15.36</v>
      </c>
      <c r="K8" s="191">
        <v>59.05</v>
      </c>
      <c r="L8" s="191">
        <v>30</v>
      </c>
      <c r="M8" s="191">
        <f>SUM(H8:L8)</f>
        <v>1532.4293746666665</v>
      </c>
      <c r="N8" s="191">
        <v>1532.5</v>
      </c>
      <c r="O8" s="191">
        <f t="shared" si="1"/>
        <v>90117.319999999992</v>
      </c>
      <c r="P8" s="96"/>
    </row>
    <row r="9" spans="1:16" ht="15.75" x14ac:dyDescent="0.25">
      <c r="A9" s="96"/>
      <c r="B9" s="187">
        <v>131</v>
      </c>
      <c r="C9" s="188">
        <v>43525</v>
      </c>
      <c r="D9" s="189" t="s">
        <v>517</v>
      </c>
      <c r="E9" s="190">
        <v>30</v>
      </c>
      <c r="F9" s="191">
        <f t="shared" si="2"/>
        <v>90117.319999999992</v>
      </c>
      <c r="G9" s="191">
        <v>0</v>
      </c>
      <c r="H9" s="191">
        <v>420.21</v>
      </c>
      <c r="I9" s="191">
        <v>1007.81</v>
      </c>
      <c r="J9" s="191">
        <v>15.36</v>
      </c>
      <c r="K9" s="191">
        <v>59.05</v>
      </c>
      <c r="L9" s="191">
        <v>30</v>
      </c>
      <c r="M9" s="191">
        <v>1532.43</v>
      </c>
      <c r="N9" s="191">
        <v>1532.5</v>
      </c>
      <c r="O9" s="191">
        <f t="shared" si="1"/>
        <v>89697.109999999986</v>
      </c>
      <c r="P9" s="96"/>
    </row>
    <row r="10" spans="1:16" ht="15.75" x14ac:dyDescent="0.25">
      <c r="A10" s="96"/>
      <c r="B10" s="187">
        <v>132</v>
      </c>
      <c r="C10" s="188">
        <v>43556</v>
      </c>
      <c r="D10" s="189" t="s">
        <v>517</v>
      </c>
      <c r="E10" s="190">
        <v>30</v>
      </c>
      <c r="F10" s="191">
        <f t="shared" si="2"/>
        <v>89697.109999999986</v>
      </c>
      <c r="G10" s="191">
        <v>0</v>
      </c>
      <c r="H10" s="191">
        <v>424.91</v>
      </c>
      <c r="I10" s="191">
        <v>1003.11</v>
      </c>
      <c r="J10" s="191">
        <v>15.36</v>
      </c>
      <c r="K10" s="191">
        <v>59.05</v>
      </c>
      <c r="L10" s="191">
        <v>30</v>
      </c>
      <c r="M10" s="191">
        <v>1532.43</v>
      </c>
      <c r="N10" s="191">
        <v>1532.5</v>
      </c>
      <c r="O10" s="191">
        <f t="shared" si="1"/>
        <v>89272.199999999983</v>
      </c>
      <c r="P10" s="96"/>
    </row>
    <row r="11" spans="1:16" ht="15.75" x14ac:dyDescent="0.25">
      <c r="A11" s="96"/>
      <c r="B11" s="187">
        <v>133</v>
      </c>
      <c r="C11" s="188">
        <v>43586</v>
      </c>
      <c r="D11" s="189" t="s">
        <v>517</v>
      </c>
      <c r="E11" s="190">
        <v>30</v>
      </c>
      <c r="F11" s="191">
        <f t="shared" si="2"/>
        <v>89272.199999999983</v>
      </c>
      <c r="G11" s="191">
        <v>0</v>
      </c>
      <c r="H11" s="191">
        <v>429.66</v>
      </c>
      <c r="I11" s="191">
        <v>998.36</v>
      </c>
      <c r="J11" s="191">
        <v>15.36</v>
      </c>
      <c r="K11" s="191">
        <v>59.05</v>
      </c>
      <c r="L11" s="191">
        <v>30</v>
      </c>
      <c r="M11" s="191">
        <v>1532.43</v>
      </c>
      <c r="N11" s="191">
        <v>1532.5</v>
      </c>
      <c r="O11" s="191">
        <f t="shared" si="1"/>
        <v>88842.539999999979</v>
      </c>
      <c r="P11" s="96"/>
    </row>
    <row r="12" spans="1:16" ht="15.75" x14ac:dyDescent="0.25">
      <c r="A12" s="96"/>
      <c r="B12" s="187">
        <v>134</v>
      </c>
      <c r="C12" s="188">
        <v>43617</v>
      </c>
      <c r="D12" s="189" t="s">
        <v>517</v>
      </c>
      <c r="E12" s="190">
        <v>30</v>
      </c>
      <c r="F12" s="191">
        <f t="shared" si="2"/>
        <v>88842.539999999979</v>
      </c>
      <c r="G12" s="191">
        <v>0</v>
      </c>
      <c r="H12" s="191">
        <v>434.46</v>
      </c>
      <c r="I12" s="191">
        <v>993.56</v>
      </c>
      <c r="J12" s="191">
        <v>15.36</v>
      </c>
      <c r="K12" s="191">
        <v>59.05</v>
      </c>
      <c r="L12" s="191">
        <v>30</v>
      </c>
      <c r="M12" s="191">
        <v>1532.43</v>
      </c>
      <c r="N12" s="191">
        <v>1532.5</v>
      </c>
      <c r="O12" s="191">
        <f t="shared" si="1"/>
        <v>88408.079999999973</v>
      </c>
      <c r="P12" s="96"/>
    </row>
    <row r="13" spans="1:16" ht="15.75" x14ac:dyDescent="0.25">
      <c r="A13" s="96"/>
      <c r="B13" s="187">
        <v>135</v>
      </c>
      <c r="C13" s="188">
        <v>43647</v>
      </c>
      <c r="D13" s="189" t="s">
        <v>517</v>
      </c>
      <c r="E13" s="190">
        <v>30</v>
      </c>
      <c r="F13" s="191">
        <f t="shared" si="2"/>
        <v>88408.079999999973</v>
      </c>
      <c r="G13" s="191">
        <v>0</v>
      </c>
      <c r="H13" s="191">
        <v>439.32</v>
      </c>
      <c r="I13" s="191">
        <v>988.7</v>
      </c>
      <c r="J13" s="191">
        <v>15.36</v>
      </c>
      <c r="K13" s="191">
        <v>59.05</v>
      </c>
      <c r="L13" s="191">
        <v>30</v>
      </c>
      <c r="M13" s="191">
        <v>1532.43</v>
      </c>
      <c r="N13" s="191">
        <v>1532.5</v>
      </c>
      <c r="O13" s="191">
        <f t="shared" si="1"/>
        <v>87968.759999999966</v>
      </c>
      <c r="P13" s="96"/>
    </row>
    <row r="14" spans="1:16" ht="15.75" x14ac:dyDescent="0.25">
      <c r="A14" s="96"/>
      <c r="B14" s="187">
        <v>136</v>
      </c>
      <c r="C14" s="188">
        <v>43678</v>
      </c>
      <c r="D14" s="189" t="s">
        <v>517</v>
      </c>
      <c r="E14" s="190">
        <v>30</v>
      </c>
      <c r="F14" s="191">
        <f t="shared" si="2"/>
        <v>87968.759999999966</v>
      </c>
      <c r="G14" s="191">
        <v>0</v>
      </c>
      <c r="H14" s="191">
        <v>444.24</v>
      </c>
      <c r="I14" s="191">
        <v>983.78</v>
      </c>
      <c r="J14" s="191">
        <v>15.36</v>
      </c>
      <c r="K14" s="191">
        <v>59.05</v>
      </c>
      <c r="L14" s="191">
        <v>30</v>
      </c>
      <c r="M14" s="191">
        <v>1532.43</v>
      </c>
      <c r="N14" s="191">
        <v>1532.5</v>
      </c>
      <c r="O14" s="191">
        <f t="shared" si="1"/>
        <v>87524.51999999996</v>
      </c>
      <c r="P14" s="96"/>
    </row>
    <row r="15" spans="1:16" ht="15.75" x14ac:dyDescent="0.25">
      <c r="A15" s="96"/>
      <c r="B15" s="187">
        <v>137</v>
      </c>
      <c r="C15" s="188">
        <v>43709</v>
      </c>
      <c r="D15" s="189" t="s">
        <v>517</v>
      </c>
      <c r="E15" s="190">
        <v>30</v>
      </c>
      <c r="F15" s="191">
        <f t="shared" si="2"/>
        <v>87524.51999999996</v>
      </c>
      <c r="G15" s="191">
        <v>0</v>
      </c>
      <c r="H15" s="191">
        <f t="shared" ref="H15:H17" si="3">$H$5-SUM(I15:L15)</f>
        <v>449.20411800000034</v>
      </c>
      <c r="I15" s="191">
        <f t="shared" ref="I15:I17" si="4">(F15*$I$5)/12</f>
        <v>978.81588199999976</v>
      </c>
      <c r="J15" s="191">
        <v>15.36</v>
      </c>
      <c r="K15" s="191">
        <v>59.05</v>
      </c>
      <c r="L15" s="191">
        <v>30</v>
      </c>
      <c r="M15" s="191">
        <f>SUM(H15:L15)</f>
        <v>1532.4299999999998</v>
      </c>
      <c r="N15" s="191">
        <v>1532.5</v>
      </c>
      <c r="O15" s="191">
        <f t="shared" si="1"/>
        <v>87075.315881999966</v>
      </c>
      <c r="P15" s="96"/>
    </row>
    <row r="16" spans="1:16" ht="15.75" x14ac:dyDescent="0.25">
      <c r="A16" s="96"/>
      <c r="B16" s="187">
        <f t="shared" ref="B16:B79" si="5">B15+1</f>
        <v>138</v>
      </c>
      <c r="C16" s="188">
        <v>43739</v>
      </c>
      <c r="D16" s="189" t="s">
        <v>517</v>
      </c>
      <c r="E16" s="190">
        <v>30</v>
      </c>
      <c r="F16" s="191">
        <f t="shared" si="2"/>
        <v>87075.315881999966</v>
      </c>
      <c r="G16" s="191">
        <v>0</v>
      </c>
      <c r="H16" s="191">
        <f t="shared" si="3"/>
        <v>454.22771738630036</v>
      </c>
      <c r="I16" s="191">
        <f t="shared" si="4"/>
        <v>973.79228261369974</v>
      </c>
      <c r="J16" s="191">
        <v>15.36</v>
      </c>
      <c r="K16" s="191">
        <v>59.05</v>
      </c>
      <c r="L16" s="191">
        <v>30</v>
      </c>
      <c r="M16" s="191">
        <f t="shared" ref="M16:M65" si="6">SUM(G16:L16)</f>
        <v>1532.4299999999998</v>
      </c>
      <c r="N16" s="191">
        <v>1532.5</v>
      </c>
      <c r="O16" s="191">
        <f t="shared" si="1"/>
        <v>86621.08816461367</v>
      </c>
      <c r="P16" s="96"/>
    </row>
    <row r="17" spans="1:16" ht="15.75" x14ac:dyDescent="0.25">
      <c r="A17" s="96"/>
      <c r="B17" s="187">
        <f t="shared" si="5"/>
        <v>139</v>
      </c>
      <c r="C17" s="188">
        <v>43770</v>
      </c>
      <c r="D17" s="189" t="s">
        <v>517</v>
      </c>
      <c r="E17" s="190">
        <v>30</v>
      </c>
      <c r="F17" s="191">
        <f t="shared" si="2"/>
        <v>86621.08816461367</v>
      </c>
      <c r="G17" s="191">
        <v>0</v>
      </c>
      <c r="H17" s="191">
        <f t="shared" si="3"/>
        <v>459.30749735907057</v>
      </c>
      <c r="I17" s="191">
        <f t="shared" si="4"/>
        <v>968.71250264092953</v>
      </c>
      <c r="J17" s="191">
        <v>15.36</v>
      </c>
      <c r="K17" s="191">
        <v>59.05</v>
      </c>
      <c r="L17" s="191">
        <v>30</v>
      </c>
      <c r="M17" s="191">
        <f t="shared" si="6"/>
        <v>1532.4299999999998</v>
      </c>
      <c r="N17" s="191">
        <v>1532.5</v>
      </c>
      <c r="O17" s="191">
        <f t="shared" si="1"/>
        <v>86161.780667254599</v>
      </c>
      <c r="P17" s="96"/>
    </row>
    <row r="18" spans="1:16" ht="15.75" x14ac:dyDescent="0.25">
      <c r="A18" s="96"/>
      <c r="B18" s="187">
        <f t="shared" si="5"/>
        <v>140</v>
      </c>
      <c r="C18" s="188">
        <v>43800</v>
      </c>
      <c r="D18" s="189" t="s">
        <v>517</v>
      </c>
      <c r="E18" s="190">
        <v>30</v>
      </c>
      <c r="F18" s="191">
        <f t="shared" si="2"/>
        <v>86161.780667254599</v>
      </c>
      <c r="G18" s="191">
        <f>77.26</f>
        <v>77.260000000000005</v>
      </c>
      <c r="H18" s="191">
        <v>465.31</v>
      </c>
      <c r="I18" s="191">
        <v>962.71</v>
      </c>
      <c r="J18" s="191">
        <v>15.36</v>
      </c>
      <c r="K18" s="191">
        <v>59.05</v>
      </c>
      <c r="L18" s="191">
        <v>30</v>
      </c>
      <c r="M18" s="191">
        <f t="shared" si="6"/>
        <v>1609.69</v>
      </c>
      <c r="N18" s="191">
        <v>1600</v>
      </c>
      <c r="O18" s="191">
        <f t="shared" si="1"/>
        <v>85619.210667254607</v>
      </c>
      <c r="P18" s="96"/>
    </row>
    <row r="19" spans="1:16" ht="15.75" x14ac:dyDescent="0.25">
      <c r="A19" s="96"/>
      <c r="B19" s="192">
        <f t="shared" si="5"/>
        <v>141</v>
      </c>
      <c r="C19" s="193">
        <v>43831</v>
      </c>
      <c r="D19" s="194" t="s">
        <v>517</v>
      </c>
      <c r="E19" s="195">
        <v>30</v>
      </c>
      <c r="F19" s="196">
        <f t="shared" si="2"/>
        <v>85619.210667254607</v>
      </c>
      <c r="G19" s="196">
        <v>67.569999999999993</v>
      </c>
      <c r="H19" s="196">
        <v>471.27</v>
      </c>
      <c r="I19" s="196">
        <v>956.75</v>
      </c>
      <c r="J19" s="196">
        <v>15.36</v>
      </c>
      <c r="K19" s="196">
        <v>59.05</v>
      </c>
      <c r="L19" s="196">
        <v>30</v>
      </c>
      <c r="M19" s="196">
        <f t="shared" si="6"/>
        <v>1599.9999999999998</v>
      </c>
      <c r="N19" s="196">
        <v>1600</v>
      </c>
      <c r="O19" s="196">
        <f t="shared" si="1"/>
        <v>85080.370667254596</v>
      </c>
      <c r="P19" s="96"/>
    </row>
    <row r="20" spans="1:16" ht="15.75" x14ac:dyDescent="0.25">
      <c r="A20" s="96"/>
      <c r="B20" s="192">
        <f t="shared" si="5"/>
        <v>142</v>
      </c>
      <c r="C20" s="193">
        <v>43862</v>
      </c>
      <c r="D20" s="194" t="s">
        <v>517</v>
      </c>
      <c r="E20" s="195">
        <v>30</v>
      </c>
      <c r="F20" s="196">
        <f t="shared" si="2"/>
        <v>85080.370667254596</v>
      </c>
      <c r="G20" s="196">
        <v>67.569999999999993</v>
      </c>
      <c r="H20" s="196">
        <v>477.29</v>
      </c>
      <c r="I20" s="196">
        <v>950.73</v>
      </c>
      <c r="J20" s="196">
        <v>15.36</v>
      </c>
      <c r="K20" s="196">
        <v>59.05</v>
      </c>
      <c r="L20" s="196">
        <v>30</v>
      </c>
      <c r="M20" s="196">
        <f t="shared" si="6"/>
        <v>1600</v>
      </c>
      <c r="N20" s="196">
        <v>1600</v>
      </c>
      <c r="O20" s="196">
        <f t="shared" si="1"/>
        <v>84535.510667254595</v>
      </c>
      <c r="P20" s="96"/>
    </row>
    <row r="21" spans="1:16" ht="15.75" x14ac:dyDescent="0.25">
      <c r="A21" s="96"/>
      <c r="B21" s="192">
        <f t="shared" si="5"/>
        <v>143</v>
      </c>
      <c r="C21" s="193">
        <v>43891</v>
      </c>
      <c r="D21" s="194" t="s">
        <v>517</v>
      </c>
      <c r="E21" s="195">
        <v>30</v>
      </c>
      <c r="F21" s="196">
        <f t="shared" si="2"/>
        <v>84535.510667254595</v>
      </c>
      <c r="G21" s="196">
        <v>67.569999999999993</v>
      </c>
      <c r="H21" s="196">
        <v>483.39</v>
      </c>
      <c r="I21" s="196">
        <v>944.63</v>
      </c>
      <c r="J21" s="196">
        <v>15.36</v>
      </c>
      <c r="K21" s="196">
        <v>59.05</v>
      </c>
      <c r="L21" s="196">
        <v>30</v>
      </c>
      <c r="M21" s="196">
        <f t="shared" si="6"/>
        <v>1600</v>
      </c>
      <c r="N21" s="196">
        <v>1600</v>
      </c>
      <c r="O21" s="196">
        <f t="shared" si="1"/>
        <v>83984.550667254589</v>
      </c>
      <c r="P21" s="96"/>
    </row>
    <row r="22" spans="1:16" ht="15.75" x14ac:dyDescent="0.25">
      <c r="A22" s="96"/>
      <c r="B22" s="192">
        <f t="shared" si="5"/>
        <v>144</v>
      </c>
      <c r="C22" s="193">
        <v>43922</v>
      </c>
      <c r="D22" s="194" t="s">
        <v>517</v>
      </c>
      <c r="E22" s="195">
        <v>30</v>
      </c>
      <c r="F22" s="196">
        <f t="shared" si="2"/>
        <v>83984.550667254589</v>
      </c>
      <c r="G22" s="196">
        <v>67.569999999999993</v>
      </c>
      <c r="H22" s="196">
        <v>489.55</v>
      </c>
      <c r="I22" s="196">
        <v>938.47</v>
      </c>
      <c r="J22" s="196">
        <v>15.36</v>
      </c>
      <c r="K22" s="196">
        <v>59.05</v>
      </c>
      <c r="L22" s="196">
        <v>30</v>
      </c>
      <c r="M22" s="196">
        <f t="shared" si="6"/>
        <v>1600</v>
      </c>
      <c r="N22" s="196">
        <v>1600</v>
      </c>
      <c r="O22" s="196">
        <f t="shared" si="1"/>
        <v>83427.430667254579</v>
      </c>
      <c r="P22" s="96"/>
    </row>
    <row r="23" spans="1:16" ht="15.75" x14ac:dyDescent="0.25">
      <c r="A23" s="96"/>
      <c r="B23" s="192">
        <f t="shared" si="5"/>
        <v>145</v>
      </c>
      <c r="C23" s="193">
        <v>43952</v>
      </c>
      <c r="D23" s="194" t="s">
        <v>517</v>
      </c>
      <c r="E23" s="195">
        <v>30</v>
      </c>
      <c r="F23" s="196">
        <f t="shared" si="2"/>
        <v>83427.430667254579</v>
      </c>
      <c r="G23" s="196">
        <v>67.569999999999993</v>
      </c>
      <c r="H23" s="196">
        <v>495.78</v>
      </c>
      <c r="I23" s="196">
        <v>932.24</v>
      </c>
      <c r="J23" s="196">
        <v>15.36</v>
      </c>
      <c r="K23" s="196">
        <v>59.05</v>
      </c>
      <c r="L23" s="196">
        <v>30</v>
      </c>
      <c r="M23" s="196">
        <f t="shared" si="6"/>
        <v>1599.9999999999998</v>
      </c>
      <c r="N23" s="196">
        <v>1600</v>
      </c>
      <c r="O23" s="196">
        <f t="shared" si="1"/>
        <v>82864.080667254573</v>
      </c>
      <c r="P23" s="96"/>
    </row>
    <row r="24" spans="1:16" ht="15.75" x14ac:dyDescent="0.25">
      <c r="A24" s="96"/>
      <c r="B24" s="192">
        <f t="shared" si="5"/>
        <v>146</v>
      </c>
      <c r="C24" s="193">
        <v>43983</v>
      </c>
      <c r="D24" s="194" t="s">
        <v>517</v>
      </c>
      <c r="E24" s="195">
        <v>30</v>
      </c>
      <c r="F24" s="196">
        <f t="shared" si="2"/>
        <v>82864.080667254573</v>
      </c>
      <c r="G24" s="196">
        <v>0</v>
      </c>
      <c r="H24" s="196">
        <v>501.32336453786979</v>
      </c>
      <c r="I24" s="196">
        <v>926.69663546213042</v>
      </c>
      <c r="J24" s="196">
        <v>15.36</v>
      </c>
      <c r="K24" s="196">
        <v>59.05</v>
      </c>
      <c r="L24" s="196">
        <v>30</v>
      </c>
      <c r="M24" s="196">
        <f t="shared" si="6"/>
        <v>1532.43</v>
      </c>
      <c r="N24" s="196">
        <v>1600</v>
      </c>
      <c r="O24" s="196">
        <f t="shared" si="1"/>
        <v>82362.757302716709</v>
      </c>
      <c r="P24" s="96"/>
    </row>
    <row r="25" spans="1:16" ht="15.75" x14ac:dyDescent="0.25">
      <c r="A25" s="96"/>
      <c r="B25" s="192">
        <f t="shared" si="5"/>
        <v>147</v>
      </c>
      <c r="C25" s="193">
        <v>44013</v>
      </c>
      <c r="D25" s="194" t="s">
        <v>517</v>
      </c>
      <c r="E25" s="195">
        <v>30</v>
      </c>
      <c r="F25" s="196">
        <f t="shared" si="2"/>
        <v>82362.757302716709</v>
      </c>
      <c r="G25" s="196">
        <v>135.13999999999999</v>
      </c>
      <c r="H25" s="196">
        <v>508.44</v>
      </c>
      <c r="I25" s="196">
        <v>919.58</v>
      </c>
      <c r="J25" s="196">
        <v>15.36</v>
      </c>
      <c r="K25" s="196">
        <v>59.05</v>
      </c>
      <c r="L25" s="196">
        <v>30</v>
      </c>
      <c r="M25" s="196">
        <f t="shared" si="6"/>
        <v>1667.5699999999997</v>
      </c>
      <c r="N25" s="196">
        <v>1600</v>
      </c>
      <c r="O25" s="196">
        <f t="shared" si="1"/>
        <v>81719.177302716707</v>
      </c>
      <c r="P25" s="96"/>
    </row>
    <row r="26" spans="1:16" ht="15.75" x14ac:dyDescent="0.25">
      <c r="A26" s="96"/>
      <c r="B26" s="192">
        <f t="shared" si="5"/>
        <v>148</v>
      </c>
      <c r="C26" s="193">
        <v>44044</v>
      </c>
      <c r="D26" s="194" t="s">
        <v>517</v>
      </c>
      <c r="E26" s="195">
        <v>30</v>
      </c>
      <c r="F26" s="196">
        <f t="shared" si="2"/>
        <v>81719.177302716707</v>
      </c>
      <c r="G26" s="196">
        <v>67.569999999999993</v>
      </c>
      <c r="H26" s="196">
        <v>514.88</v>
      </c>
      <c r="I26" s="196">
        <v>913.14</v>
      </c>
      <c r="J26" s="196">
        <v>15.36</v>
      </c>
      <c r="K26" s="196">
        <v>59.05</v>
      </c>
      <c r="L26" s="196">
        <v>30</v>
      </c>
      <c r="M26" s="196">
        <f t="shared" si="6"/>
        <v>1600</v>
      </c>
      <c r="N26" s="196">
        <v>1600</v>
      </c>
      <c r="O26" s="196">
        <f t="shared" si="1"/>
        <v>81136.727302716696</v>
      </c>
      <c r="P26" s="96"/>
    </row>
    <row r="27" spans="1:16" ht="15.75" x14ac:dyDescent="0.25">
      <c r="A27" s="96"/>
      <c r="B27" s="192">
        <f t="shared" si="5"/>
        <v>149</v>
      </c>
      <c r="C27" s="193">
        <v>44075</v>
      </c>
      <c r="D27" s="194" t="s">
        <v>517</v>
      </c>
      <c r="E27" s="195">
        <v>30</v>
      </c>
      <c r="F27" s="196">
        <f t="shared" si="2"/>
        <v>81136.727302716696</v>
      </c>
      <c r="G27" s="196">
        <v>67.569999999999993</v>
      </c>
      <c r="H27" s="196">
        <v>521.4</v>
      </c>
      <c r="I27" s="196">
        <v>906.62</v>
      </c>
      <c r="J27" s="196">
        <v>15.36</v>
      </c>
      <c r="K27" s="196">
        <v>59.05</v>
      </c>
      <c r="L27" s="196">
        <v>30</v>
      </c>
      <c r="M27" s="196">
        <f t="shared" si="6"/>
        <v>1600</v>
      </c>
      <c r="N27" s="196">
        <v>1600</v>
      </c>
      <c r="O27" s="196">
        <f t="shared" si="1"/>
        <v>80547.757302716695</v>
      </c>
      <c r="P27" s="96"/>
    </row>
    <row r="28" spans="1:16" ht="15.75" x14ac:dyDescent="0.25">
      <c r="A28" s="96"/>
      <c r="B28" s="192">
        <f t="shared" si="5"/>
        <v>150</v>
      </c>
      <c r="C28" s="193">
        <v>44105</v>
      </c>
      <c r="D28" s="194" t="s">
        <v>517</v>
      </c>
      <c r="E28" s="195">
        <v>30</v>
      </c>
      <c r="F28" s="196">
        <f t="shared" si="2"/>
        <v>80547.757302716695</v>
      </c>
      <c r="G28" s="196">
        <v>67.569999999999993</v>
      </c>
      <c r="H28" s="196">
        <v>527.98</v>
      </c>
      <c r="I28" s="196">
        <v>900.04</v>
      </c>
      <c r="J28" s="196">
        <v>15.36</v>
      </c>
      <c r="K28" s="196">
        <v>59.05</v>
      </c>
      <c r="L28" s="196">
        <v>30</v>
      </c>
      <c r="M28" s="196">
        <f t="shared" si="6"/>
        <v>1599.9999999999998</v>
      </c>
      <c r="N28" s="196">
        <v>1600</v>
      </c>
      <c r="O28" s="196">
        <f t="shared" si="1"/>
        <v>79952.207302716692</v>
      </c>
      <c r="P28" s="96"/>
    </row>
    <row r="29" spans="1:16" ht="15.75" x14ac:dyDescent="0.25">
      <c r="A29" s="96"/>
      <c r="B29" s="192">
        <f t="shared" si="5"/>
        <v>151</v>
      </c>
      <c r="C29" s="193">
        <v>44136</v>
      </c>
      <c r="D29" s="194" t="s">
        <v>517</v>
      </c>
      <c r="E29" s="195">
        <v>30</v>
      </c>
      <c r="F29" s="196">
        <f t="shared" si="2"/>
        <v>79952.207302716692</v>
      </c>
      <c r="G29" s="196">
        <v>67.569999999999993</v>
      </c>
      <c r="H29" s="196">
        <v>534.64</v>
      </c>
      <c r="I29" s="196">
        <v>893.38</v>
      </c>
      <c r="J29" s="196">
        <v>15.36</v>
      </c>
      <c r="K29" s="196">
        <v>59.05</v>
      </c>
      <c r="L29" s="196">
        <v>30</v>
      </c>
      <c r="M29" s="196">
        <f t="shared" si="6"/>
        <v>1600</v>
      </c>
      <c r="N29" s="196">
        <v>1600</v>
      </c>
      <c r="O29" s="196">
        <f t="shared" si="1"/>
        <v>79349.997302716685</v>
      </c>
      <c r="P29" s="96"/>
    </row>
    <row r="30" spans="1:16" ht="15.75" x14ac:dyDescent="0.25">
      <c r="A30" s="96"/>
      <c r="B30" s="192">
        <f t="shared" si="5"/>
        <v>152</v>
      </c>
      <c r="C30" s="193">
        <v>44166</v>
      </c>
      <c r="D30" s="194" t="s">
        <v>517</v>
      </c>
      <c r="E30" s="195">
        <v>30</v>
      </c>
      <c r="F30" s="196">
        <f t="shared" si="2"/>
        <v>79349.997302716685</v>
      </c>
      <c r="G30" s="196">
        <v>67.569999999999993</v>
      </c>
      <c r="H30" s="196">
        <v>541.38</v>
      </c>
      <c r="I30" s="196">
        <v>886.64</v>
      </c>
      <c r="J30" s="196">
        <v>15.36</v>
      </c>
      <c r="K30" s="196">
        <v>59.05</v>
      </c>
      <c r="L30" s="196">
        <v>30</v>
      </c>
      <c r="M30" s="196">
        <f t="shared" si="6"/>
        <v>1600</v>
      </c>
      <c r="N30" s="196">
        <v>1600</v>
      </c>
      <c r="O30" s="196">
        <f t="shared" si="1"/>
        <v>78741.047302716674</v>
      </c>
      <c r="P30" s="96"/>
    </row>
    <row r="31" spans="1:16" ht="15.75" x14ac:dyDescent="0.25">
      <c r="A31" s="96"/>
      <c r="B31" s="197">
        <f t="shared" si="5"/>
        <v>153</v>
      </c>
      <c r="C31" s="198">
        <v>44197</v>
      </c>
      <c r="D31" s="199" t="s">
        <v>517</v>
      </c>
      <c r="E31" s="200">
        <v>30</v>
      </c>
      <c r="F31" s="201">
        <f t="shared" si="2"/>
        <v>78741.047302716674</v>
      </c>
      <c r="G31" s="201">
        <v>67.569999999999993</v>
      </c>
      <c r="H31" s="201">
        <v>548.19000000000005</v>
      </c>
      <c r="I31" s="201">
        <v>879.83</v>
      </c>
      <c r="J31" s="201">
        <v>15.36</v>
      </c>
      <c r="K31" s="201">
        <v>59.05</v>
      </c>
      <c r="L31" s="201">
        <v>30</v>
      </c>
      <c r="M31" s="201">
        <f t="shared" si="6"/>
        <v>1600</v>
      </c>
      <c r="N31" s="201">
        <v>1600</v>
      </c>
      <c r="O31" s="201">
        <f t="shared" si="1"/>
        <v>78125.287302716664</v>
      </c>
      <c r="P31" s="96"/>
    </row>
    <row r="32" spans="1:16" ht="15.75" x14ac:dyDescent="0.25">
      <c r="A32" s="96"/>
      <c r="B32" s="197">
        <f t="shared" si="5"/>
        <v>154</v>
      </c>
      <c r="C32" s="198">
        <v>44228</v>
      </c>
      <c r="D32" s="199" t="s">
        <v>517</v>
      </c>
      <c r="E32" s="200">
        <v>30</v>
      </c>
      <c r="F32" s="201">
        <f t="shared" si="2"/>
        <v>78125.287302716664</v>
      </c>
      <c r="G32" s="201">
        <v>67.569999999999993</v>
      </c>
      <c r="H32" s="201">
        <v>555.07000000000005</v>
      </c>
      <c r="I32" s="201">
        <v>872.95</v>
      </c>
      <c r="J32" s="201">
        <v>15.36</v>
      </c>
      <c r="K32" s="201">
        <v>59.05</v>
      </c>
      <c r="L32" s="201">
        <v>30</v>
      </c>
      <c r="M32" s="201">
        <f t="shared" si="6"/>
        <v>1600</v>
      </c>
      <c r="N32" s="201">
        <v>1600</v>
      </c>
      <c r="O32" s="201">
        <f t="shared" si="1"/>
        <v>77502.64730271665</v>
      </c>
      <c r="P32" s="96"/>
    </row>
    <row r="33" spans="1:16" ht="15.75" x14ac:dyDescent="0.25">
      <c r="A33" s="96"/>
      <c r="B33" s="197">
        <f t="shared" si="5"/>
        <v>155</v>
      </c>
      <c r="C33" s="198">
        <v>44256</v>
      </c>
      <c r="D33" s="199" t="s">
        <v>517</v>
      </c>
      <c r="E33" s="200">
        <v>30</v>
      </c>
      <c r="F33" s="201">
        <f t="shared" si="2"/>
        <v>77502.64730271665</v>
      </c>
      <c r="G33" s="201">
        <v>67.569999999999993</v>
      </c>
      <c r="H33" s="201">
        <v>562.04</v>
      </c>
      <c r="I33" s="201">
        <v>865.98</v>
      </c>
      <c r="J33" s="201">
        <v>15.36</v>
      </c>
      <c r="K33" s="201">
        <v>59.05</v>
      </c>
      <c r="L33" s="201">
        <v>30</v>
      </c>
      <c r="M33" s="201">
        <f t="shared" si="6"/>
        <v>1599.9999999999998</v>
      </c>
      <c r="N33" s="201">
        <v>1600</v>
      </c>
      <c r="O33" s="201">
        <f t="shared" si="1"/>
        <v>76873.03730271665</v>
      </c>
      <c r="P33" s="96"/>
    </row>
    <row r="34" spans="1:16" ht="15.75" x14ac:dyDescent="0.25">
      <c r="A34" s="96"/>
      <c r="B34" s="197">
        <f t="shared" si="5"/>
        <v>156</v>
      </c>
      <c r="C34" s="198">
        <v>44287</v>
      </c>
      <c r="D34" s="199" t="s">
        <v>517</v>
      </c>
      <c r="E34" s="200">
        <v>30</v>
      </c>
      <c r="F34" s="201">
        <f t="shared" si="2"/>
        <v>76873.03730271665</v>
      </c>
      <c r="G34" s="201">
        <v>67.569999999999993</v>
      </c>
      <c r="H34" s="201">
        <v>569.08000000000004</v>
      </c>
      <c r="I34" s="201">
        <v>858.94</v>
      </c>
      <c r="J34" s="201">
        <v>15.36</v>
      </c>
      <c r="K34" s="201">
        <v>59.05</v>
      </c>
      <c r="L34" s="201">
        <v>30</v>
      </c>
      <c r="M34" s="201">
        <f t="shared" si="6"/>
        <v>1600</v>
      </c>
      <c r="N34" s="201">
        <v>1600</v>
      </c>
      <c r="O34" s="201">
        <f t="shared" si="1"/>
        <v>76236.387302716641</v>
      </c>
      <c r="P34" s="96"/>
    </row>
    <row r="35" spans="1:16" ht="15.75" x14ac:dyDescent="0.25">
      <c r="A35" s="96"/>
      <c r="B35" s="197">
        <f t="shared" si="5"/>
        <v>157</v>
      </c>
      <c r="C35" s="198">
        <v>44317</v>
      </c>
      <c r="D35" s="199" t="s">
        <v>517</v>
      </c>
      <c r="E35" s="200">
        <v>30</v>
      </c>
      <c r="F35" s="201">
        <f t="shared" si="2"/>
        <v>76236.387302716641</v>
      </c>
      <c r="G35" s="201">
        <v>67.569999999999993</v>
      </c>
      <c r="H35" s="201">
        <v>576.20000000000005</v>
      </c>
      <c r="I35" s="201">
        <v>851.82</v>
      </c>
      <c r="J35" s="201">
        <v>15.36</v>
      </c>
      <c r="K35" s="201">
        <v>59.05</v>
      </c>
      <c r="L35" s="201">
        <v>30</v>
      </c>
      <c r="M35" s="201">
        <f t="shared" si="6"/>
        <v>1600</v>
      </c>
      <c r="N35" s="201">
        <v>1600</v>
      </c>
      <c r="O35" s="201">
        <f t="shared" si="1"/>
        <v>75592.617302716637</v>
      </c>
      <c r="P35" s="96"/>
    </row>
    <row r="36" spans="1:16" ht="15.75" x14ac:dyDescent="0.25">
      <c r="A36" s="96"/>
      <c r="B36" s="197">
        <f t="shared" si="5"/>
        <v>158</v>
      </c>
      <c r="C36" s="198">
        <v>44348</v>
      </c>
      <c r="D36" s="199" t="s">
        <v>517</v>
      </c>
      <c r="E36" s="200">
        <v>30</v>
      </c>
      <c r="F36" s="201">
        <f t="shared" si="2"/>
        <v>75592.617302716637</v>
      </c>
      <c r="G36" s="201">
        <v>67.569999999999993</v>
      </c>
      <c r="H36" s="201">
        <v>583.4</v>
      </c>
      <c r="I36" s="201">
        <v>844.62</v>
      </c>
      <c r="J36" s="201">
        <v>15.36</v>
      </c>
      <c r="K36" s="201">
        <v>59.05</v>
      </c>
      <c r="L36" s="201">
        <v>30</v>
      </c>
      <c r="M36" s="201">
        <f t="shared" si="6"/>
        <v>1600</v>
      </c>
      <c r="N36" s="201">
        <v>1600</v>
      </c>
      <c r="O36" s="201">
        <f t="shared" si="1"/>
        <v>74941.647302716636</v>
      </c>
      <c r="P36" s="96"/>
    </row>
    <row r="37" spans="1:16" ht="15.75" x14ac:dyDescent="0.25">
      <c r="A37" s="96"/>
      <c r="B37" s="197">
        <f t="shared" si="5"/>
        <v>159</v>
      </c>
      <c r="C37" s="198">
        <v>44378</v>
      </c>
      <c r="D37" s="199" t="s">
        <v>517</v>
      </c>
      <c r="E37" s="200">
        <v>30</v>
      </c>
      <c r="F37" s="201">
        <f t="shared" si="2"/>
        <v>74941.647302716636</v>
      </c>
      <c r="G37" s="201">
        <v>67.569999999999993</v>
      </c>
      <c r="H37" s="201">
        <v>590.67999999999995</v>
      </c>
      <c r="I37" s="201">
        <v>837.34</v>
      </c>
      <c r="J37" s="201">
        <v>15.36</v>
      </c>
      <c r="K37" s="201">
        <v>59.05</v>
      </c>
      <c r="L37" s="201">
        <v>30</v>
      </c>
      <c r="M37" s="201">
        <f t="shared" si="6"/>
        <v>1600</v>
      </c>
      <c r="N37" s="201">
        <v>1600</v>
      </c>
      <c r="O37" s="201">
        <f t="shared" si="1"/>
        <v>74283.397302716636</v>
      </c>
      <c r="P37" s="96"/>
    </row>
    <row r="38" spans="1:16" ht="15.75" x14ac:dyDescent="0.25">
      <c r="A38" s="96"/>
      <c r="B38" s="197">
        <f t="shared" si="5"/>
        <v>160</v>
      </c>
      <c r="C38" s="198">
        <v>44409</v>
      </c>
      <c r="D38" s="199" t="s">
        <v>517</v>
      </c>
      <c r="E38" s="200">
        <v>30</v>
      </c>
      <c r="F38" s="201">
        <f t="shared" si="2"/>
        <v>74283.397302716636</v>
      </c>
      <c r="G38" s="201">
        <v>67.569999999999993</v>
      </c>
      <c r="H38" s="201">
        <v>598.04</v>
      </c>
      <c r="I38" s="201">
        <v>829.98</v>
      </c>
      <c r="J38" s="201">
        <v>15.36</v>
      </c>
      <c r="K38" s="201">
        <v>59.05</v>
      </c>
      <c r="L38" s="201">
        <v>30</v>
      </c>
      <c r="M38" s="201">
        <f t="shared" si="6"/>
        <v>1599.9999999999998</v>
      </c>
      <c r="N38" s="201">
        <v>1600</v>
      </c>
      <c r="O38" s="201">
        <f t="shared" si="1"/>
        <v>73617.787302716635</v>
      </c>
      <c r="P38" s="96"/>
    </row>
    <row r="39" spans="1:16" ht="15.75" x14ac:dyDescent="0.25">
      <c r="A39" s="96"/>
      <c r="B39" s="197">
        <f t="shared" si="5"/>
        <v>161</v>
      </c>
      <c r="C39" s="198">
        <v>44440</v>
      </c>
      <c r="D39" s="199" t="s">
        <v>517</v>
      </c>
      <c r="E39" s="200">
        <v>30</v>
      </c>
      <c r="F39" s="201">
        <f t="shared" si="2"/>
        <v>73617.787302716635</v>
      </c>
      <c r="G39" s="201">
        <v>67.569999999999993</v>
      </c>
      <c r="H39" s="201">
        <v>605.48</v>
      </c>
      <c r="I39" s="201">
        <v>822.54</v>
      </c>
      <c r="J39" s="201">
        <v>15.36</v>
      </c>
      <c r="K39" s="201">
        <v>59.05</v>
      </c>
      <c r="L39" s="201">
        <v>30</v>
      </c>
      <c r="M39" s="201">
        <f t="shared" si="6"/>
        <v>1599.9999999999998</v>
      </c>
      <c r="N39" s="201">
        <v>1600</v>
      </c>
      <c r="O39" s="201">
        <f t="shared" si="1"/>
        <v>72944.737302716632</v>
      </c>
      <c r="P39" s="96"/>
    </row>
    <row r="40" spans="1:16" ht="15.75" x14ac:dyDescent="0.25">
      <c r="A40" s="96"/>
      <c r="B40" s="202">
        <f t="shared" si="5"/>
        <v>162</v>
      </c>
      <c r="C40" s="203">
        <v>44470</v>
      </c>
      <c r="D40" s="204" t="s">
        <v>517</v>
      </c>
      <c r="E40" s="205">
        <v>30</v>
      </c>
      <c r="F40" s="206">
        <f t="shared" si="2"/>
        <v>72944.737302716632</v>
      </c>
      <c r="G40" s="206">
        <f>67.57+2850</f>
        <v>2917.57</v>
      </c>
      <c r="H40" s="206">
        <v>644.88</v>
      </c>
      <c r="I40" s="206">
        <v>783.14</v>
      </c>
      <c r="J40" s="206">
        <v>15.36</v>
      </c>
      <c r="K40" s="206">
        <v>59.05</v>
      </c>
      <c r="L40" s="206">
        <v>30</v>
      </c>
      <c r="M40" s="206">
        <f t="shared" si="6"/>
        <v>4450</v>
      </c>
      <c r="N40" s="206">
        <v>1600</v>
      </c>
      <c r="O40" s="206">
        <f t="shared" si="1"/>
        <v>69382.287302716621</v>
      </c>
      <c r="P40" s="96"/>
    </row>
    <row r="41" spans="1:16" ht="15.75" x14ac:dyDescent="0.25">
      <c r="A41" s="96"/>
      <c r="B41" s="197">
        <f t="shared" si="5"/>
        <v>163</v>
      </c>
      <c r="C41" s="198">
        <v>44501</v>
      </c>
      <c r="D41" s="199" t="s">
        <v>517</v>
      </c>
      <c r="E41" s="200">
        <v>30</v>
      </c>
      <c r="F41" s="201">
        <f t="shared" si="2"/>
        <v>69382.287302716621</v>
      </c>
      <c r="G41" s="201">
        <v>67.569999999999993</v>
      </c>
      <c r="H41" s="201">
        <v>652.85</v>
      </c>
      <c r="I41" s="201">
        <v>775.17</v>
      </c>
      <c r="J41" s="201">
        <v>15.36</v>
      </c>
      <c r="K41" s="201">
        <v>59.05</v>
      </c>
      <c r="L41" s="201">
        <v>30</v>
      </c>
      <c r="M41" s="201">
        <f t="shared" si="6"/>
        <v>1600</v>
      </c>
      <c r="N41" s="201">
        <v>1600</v>
      </c>
      <c r="O41" s="201">
        <f t="shared" si="1"/>
        <v>68661.867302716608</v>
      </c>
      <c r="P41" s="96"/>
    </row>
    <row r="42" spans="1:16" ht="15.75" x14ac:dyDescent="0.25">
      <c r="A42" s="96"/>
      <c r="B42" s="197">
        <f t="shared" si="5"/>
        <v>164</v>
      </c>
      <c r="C42" s="198">
        <v>44531</v>
      </c>
      <c r="D42" s="199" t="s">
        <v>517</v>
      </c>
      <c r="E42" s="200">
        <v>30</v>
      </c>
      <c r="F42" s="201">
        <f t="shared" si="2"/>
        <v>68661.867302716608</v>
      </c>
      <c r="G42" s="201">
        <v>67.569999999999993</v>
      </c>
      <c r="H42" s="201">
        <v>660.91</v>
      </c>
      <c r="I42" s="201">
        <v>767.11</v>
      </c>
      <c r="J42" s="201">
        <v>15.36</v>
      </c>
      <c r="K42" s="201">
        <v>59.05</v>
      </c>
      <c r="L42" s="201">
        <v>30</v>
      </c>
      <c r="M42" s="201">
        <f t="shared" si="6"/>
        <v>1600</v>
      </c>
      <c r="N42" s="201">
        <v>1600</v>
      </c>
      <c r="O42" s="201">
        <f t="shared" si="1"/>
        <v>67933.387302716597</v>
      </c>
      <c r="P42" s="96"/>
    </row>
    <row r="43" spans="1:16" ht="15.75" x14ac:dyDescent="0.25">
      <c r="A43" s="96"/>
      <c r="B43" s="207">
        <f t="shared" si="5"/>
        <v>165</v>
      </c>
      <c r="C43" s="208">
        <v>44562</v>
      </c>
      <c r="D43" s="209" t="s">
        <v>517</v>
      </c>
      <c r="E43" s="210">
        <v>30</v>
      </c>
      <c r="F43" s="211">
        <f t="shared" si="2"/>
        <v>67933.387302716597</v>
      </c>
      <c r="G43" s="211">
        <v>67.569999999999993</v>
      </c>
      <c r="H43" s="211">
        <v>669.05</v>
      </c>
      <c r="I43" s="211">
        <v>758.97</v>
      </c>
      <c r="J43" s="211">
        <v>15.36</v>
      </c>
      <c r="K43" s="211">
        <v>59.05</v>
      </c>
      <c r="L43" s="211">
        <v>30</v>
      </c>
      <c r="M43" s="211">
        <f t="shared" si="6"/>
        <v>1599.9999999999998</v>
      </c>
      <c r="N43" s="211">
        <v>1600</v>
      </c>
      <c r="O43" s="211">
        <f t="shared" si="1"/>
        <v>67196.767302716587</v>
      </c>
      <c r="P43" s="212">
        <v>44543</v>
      </c>
    </row>
    <row r="44" spans="1:16" ht="15.75" x14ac:dyDescent="0.25">
      <c r="A44" s="96"/>
      <c r="B44" s="207">
        <f t="shared" si="5"/>
        <v>166</v>
      </c>
      <c r="C44" s="208">
        <v>44593</v>
      </c>
      <c r="D44" s="209" t="s">
        <v>517</v>
      </c>
      <c r="E44" s="210">
        <v>30</v>
      </c>
      <c r="F44" s="211">
        <f t="shared" si="2"/>
        <v>67196.767302716587</v>
      </c>
      <c r="G44" s="211">
        <v>67.569999999999993</v>
      </c>
      <c r="H44" s="211">
        <v>677.29</v>
      </c>
      <c r="I44" s="211">
        <v>750.73</v>
      </c>
      <c r="J44" s="211">
        <v>15.36</v>
      </c>
      <c r="K44" s="211">
        <v>59.05</v>
      </c>
      <c r="L44" s="211">
        <v>30</v>
      </c>
      <c r="M44" s="211">
        <f t="shared" si="6"/>
        <v>1599.9999999999998</v>
      </c>
      <c r="N44" s="211">
        <v>1600</v>
      </c>
      <c r="O44" s="211">
        <f t="shared" si="1"/>
        <v>66451.907302716587</v>
      </c>
      <c r="P44" s="212">
        <v>44571</v>
      </c>
    </row>
    <row r="45" spans="1:16" ht="15.75" x14ac:dyDescent="0.25">
      <c r="A45" s="96"/>
      <c r="B45" s="207">
        <f t="shared" si="5"/>
        <v>167</v>
      </c>
      <c r="C45" s="208">
        <v>44621</v>
      </c>
      <c r="D45" s="209" t="s">
        <v>517</v>
      </c>
      <c r="E45" s="210">
        <v>30</v>
      </c>
      <c r="F45" s="211">
        <f t="shared" si="2"/>
        <v>66451.907302716587</v>
      </c>
      <c r="G45" s="211">
        <v>67.569999999999993</v>
      </c>
      <c r="H45" s="211">
        <f>$H$5-SUM(I45:L45)</f>
        <v>685.62000000000012</v>
      </c>
      <c r="I45" s="211">
        <v>742.4</v>
      </c>
      <c r="J45" s="211">
        <v>15.36</v>
      </c>
      <c r="K45" s="211">
        <v>59.05</v>
      </c>
      <c r="L45" s="211">
        <v>30</v>
      </c>
      <c r="M45" s="211">
        <f t="shared" si="6"/>
        <v>1600</v>
      </c>
      <c r="N45" s="211">
        <v>1600</v>
      </c>
      <c r="O45" s="211">
        <f t="shared" si="1"/>
        <v>65698.717302716585</v>
      </c>
      <c r="P45" s="212">
        <v>44600</v>
      </c>
    </row>
    <row r="46" spans="1:16" ht="15.75" x14ac:dyDescent="0.25">
      <c r="A46" s="96"/>
      <c r="B46" s="207">
        <f t="shared" si="5"/>
        <v>168</v>
      </c>
      <c r="C46" s="208">
        <v>44652</v>
      </c>
      <c r="D46" s="209" t="s">
        <v>517</v>
      </c>
      <c r="E46" s="210">
        <v>30</v>
      </c>
      <c r="F46" s="211">
        <f t="shared" si="2"/>
        <v>65698.717302716585</v>
      </c>
      <c r="G46" s="211">
        <v>67.569999999999993</v>
      </c>
      <c r="H46" s="211">
        <v>694.04</v>
      </c>
      <c r="I46" s="211">
        <v>733.98</v>
      </c>
      <c r="J46" s="211">
        <v>15.36</v>
      </c>
      <c r="K46" s="211">
        <v>59.05</v>
      </c>
      <c r="L46" s="211">
        <v>30</v>
      </c>
      <c r="M46" s="211">
        <f t="shared" si="6"/>
        <v>1599.9999999999998</v>
      </c>
      <c r="N46" s="211">
        <v>1600</v>
      </c>
      <c r="O46" s="211">
        <f t="shared" si="1"/>
        <v>64937.107302716584</v>
      </c>
      <c r="P46" s="212">
        <v>44631</v>
      </c>
    </row>
    <row r="47" spans="1:16" ht="15.75" x14ac:dyDescent="0.25">
      <c r="A47" s="96"/>
      <c r="B47" s="207">
        <f t="shared" si="5"/>
        <v>169</v>
      </c>
      <c r="C47" s="208">
        <v>44682</v>
      </c>
      <c r="D47" s="209" t="s">
        <v>517</v>
      </c>
      <c r="E47" s="210">
        <v>30</v>
      </c>
      <c r="F47" s="211">
        <f t="shared" si="2"/>
        <v>64937.107302716584</v>
      </c>
      <c r="G47" s="211">
        <v>67.569999999999993</v>
      </c>
      <c r="H47" s="211">
        <v>702.56</v>
      </c>
      <c r="I47" s="211">
        <v>725.46</v>
      </c>
      <c r="J47" s="211">
        <v>15.36</v>
      </c>
      <c r="K47" s="211">
        <v>59.05</v>
      </c>
      <c r="L47" s="211">
        <v>30</v>
      </c>
      <c r="M47" s="211">
        <f t="shared" si="6"/>
        <v>1599.9999999999998</v>
      </c>
      <c r="N47" s="211">
        <v>1600</v>
      </c>
      <c r="O47" s="211">
        <f t="shared" si="1"/>
        <v>64166.977302716587</v>
      </c>
      <c r="P47" s="212">
        <v>44662</v>
      </c>
    </row>
    <row r="48" spans="1:16" ht="15.75" x14ac:dyDescent="0.25">
      <c r="A48" s="96"/>
      <c r="B48" s="207">
        <f t="shared" si="5"/>
        <v>170</v>
      </c>
      <c r="C48" s="208">
        <v>44713</v>
      </c>
      <c r="D48" s="209" t="s">
        <v>517</v>
      </c>
      <c r="E48" s="210">
        <v>30</v>
      </c>
      <c r="F48" s="211">
        <f t="shared" si="2"/>
        <v>64166.977302716587</v>
      </c>
      <c r="G48" s="211">
        <v>67.569999999999993</v>
      </c>
      <c r="H48" s="211">
        <v>711.17</v>
      </c>
      <c r="I48" s="211">
        <v>716.85</v>
      </c>
      <c r="J48" s="211">
        <v>15.36</v>
      </c>
      <c r="K48" s="211">
        <v>59.05</v>
      </c>
      <c r="L48" s="211">
        <v>30</v>
      </c>
      <c r="M48" s="211">
        <f t="shared" si="6"/>
        <v>1600</v>
      </c>
      <c r="N48" s="211">
        <v>1600</v>
      </c>
      <c r="O48" s="211">
        <f t="shared" si="1"/>
        <v>63388.237302716589</v>
      </c>
      <c r="P48" s="212">
        <v>44697</v>
      </c>
    </row>
    <row r="49" spans="1:16" ht="15.75" x14ac:dyDescent="0.25">
      <c r="A49" s="96"/>
      <c r="B49" s="207">
        <f t="shared" si="5"/>
        <v>171</v>
      </c>
      <c r="C49" s="208">
        <v>44743</v>
      </c>
      <c r="D49" s="209" t="s">
        <v>517</v>
      </c>
      <c r="E49" s="210">
        <v>30</v>
      </c>
      <c r="F49" s="211">
        <f t="shared" si="2"/>
        <v>63388.237302716589</v>
      </c>
      <c r="G49" s="211">
        <v>67.569999999999993</v>
      </c>
      <c r="H49" s="211">
        <v>719.88</v>
      </c>
      <c r="I49" s="211">
        <v>708.14</v>
      </c>
      <c r="J49" s="211">
        <v>15.36</v>
      </c>
      <c r="K49" s="211">
        <v>59.05</v>
      </c>
      <c r="L49" s="211">
        <v>30</v>
      </c>
      <c r="M49" s="211">
        <f t="shared" si="6"/>
        <v>1600</v>
      </c>
      <c r="N49" s="211">
        <v>1600</v>
      </c>
      <c r="O49" s="211">
        <f t="shared" si="1"/>
        <v>62600.787302716592</v>
      </c>
      <c r="P49" s="212">
        <v>44725</v>
      </c>
    </row>
    <row r="50" spans="1:16" ht="15.75" x14ac:dyDescent="0.25">
      <c r="A50" s="96"/>
      <c r="B50" s="213">
        <f t="shared" si="5"/>
        <v>172</v>
      </c>
      <c r="C50" s="214">
        <v>44774</v>
      </c>
      <c r="D50" s="215" t="s">
        <v>517</v>
      </c>
      <c r="E50" s="216">
        <v>30</v>
      </c>
      <c r="F50" s="217">
        <f t="shared" si="2"/>
        <v>62600.787302716592</v>
      </c>
      <c r="G50" s="217">
        <v>67.569999999999993</v>
      </c>
      <c r="H50" s="217">
        <v>728.69</v>
      </c>
      <c r="I50" s="217">
        <v>699.33</v>
      </c>
      <c r="J50" s="217">
        <v>15.36</v>
      </c>
      <c r="K50" s="217">
        <v>59.05</v>
      </c>
      <c r="L50" s="217">
        <v>30</v>
      </c>
      <c r="M50" s="217">
        <f t="shared" si="6"/>
        <v>1600</v>
      </c>
      <c r="N50" s="217">
        <v>1600</v>
      </c>
      <c r="O50" s="217">
        <f t="shared" si="1"/>
        <v>61804.527302716589</v>
      </c>
      <c r="P50" s="212">
        <v>44754</v>
      </c>
    </row>
    <row r="51" spans="1:16" ht="15.75" x14ac:dyDescent="0.25">
      <c r="A51" s="96"/>
      <c r="B51" s="213">
        <f t="shared" si="5"/>
        <v>173</v>
      </c>
      <c r="C51" s="214">
        <v>44805</v>
      </c>
      <c r="D51" s="215" t="s">
        <v>517</v>
      </c>
      <c r="E51" s="216">
        <v>30</v>
      </c>
      <c r="F51" s="217">
        <f t="shared" si="2"/>
        <v>61804.527302716589</v>
      </c>
      <c r="G51" s="217">
        <v>67.569999999999993</v>
      </c>
      <c r="H51" s="217">
        <v>737.59</v>
      </c>
      <c r="I51" s="217">
        <v>690.43</v>
      </c>
      <c r="J51" s="217">
        <v>15.36</v>
      </c>
      <c r="K51" s="217">
        <v>59.05</v>
      </c>
      <c r="L51" s="217">
        <v>30</v>
      </c>
      <c r="M51" s="217">
        <f t="shared" si="6"/>
        <v>1600</v>
      </c>
      <c r="N51" s="217">
        <v>1600</v>
      </c>
      <c r="O51" s="217">
        <f t="shared" si="1"/>
        <v>60999.367302716593</v>
      </c>
      <c r="P51" s="212">
        <v>44782</v>
      </c>
    </row>
    <row r="52" spans="1:16" ht="15.75" x14ac:dyDescent="0.25">
      <c r="A52" s="96"/>
      <c r="B52" s="213">
        <f t="shared" si="5"/>
        <v>174</v>
      </c>
      <c r="C52" s="214">
        <v>44835</v>
      </c>
      <c r="D52" s="215" t="s">
        <v>517</v>
      </c>
      <c r="E52" s="216">
        <v>30</v>
      </c>
      <c r="F52" s="217">
        <f t="shared" si="2"/>
        <v>60999.367302716593</v>
      </c>
      <c r="G52" s="217">
        <v>67.569999999999993</v>
      </c>
      <c r="H52" s="217">
        <v>746.57</v>
      </c>
      <c r="I52" s="217">
        <v>681.45</v>
      </c>
      <c r="J52" s="217">
        <v>15.36</v>
      </c>
      <c r="K52" s="217">
        <v>59.05</v>
      </c>
      <c r="L52" s="217">
        <v>30</v>
      </c>
      <c r="M52" s="217">
        <f t="shared" si="6"/>
        <v>1600</v>
      </c>
      <c r="N52" s="217">
        <v>1600</v>
      </c>
      <c r="O52" s="217">
        <f t="shared" si="1"/>
        <v>60185.227302716594</v>
      </c>
      <c r="P52" s="212">
        <v>44816</v>
      </c>
    </row>
    <row r="53" spans="1:16" ht="15.75" x14ac:dyDescent="0.25">
      <c r="A53" s="96"/>
      <c r="B53" s="213">
        <f t="shared" si="5"/>
        <v>175</v>
      </c>
      <c r="C53" s="214">
        <v>44866</v>
      </c>
      <c r="D53" s="215" t="s">
        <v>517</v>
      </c>
      <c r="E53" s="216">
        <v>30</v>
      </c>
      <c r="F53" s="217">
        <f t="shared" si="2"/>
        <v>60185.227302716594</v>
      </c>
      <c r="G53" s="217">
        <v>67.569999999999993</v>
      </c>
      <c r="H53" s="217">
        <v>755.7</v>
      </c>
      <c r="I53" s="217">
        <v>672.32</v>
      </c>
      <c r="J53" s="217">
        <v>15.36</v>
      </c>
      <c r="K53" s="217">
        <v>59.05</v>
      </c>
      <c r="L53" s="217">
        <v>30</v>
      </c>
      <c r="M53" s="217">
        <f t="shared" si="6"/>
        <v>1600</v>
      </c>
      <c r="N53" s="217">
        <v>1600</v>
      </c>
      <c r="O53" s="217">
        <f t="shared" si="1"/>
        <v>59361.957302716597</v>
      </c>
      <c r="P53" s="212">
        <v>44844</v>
      </c>
    </row>
    <row r="54" spans="1:16" ht="15.75" x14ac:dyDescent="0.25">
      <c r="A54" s="96"/>
      <c r="B54" s="213">
        <f t="shared" si="5"/>
        <v>176</v>
      </c>
      <c r="C54" s="214">
        <v>44896</v>
      </c>
      <c r="D54" s="215" t="s">
        <v>517</v>
      </c>
      <c r="E54" s="216">
        <v>30</v>
      </c>
      <c r="F54" s="217">
        <f t="shared" si="2"/>
        <v>59361.957302716597</v>
      </c>
      <c r="G54" s="217">
        <v>0</v>
      </c>
      <c r="H54" s="217">
        <f>$H$5-SUM(I54:L54)</f>
        <v>764.15544416461944</v>
      </c>
      <c r="I54" s="217">
        <f>(F54*$I$5)/12</f>
        <v>663.86455583538066</v>
      </c>
      <c r="J54" s="217">
        <v>15.36</v>
      </c>
      <c r="K54" s="217">
        <v>59.05</v>
      </c>
      <c r="L54" s="217">
        <v>30</v>
      </c>
      <c r="M54" s="217">
        <f t="shared" si="6"/>
        <v>1532.4299999999998</v>
      </c>
      <c r="N54" s="217">
        <v>1600</v>
      </c>
      <c r="O54" s="217">
        <f t="shared" si="1"/>
        <v>58597.801858551975</v>
      </c>
      <c r="P54" s="212">
        <v>44892</v>
      </c>
    </row>
    <row r="55" spans="1:16" ht="15.75" x14ac:dyDescent="0.25">
      <c r="A55" s="96"/>
      <c r="B55" s="213">
        <f t="shared" si="5"/>
        <v>177</v>
      </c>
      <c r="C55" s="214">
        <v>44927</v>
      </c>
      <c r="D55" s="215" t="s">
        <v>517</v>
      </c>
      <c r="E55" s="216">
        <v>30</v>
      </c>
      <c r="F55" s="217">
        <f t="shared" si="2"/>
        <v>58597.801858551975</v>
      </c>
      <c r="G55" s="217">
        <v>135.13999999999999</v>
      </c>
      <c r="H55" s="217">
        <v>774.21</v>
      </c>
      <c r="I55" s="217">
        <v>653.51</v>
      </c>
      <c r="J55" s="217">
        <v>15.36</v>
      </c>
      <c r="K55" s="217">
        <v>59.05</v>
      </c>
      <c r="L55" s="217">
        <v>30</v>
      </c>
      <c r="M55" s="217">
        <f t="shared" si="6"/>
        <v>1667.27</v>
      </c>
      <c r="N55" s="217">
        <v>1600</v>
      </c>
      <c r="O55" s="217">
        <f t="shared" si="1"/>
        <v>57688.451858551976</v>
      </c>
      <c r="P55" s="212">
        <v>44900</v>
      </c>
    </row>
    <row r="56" spans="1:16" ht="15.75" x14ac:dyDescent="0.25">
      <c r="A56" s="96"/>
      <c r="B56" s="213">
        <f t="shared" si="5"/>
        <v>178</v>
      </c>
      <c r="C56" s="214">
        <v>44958</v>
      </c>
      <c r="D56" s="215" t="s">
        <v>517</v>
      </c>
      <c r="E56" s="216">
        <v>30</v>
      </c>
      <c r="F56" s="217">
        <f t="shared" si="2"/>
        <v>57688.451858551976</v>
      </c>
      <c r="G56" s="217">
        <v>67.569999999999993</v>
      </c>
      <c r="H56" s="217">
        <v>783.63</v>
      </c>
      <c r="I56" s="217">
        <v>644.39</v>
      </c>
      <c r="J56" s="217">
        <v>15.36</v>
      </c>
      <c r="K56" s="217">
        <v>59.05</v>
      </c>
      <c r="L56" s="217">
        <v>30</v>
      </c>
      <c r="M56" s="217">
        <f t="shared" si="6"/>
        <v>1600</v>
      </c>
      <c r="N56" s="217">
        <v>1600</v>
      </c>
      <c r="O56" s="217">
        <f t="shared" si="1"/>
        <v>56837.251858551979</v>
      </c>
      <c r="P56" s="212">
        <v>44936</v>
      </c>
    </row>
    <row r="57" spans="1:16" ht="15.75" x14ac:dyDescent="0.25">
      <c r="A57" s="96"/>
      <c r="B57" s="213">
        <f t="shared" si="5"/>
        <v>179</v>
      </c>
      <c r="C57" s="214">
        <v>44986</v>
      </c>
      <c r="D57" s="215" t="s">
        <v>517</v>
      </c>
      <c r="E57" s="216">
        <v>30</v>
      </c>
      <c r="F57" s="217">
        <f t="shared" si="2"/>
        <v>56837.251858551979</v>
      </c>
      <c r="G57" s="217">
        <v>67.569999999999993</v>
      </c>
      <c r="H57" s="217">
        <v>793.15</v>
      </c>
      <c r="I57" s="217">
        <v>634.87</v>
      </c>
      <c r="J57" s="217">
        <v>15.36</v>
      </c>
      <c r="K57" s="217">
        <v>59.05</v>
      </c>
      <c r="L57" s="217">
        <v>30</v>
      </c>
      <c r="M57" s="217">
        <f t="shared" si="6"/>
        <v>1600</v>
      </c>
      <c r="N57" s="217">
        <v>1600</v>
      </c>
      <c r="O57" s="217">
        <f t="shared" si="1"/>
        <v>55976.531858551978</v>
      </c>
      <c r="P57" s="212">
        <v>44971</v>
      </c>
    </row>
    <row r="58" spans="1:16" ht="15.75" x14ac:dyDescent="0.25">
      <c r="A58" s="96"/>
      <c r="B58" s="213">
        <f t="shared" si="5"/>
        <v>180</v>
      </c>
      <c r="C58" s="214">
        <v>45017</v>
      </c>
      <c r="D58" s="215" t="s">
        <v>517</v>
      </c>
      <c r="E58" s="216">
        <v>30</v>
      </c>
      <c r="F58" s="217">
        <f t="shared" si="2"/>
        <v>55976.531858551978</v>
      </c>
      <c r="G58" s="217">
        <v>67.569999999999993</v>
      </c>
      <c r="H58" s="217">
        <v>802.77</v>
      </c>
      <c r="I58" s="217">
        <v>625.25</v>
      </c>
      <c r="J58" s="217">
        <v>15.36</v>
      </c>
      <c r="K58" s="217">
        <v>59.05</v>
      </c>
      <c r="L58" s="217">
        <v>30</v>
      </c>
      <c r="M58" s="217">
        <f t="shared" si="6"/>
        <v>1599.9999999999998</v>
      </c>
      <c r="N58" s="217">
        <v>1600</v>
      </c>
      <c r="O58" s="217">
        <f t="shared" si="1"/>
        <v>55106.191858551982</v>
      </c>
      <c r="P58" s="212">
        <v>44991</v>
      </c>
    </row>
    <row r="59" spans="1:16" ht="15.75" x14ac:dyDescent="0.25">
      <c r="A59" s="96"/>
      <c r="B59" s="218"/>
      <c r="C59" s="219">
        <v>45047</v>
      </c>
      <c r="D59" s="220" t="s">
        <v>518</v>
      </c>
      <c r="E59" s="221"/>
      <c r="F59" s="222">
        <f>O58</f>
        <v>55106.191858551982</v>
      </c>
      <c r="G59" s="222">
        <v>1600</v>
      </c>
      <c r="H59" s="222"/>
      <c r="I59" s="222"/>
      <c r="J59" s="222"/>
      <c r="K59" s="222"/>
      <c r="L59" s="222"/>
      <c r="M59" s="222"/>
      <c r="N59" s="222"/>
      <c r="O59" s="222">
        <f t="shared" si="1"/>
        <v>53506.191858551982</v>
      </c>
      <c r="P59" s="223"/>
    </row>
    <row r="60" spans="1:16" ht="15.75" x14ac:dyDescent="0.25">
      <c r="A60" s="96"/>
      <c r="B60" s="224">
        <f>B58+1</f>
        <v>181</v>
      </c>
      <c r="C60" s="225">
        <v>45047</v>
      </c>
      <c r="D60" s="226" t="s">
        <v>517</v>
      </c>
      <c r="E60" s="227">
        <v>30</v>
      </c>
      <c r="F60" s="228">
        <f>O59</f>
        <v>53506.191858551982</v>
      </c>
      <c r="G60" s="228">
        <v>67.569999999999993</v>
      </c>
      <c r="H60" s="228">
        <v>830.4</v>
      </c>
      <c r="I60" s="228">
        <v>597.62</v>
      </c>
      <c r="J60" s="228">
        <v>15.36</v>
      </c>
      <c r="K60" s="228">
        <v>59.05</v>
      </c>
      <c r="L60" s="228">
        <v>30</v>
      </c>
      <c r="M60" s="217">
        <f t="shared" si="6"/>
        <v>1600</v>
      </c>
      <c r="N60" s="228">
        <v>1600</v>
      </c>
      <c r="O60" s="228">
        <f t="shared" si="1"/>
        <v>52608.22185855198</v>
      </c>
      <c r="P60" s="229">
        <v>45019</v>
      </c>
    </row>
    <row r="61" spans="1:16" ht="15.75" x14ac:dyDescent="0.25">
      <c r="A61" s="96"/>
      <c r="B61" s="218"/>
      <c r="C61" s="219">
        <v>45047</v>
      </c>
      <c r="D61" s="220" t="s">
        <v>518</v>
      </c>
      <c r="E61" s="221"/>
      <c r="F61" s="222">
        <f>O60</f>
        <v>52608.22185855198</v>
      </c>
      <c r="G61" s="222">
        <v>-1600</v>
      </c>
      <c r="H61" s="222"/>
      <c r="I61" s="222"/>
      <c r="J61" s="222"/>
      <c r="K61" s="222"/>
      <c r="L61" s="222"/>
      <c r="M61" s="222"/>
      <c r="N61" s="222"/>
      <c r="O61" s="222">
        <f t="shared" si="1"/>
        <v>54208.22185855198</v>
      </c>
      <c r="P61" s="223"/>
    </row>
    <row r="62" spans="1:16" ht="15.75" x14ac:dyDescent="0.25">
      <c r="A62" s="96"/>
      <c r="B62" s="224">
        <f>B60+1</f>
        <v>182</v>
      </c>
      <c r="C62" s="225">
        <v>45078</v>
      </c>
      <c r="D62" s="226" t="s">
        <v>517</v>
      </c>
      <c r="E62" s="227">
        <v>30</v>
      </c>
      <c r="F62" s="228">
        <f>O61</f>
        <v>54208.22185855198</v>
      </c>
      <c r="G62" s="228">
        <v>1667.57</v>
      </c>
      <c r="H62" s="228">
        <v>840.44</v>
      </c>
      <c r="I62" s="228">
        <v>587.58000000000004</v>
      </c>
      <c r="J62" s="228">
        <v>15.36</v>
      </c>
      <c r="K62" s="228">
        <v>59.05</v>
      </c>
      <c r="L62" s="228">
        <v>30</v>
      </c>
      <c r="M62" s="217">
        <f t="shared" si="6"/>
        <v>3200.0000000000005</v>
      </c>
      <c r="N62" s="228">
        <v>3200</v>
      </c>
      <c r="O62" s="228">
        <f t="shared" si="1"/>
        <v>51700.211858551978</v>
      </c>
      <c r="P62" s="229">
        <v>45048</v>
      </c>
    </row>
    <row r="63" spans="1:16" ht="15.75" x14ac:dyDescent="0.25">
      <c r="A63" s="96"/>
      <c r="B63" s="224">
        <f t="shared" si="5"/>
        <v>183</v>
      </c>
      <c r="C63" s="225">
        <v>45108</v>
      </c>
      <c r="D63" s="226" t="s">
        <v>517</v>
      </c>
      <c r="E63" s="227">
        <v>30</v>
      </c>
      <c r="F63" s="228">
        <f t="shared" si="2"/>
        <v>51700.211858551978</v>
      </c>
      <c r="G63" s="228">
        <v>67.569999999999993</v>
      </c>
      <c r="H63" s="228">
        <v>850.59</v>
      </c>
      <c r="I63" s="228">
        <v>577.46</v>
      </c>
      <c r="J63" s="228">
        <v>15.36</v>
      </c>
      <c r="K63" s="228">
        <v>59.05</v>
      </c>
      <c r="L63" s="228">
        <v>30</v>
      </c>
      <c r="M63" s="217">
        <f t="shared" si="6"/>
        <v>1600.03</v>
      </c>
      <c r="N63" s="228">
        <v>1600</v>
      </c>
      <c r="O63" s="228">
        <f t="shared" si="1"/>
        <v>50782.051858551982</v>
      </c>
      <c r="P63" s="229">
        <v>45091</v>
      </c>
    </row>
    <row r="64" spans="1:16" ht="15.75" x14ac:dyDescent="0.25">
      <c r="A64" s="96"/>
      <c r="B64" s="224">
        <f t="shared" si="5"/>
        <v>184</v>
      </c>
      <c r="C64" s="225">
        <v>45139</v>
      </c>
      <c r="D64" s="226" t="s">
        <v>517</v>
      </c>
      <c r="E64" s="227">
        <v>30</v>
      </c>
      <c r="F64" s="228">
        <f t="shared" si="2"/>
        <v>50782.051858551982</v>
      </c>
      <c r="G64" s="228">
        <v>67.569999999999993</v>
      </c>
      <c r="H64" s="228">
        <v>860.86</v>
      </c>
      <c r="I64" s="228">
        <v>567.16</v>
      </c>
      <c r="J64" s="228">
        <v>15.36</v>
      </c>
      <c r="K64" s="228">
        <v>59.05</v>
      </c>
      <c r="L64" s="228">
        <v>30</v>
      </c>
      <c r="M64" s="217">
        <f t="shared" si="6"/>
        <v>1600</v>
      </c>
      <c r="N64" s="228">
        <v>1600</v>
      </c>
      <c r="O64" s="228">
        <f t="shared" si="1"/>
        <v>49853.621858551982</v>
      </c>
      <c r="P64" s="229">
        <v>45118</v>
      </c>
    </row>
    <row r="65" spans="1:16" ht="15.75" x14ac:dyDescent="0.25">
      <c r="A65" s="96"/>
      <c r="B65" s="224">
        <f t="shared" si="5"/>
        <v>185</v>
      </c>
      <c r="C65" s="225">
        <v>45170</v>
      </c>
      <c r="D65" s="226" t="s">
        <v>517</v>
      </c>
      <c r="E65" s="227">
        <v>30</v>
      </c>
      <c r="F65" s="228">
        <f t="shared" si="2"/>
        <v>49853.621858551982</v>
      </c>
      <c r="G65" s="228">
        <v>67.569999999999993</v>
      </c>
      <c r="H65" s="228">
        <v>871.25</v>
      </c>
      <c r="I65" s="228">
        <v>556.77</v>
      </c>
      <c r="J65" s="228">
        <v>15.36</v>
      </c>
      <c r="K65" s="228">
        <v>59.05</v>
      </c>
      <c r="L65" s="228">
        <v>30</v>
      </c>
      <c r="M65" s="217">
        <f t="shared" si="6"/>
        <v>1599.9999999999998</v>
      </c>
      <c r="N65" s="228">
        <v>1600</v>
      </c>
      <c r="O65" s="228">
        <f t="shared" si="1"/>
        <v>48914.801858551982</v>
      </c>
      <c r="P65" s="229">
        <v>45146</v>
      </c>
    </row>
    <row r="66" spans="1:16" ht="15.75" x14ac:dyDescent="0.25">
      <c r="A66" s="96"/>
      <c r="B66" s="224">
        <f t="shared" si="5"/>
        <v>186</v>
      </c>
      <c r="C66" s="225">
        <v>45200</v>
      </c>
      <c r="D66" s="226" t="s">
        <v>517</v>
      </c>
      <c r="E66" s="227">
        <v>30</v>
      </c>
      <c r="F66" s="228">
        <f t="shared" si="2"/>
        <v>48914.801858551982</v>
      </c>
      <c r="G66" s="228">
        <v>67.569999999999993</v>
      </c>
      <c r="H66" s="228">
        <v>881.75</v>
      </c>
      <c r="I66" s="228">
        <v>546.27</v>
      </c>
      <c r="J66" s="228">
        <v>15.36</v>
      </c>
      <c r="K66" s="228">
        <v>59.05</v>
      </c>
      <c r="L66" s="228">
        <v>30</v>
      </c>
      <c r="M66" s="217">
        <f t="shared" ref="M66" si="7">SUM(G66:L66)</f>
        <v>1599.9999999999998</v>
      </c>
      <c r="N66" s="228">
        <v>1600</v>
      </c>
      <c r="O66" s="228">
        <f t="shared" si="1"/>
        <v>47965.481858551982</v>
      </c>
      <c r="P66" s="229">
        <v>45180</v>
      </c>
    </row>
    <row r="67" spans="1:16" ht="15.75" x14ac:dyDescent="0.25">
      <c r="A67" s="96"/>
      <c r="B67" s="224">
        <f t="shared" si="5"/>
        <v>187</v>
      </c>
      <c r="C67" s="225">
        <v>45231</v>
      </c>
      <c r="D67" s="226" t="s">
        <v>517</v>
      </c>
      <c r="E67" s="227">
        <v>30</v>
      </c>
      <c r="F67" s="228">
        <f t="shared" si="2"/>
        <v>47965.481858551982</v>
      </c>
      <c r="G67" s="228">
        <v>67.569999999999993</v>
      </c>
      <c r="H67" s="228">
        <v>892.36</v>
      </c>
      <c r="I67" s="228">
        <v>535.66</v>
      </c>
      <c r="J67" s="228">
        <v>15.36</v>
      </c>
      <c r="K67" s="228">
        <v>59.05</v>
      </c>
      <c r="L67" s="228">
        <v>30</v>
      </c>
      <c r="M67" s="217">
        <f t="shared" ref="M67:M70" si="8">SUM(G67:L67)</f>
        <v>1600</v>
      </c>
      <c r="N67" s="228">
        <v>1600</v>
      </c>
      <c r="O67" s="228">
        <f t="shared" si="1"/>
        <v>47005.551858551982</v>
      </c>
      <c r="P67" s="229">
        <v>45209</v>
      </c>
    </row>
    <row r="68" spans="1:16" ht="15.75" x14ac:dyDescent="0.25">
      <c r="A68" s="96"/>
      <c r="B68" s="224">
        <f t="shared" si="5"/>
        <v>188</v>
      </c>
      <c r="C68" s="225">
        <v>45261</v>
      </c>
      <c r="D68" s="226" t="s">
        <v>517</v>
      </c>
      <c r="E68" s="227">
        <v>30</v>
      </c>
      <c r="F68" s="228">
        <f t="shared" si="2"/>
        <v>47005.551858551982</v>
      </c>
      <c r="G68" s="228">
        <v>67.569999999999993</v>
      </c>
      <c r="H68" s="228">
        <v>903.1</v>
      </c>
      <c r="I68" s="228">
        <v>524.91999999999996</v>
      </c>
      <c r="J68" s="228">
        <v>15.36</v>
      </c>
      <c r="K68" s="228">
        <v>59.05</v>
      </c>
      <c r="L68" s="228">
        <v>30</v>
      </c>
      <c r="M68" s="217">
        <f t="shared" si="8"/>
        <v>1600</v>
      </c>
      <c r="N68" s="228">
        <v>1600</v>
      </c>
      <c r="O68" s="228">
        <f t="shared" si="1"/>
        <v>46034.881858551984</v>
      </c>
      <c r="P68" s="229">
        <v>45243</v>
      </c>
    </row>
    <row r="69" spans="1:16" ht="15.75" x14ac:dyDescent="0.25">
      <c r="A69" s="96"/>
      <c r="B69" s="250">
        <f t="shared" si="5"/>
        <v>189</v>
      </c>
      <c r="C69" s="251">
        <v>45292</v>
      </c>
      <c r="D69" s="252" t="s">
        <v>517</v>
      </c>
      <c r="E69" s="253">
        <v>30</v>
      </c>
      <c r="F69" s="254">
        <f t="shared" si="2"/>
        <v>46034.881858551984</v>
      </c>
      <c r="G69" s="254">
        <v>67.569999999999993</v>
      </c>
      <c r="H69" s="254">
        <v>913.95</v>
      </c>
      <c r="I69" s="254">
        <v>514.07000000000005</v>
      </c>
      <c r="J69" s="254">
        <v>15.36</v>
      </c>
      <c r="K69" s="254">
        <v>59.05</v>
      </c>
      <c r="L69" s="254">
        <v>30</v>
      </c>
      <c r="M69" s="255">
        <f t="shared" si="8"/>
        <v>1600</v>
      </c>
      <c r="N69" s="254">
        <v>1600</v>
      </c>
      <c r="O69" s="254">
        <f t="shared" si="1"/>
        <v>45053.361858551987</v>
      </c>
      <c r="P69" s="256">
        <v>45273</v>
      </c>
    </row>
    <row r="70" spans="1:16" ht="15.75" x14ac:dyDescent="0.25">
      <c r="A70" s="96"/>
      <c r="B70" s="250">
        <f t="shared" si="5"/>
        <v>190</v>
      </c>
      <c r="C70" s="251">
        <v>45323</v>
      </c>
      <c r="D70" s="252" t="s">
        <v>517</v>
      </c>
      <c r="E70" s="253">
        <v>30</v>
      </c>
      <c r="F70" s="254">
        <f t="shared" si="2"/>
        <v>45053.361858551987</v>
      </c>
      <c r="G70" s="254">
        <v>67.569999999999993</v>
      </c>
      <c r="H70" s="254">
        <v>924.93</v>
      </c>
      <c r="I70" s="254">
        <v>503.09</v>
      </c>
      <c r="J70" s="254">
        <v>15.36</v>
      </c>
      <c r="K70" s="254">
        <v>59.05</v>
      </c>
      <c r="L70" s="254">
        <v>30</v>
      </c>
      <c r="M70" s="255">
        <f t="shared" si="8"/>
        <v>1599.9999999999998</v>
      </c>
      <c r="N70" s="254">
        <v>1600</v>
      </c>
      <c r="O70" s="254">
        <f t="shared" si="1"/>
        <v>44060.861858551987</v>
      </c>
      <c r="P70" s="256">
        <v>45302</v>
      </c>
    </row>
    <row r="71" spans="1:16" ht="15.75" x14ac:dyDescent="0.25">
      <c r="A71" s="96"/>
      <c r="B71" s="250">
        <f t="shared" si="5"/>
        <v>191</v>
      </c>
      <c r="C71" s="251">
        <v>45352</v>
      </c>
      <c r="D71" s="252" t="s">
        <v>517</v>
      </c>
      <c r="E71" s="253">
        <v>30</v>
      </c>
      <c r="F71" s="254">
        <f t="shared" si="2"/>
        <v>44060.861858551987</v>
      </c>
      <c r="G71" s="254">
        <v>67.569999999999993</v>
      </c>
      <c r="H71" s="254">
        <v>936.03</v>
      </c>
      <c r="I71" s="254">
        <v>491.99</v>
      </c>
      <c r="J71" s="254">
        <v>15.36</v>
      </c>
      <c r="K71" s="254">
        <v>59.05</v>
      </c>
      <c r="L71" s="254">
        <v>30</v>
      </c>
      <c r="M71" s="255">
        <f>SUM(G71:L71)</f>
        <v>1599.9999999999998</v>
      </c>
      <c r="N71" s="254">
        <v>1600</v>
      </c>
      <c r="O71" s="254">
        <f t="shared" si="1"/>
        <v>43057.261858551989</v>
      </c>
      <c r="P71" s="256">
        <v>45338</v>
      </c>
    </row>
    <row r="72" spans="1:16" ht="15.75" x14ac:dyDescent="0.25">
      <c r="A72" s="96"/>
      <c r="B72" s="230">
        <f t="shared" si="5"/>
        <v>192</v>
      </c>
      <c r="C72" s="232">
        <v>45383</v>
      </c>
      <c r="D72" s="180" t="s">
        <v>517</v>
      </c>
      <c r="E72" s="233">
        <v>30</v>
      </c>
      <c r="F72" s="181">
        <f t="shared" si="2"/>
        <v>43057.261858551989</v>
      </c>
      <c r="G72" s="181">
        <v>0</v>
      </c>
      <c r="H72" s="181">
        <f t="shared" ref="H72:H119" si="9">$H$5-SUM(I72:L72)</f>
        <v>946.49628821519366</v>
      </c>
      <c r="I72" s="181">
        <f t="shared" ref="I72:I120" si="10">(F72*$I$5)/12</f>
        <v>481.52371178480644</v>
      </c>
      <c r="J72" s="181">
        <v>15.36</v>
      </c>
      <c r="K72" s="181">
        <v>59.05</v>
      </c>
      <c r="L72" s="181">
        <v>30</v>
      </c>
      <c r="M72" s="181"/>
      <c r="N72" s="181"/>
      <c r="O72" s="181">
        <f t="shared" si="1"/>
        <v>42110.765570336793</v>
      </c>
      <c r="P72" s="231"/>
    </row>
    <row r="73" spans="1:16" ht="15.75" x14ac:dyDescent="0.25">
      <c r="A73" s="96"/>
      <c r="B73" s="230">
        <f t="shared" si="5"/>
        <v>193</v>
      </c>
      <c r="C73" s="232">
        <v>45413</v>
      </c>
      <c r="D73" s="180" t="s">
        <v>517</v>
      </c>
      <c r="E73" s="233">
        <v>30</v>
      </c>
      <c r="F73" s="181">
        <f t="shared" si="2"/>
        <v>42110.765570336793</v>
      </c>
      <c r="G73" s="181">
        <v>0</v>
      </c>
      <c r="H73" s="181">
        <f t="shared" si="9"/>
        <v>957.08127170506691</v>
      </c>
      <c r="I73" s="181">
        <f t="shared" si="10"/>
        <v>470.93872829493313</v>
      </c>
      <c r="J73" s="181">
        <v>15.36</v>
      </c>
      <c r="K73" s="181">
        <v>59.05</v>
      </c>
      <c r="L73" s="181">
        <v>30</v>
      </c>
      <c r="M73" s="181"/>
      <c r="N73" s="181"/>
      <c r="O73" s="181">
        <f t="shared" si="1"/>
        <v>41153.684298631728</v>
      </c>
      <c r="P73" s="231"/>
    </row>
    <row r="74" spans="1:16" ht="15.75" x14ac:dyDescent="0.25">
      <c r="A74" s="96"/>
      <c r="B74" s="230">
        <f t="shared" si="5"/>
        <v>194</v>
      </c>
      <c r="C74" s="232">
        <v>45444</v>
      </c>
      <c r="D74" s="180" t="s">
        <v>517</v>
      </c>
      <c r="E74" s="233">
        <v>30</v>
      </c>
      <c r="F74" s="181">
        <f t="shared" si="2"/>
        <v>41153.684298631728</v>
      </c>
      <c r="G74" s="181">
        <v>0</v>
      </c>
      <c r="H74" s="181">
        <f t="shared" si="9"/>
        <v>967.78463059363514</v>
      </c>
      <c r="I74" s="181">
        <f t="shared" si="10"/>
        <v>460.2353694063649</v>
      </c>
      <c r="J74" s="181">
        <v>15.36</v>
      </c>
      <c r="K74" s="181">
        <v>59.05</v>
      </c>
      <c r="L74" s="181">
        <v>30</v>
      </c>
      <c r="M74" s="181"/>
      <c r="N74" s="181"/>
      <c r="O74" s="181">
        <f t="shared" si="1"/>
        <v>40185.899668038095</v>
      </c>
      <c r="P74" s="231"/>
    </row>
    <row r="75" spans="1:16" ht="15.75" x14ac:dyDescent="0.25">
      <c r="A75" s="96"/>
      <c r="B75" s="230">
        <f t="shared" si="5"/>
        <v>195</v>
      </c>
      <c r="C75" s="232">
        <v>45474</v>
      </c>
      <c r="D75" s="180" t="s">
        <v>517</v>
      </c>
      <c r="E75" s="233">
        <v>30</v>
      </c>
      <c r="F75" s="181">
        <f t="shared" si="2"/>
        <v>40185.899668038095</v>
      </c>
      <c r="G75" s="181">
        <v>0</v>
      </c>
      <c r="H75" s="181">
        <f t="shared" si="9"/>
        <v>978.60768871244068</v>
      </c>
      <c r="I75" s="181">
        <f t="shared" si="10"/>
        <v>449.41231128755936</v>
      </c>
      <c r="J75" s="181">
        <v>15.36</v>
      </c>
      <c r="K75" s="181">
        <v>59.05</v>
      </c>
      <c r="L75" s="181">
        <v>30</v>
      </c>
      <c r="M75" s="181"/>
      <c r="N75" s="181"/>
      <c r="O75" s="181">
        <f t="shared" si="1"/>
        <v>39207.291979325651</v>
      </c>
      <c r="P75" s="231"/>
    </row>
    <row r="76" spans="1:16" ht="15.75" x14ac:dyDescent="0.25">
      <c r="A76" s="96"/>
      <c r="B76" s="230">
        <f t="shared" si="5"/>
        <v>196</v>
      </c>
      <c r="C76" s="232">
        <v>45505</v>
      </c>
      <c r="D76" s="180" t="s">
        <v>517</v>
      </c>
      <c r="E76" s="233">
        <v>30</v>
      </c>
      <c r="F76" s="181">
        <f t="shared" si="2"/>
        <v>39207.291979325651</v>
      </c>
      <c r="G76" s="181">
        <v>0</v>
      </c>
      <c r="H76" s="181">
        <f t="shared" si="9"/>
        <v>989.55178469787484</v>
      </c>
      <c r="I76" s="181">
        <f t="shared" si="10"/>
        <v>438.4682153021252</v>
      </c>
      <c r="J76" s="181">
        <v>15.36</v>
      </c>
      <c r="K76" s="181">
        <v>59.05</v>
      </c>
      <c r="L76" s="181">
        <v>30</v>
      </c>
      <c r="M76" s="181"/>
      <c r="N76" s="181"/>
      <c r="O76" s="181">
        <f t="shared" si="1"/>
        <v>38217.740194627775</v>
      </c>
      <c r="P76" s="231"/>
    </row>
    <row r="77" spans="1:16" ht="15.75" x14ac:dyDescent="0.25">
      <c r="A77" s="96"/>
      <c r="B77" s="230">
        <f t="shared" si="5"/>
        <v>197</v>
      </c>
      <c r="C77" s="232">
        <v>45536</v>
      </c>
      <c r="D77" s="180" t="s">
        <v>517</v>
      </c>
      <c r="E77" s="233">
        <v>30</v>
      </c>
      <c r="F77" s="181">
        <f t="shared" si="2"/>
        <v>38217.740194627775</v>
      </c>
      <c r="G77" s="181">
        <v>0</v>
      </c>
      <c r="H77" s="181">
        <f t="shared" si="9"/>
        <v>1000.618272156746</v>
      </c>
      <c r="I77" s="181">
        <f t="shared" si="10"/>
        <v>427.40172784325404</v>
      </c>
      <c r="J77" s="181">
        <v>15.36</v>
      </c>
      <c r="K77" s="181">
        <v>59.05</v>
      </c>
      <c r="L77" s="181">
        <v>30</v>
      </c>
      <c r="M77" s="181"/>
      <c r="N77" s="181"/>
      <c r="O77" s="181">
        <f t="shared" si="1"/>
        <v>37217.121922471029</v>
      </c>
      <c r="P77" s="231"/>
    </row>
    <row r="78" spans="1:16" ht="15.75" x14ac:dyDescent="0.25">
      <c r="A78" s="96"/>
      <c r="B78" s="230">
        <f t="shared" si="5"/>
        <v>198</v>
      </c>
      <c r="C78" s="232">
        <v>45566</v>
      </c>
      <c r="D78" s="180" t="s">
        <v>517</v>
      </c>
      <c r="E78" s="233">
        <v>30</v>
      </c>
      <c r="F78" s="181">
        <f t="shared" si="2"/>
        <v>37217.121922471029</v>
      </c>
      <c r="G78" s="181">
        <v>0</v>
      </c>
      <c r="H78" s="181">
        <f t="shared" si="9"/>
        <v>1011.8085198336989</v>
      </c>
      <c r="I78" s="181">
        <f t="shared" si="10"/>
        <v>416.21148016630104</v>
      </c>
      <c r="J78" s="181">
        <v>15.36</v>
      </c>
      <c r="K78" s="181">
        <v>59.05</v>
      </c>
      <c r="L78" s="181">
        <v>30</v>
      </c>
      <c r="M78" s="181"/>
      <c r="N78" s="181"/>
      <c r="O78" s="181">
        <f t="shared" si="1"/>
        <v>36205.31340263733</v>
      </c>
      <c r="P78" s="231"/>
    </row>
    <row r="79" spans="1:16" ht="15.75" x14ac:dyDescent="0.25">
      <c r="A79" s="96"/>
      <c r="B79" s="230">
        <f t="shared" si="5"/>
        <v>199</v>
      </c>
      <c r="C79" s="232">
        <v>45597</v>
      </c>
      <c r="D79" s="180" t="s">
        <v>517</v>
      </c>
      <c r="E79" s="233">
        <v>30</v>
      </c>
      <c r="F79" s="181">
        <f t="shared" si="2"/>
        <v>36205.31340263733</v>
      </c>
      <c r="G79" s="181">
        <v>0</v>
      </c>
      <c r="H79" s="181">
        <f t="shared" si="9"/>
        <v>1023.1239117805059</v>
      </c>
      <c r="I79" s="181">
        <f t="shared" si="10"/>
        <v>404.89608821949417</v>
      </c>
      <c r="J79" s="181">
        <v>15.36</v>
      </c>
      <c r="K79" s="181">
        <v>59.05</v>
      </c>
      <c r="L79" s="181">
        <v>30</v>
      </c>
      <c r="M79" s="181"/>
      <c r="N79" s="181"/>
      <c r="O79" s="181">
        <f t="shared" si="1"/>
        <v>35182.189490856821</v>
      </c>
      <c r="P79" s="231"/>
    </row>
    <row r="80" spans="1:16" ht="15.75" x14ac:dyDescent="0.25">
      <c r="A80" s="96"/>
      <c r="B80" s="230">
        <f t="shared" ref="B80:B120" si="11">B79+1</f>
        <v>200</v>
      </c>
      <c r="C80" s="232">
        <v>45627</v>
      </c>
      <c r="D80" s="180" t="s">
        <v>517</v>
      </c>
      <c r="E80" s="233">
        <v>30</v>
      </c>
      <c r="F80" s="181">
        <f t="shared" si="2"/>
        <v>35182.189490856821</v>
      </c>
      <c r="G80" s="181">
        <v>0</v>
      </c>
      <c r="H80" s="181">
        <f t="shared" si="9"/>
        <v>1034.5658475272512</v>
      </c>
      <c r="I80" s="181">
        <f t="shared" si="10"/>
        <v>393.45415247274883</v>
      </c>
      <c r="J80" s="181">
        <v>15.36</v>
      </c>
      <c r="K80" s="181">
        <v>59.05</v>
      </c>
      <c r="L80" s="181">
        <v>30</v>
      </c>
      <c r="M80" s="181"/>
      <c r="N80" s="181"/>
      <c r="O80" s="181">
        <f t="shared" si="1"/>
        <v>34147.623643329571</v>
      </c>
      <c r="P80" s="231"/>
    </row>
    <row r="81" spans="1:16" ht="15.75" x14ac:dyDescent="0.25">
      <c r="A81" s="96"/>
      <c r="B81" s="230">
        <f t="shared" si="11"/>
        <v>201</v>
      </c>
      <c r="C81" s="232">
        <v>45658</v>
      </c>
      <c r="D81" s="180" t="s">
        <v>517</v>
      </c>
      <c r="E81" s="233">
        <v>30</v>
      </c>
      <c r="F81" s="181">
        <f t="shared" si="2"/>
        <v>34147.623643329571</v>
      </c>
      <c r="G81" s="181">
        <v>0</v>
      </c>
      <c r="H81" s="181">
        <f t="shared" si="9"/>
        <v>1046.1357422554311</v>
      </c>
      <c r="I81" s="181">
        <f t="shared" si="10"/>
        <v>381.88425774456908</v>
      </c>
      <c r="J81" s="181">
        <v>15.36</v>
      </c>
      <c r="K81" s="181">
        <v>59.05</v>
      </c>
      <c r="L81" s="181">
        <v>30</v>
      </c>
      <c r="M81" s="181"/>
      <c r="N81" s="181"/>
      <c r="O81" s="181">
        <f t="shared" si="1"/>
        <v>33101.487901074142</v>
      </c>
      <c r="P81" s="231"/>
    </row>
    <row r="82" spans="1:16" ht="15.75" x14ac:dyDescent="0.25">
      <c r="A82" s="96"/>
      <c r="B82" s="230">
        <f t="shared" si="11"/>
        <v>202</v>
      </c>
      <c r="C82" s="232">
        <v>45689</v>
      </c>
      <c r="D82" s="180" t="s">
        <v>517</v>
      </c>
      <c r="E82" s="233">
        <v>30</v>
      </c>
      <c r="F82" s="181">
        <f t="shared" si="2"/>
        <v>33101.487901074142</v>
      </c>
      <c r="G82" s="181">
        <v>0</v>
      </c>
      <c r="H82" s="181">
        <f t="shared" si="9"/>
        <v>1057.8350269729876</v>
      </c>
      <c r="I82" s="181">
        <f t="shared" si="10"/>
        <v>370.18497302701252</v>
      </c>
      <c r="J82" s="181">
        <v>15.36</v>
      </c>
      <c r="K82" s="181">
        <v>59.05</v>
      </c>
      <c r="L82" s="181">
        <v>30</v>
      </c>
      <c r="M82" s="181"/>
      <c r="N82" s="181"/>
      <c r="O82" s="181">
        <f t="shared" si="1"/>
        <v>32043.652874101153</v>
      </c>
      <c r="P82" s="231"/>
    </row>
    <row r="83" spans="1:16" ht="15.75" x14ac:dyDescent="0.25">
      <c r="A83" s="96"/>
      <c r="B83" s="230">
        <f t="shared" si="11"/>
        <v>203</v>
      </c>
      <c r="C83" s="232">
        <v>45717</v>
      </c>
      <c r="D83" s="180" t="s">
        <v>517</v>
      </c>
      <c r="E83" s="233">
        <v>30</v>
      </c>
      <c r="F83" s="181">
        <f t="shared" si="2"/>
        <v>32043.652874101153</v>
      </c>
      <c r="G83" s="181">
        <v>0</v>
      </c>
      <c r="H83" s="181">
        <f t="shared" si="9"/>
        <v>1069.665148691302</v>
      </c>
      <c r="I83" s="181">
        <f t="shared" si="10"/>
        <v>358.35485130869796</v>
      </c>
      <c r="J83" s="181">
        <v>15.36</v>
      </c>
      <c r="K83" s="181">
        <v>59.05</v>
      </c>
      <c r="L83" s="181">
        <v>30</v>
      </c>
      <c r="M83" s="181"/>
      <c r="N83" s="181"/>
      <c r="O83" s="181">
        <f t="shared" si="1"/>
        <v>30973.98772540985</v>
      </c>
      <c r="P83" s="231"/>
    </row>
    <row r="84" spans="1:16" ht="15.75" x14ac:dyDescent="0.25">
      <c r="A84" s="96"/>
      <c r="B84" s="230">
        <f t="shared" si="11"/>
        <v>204</v>
      </c>
      <c r="C84" s="232">
        <v>45748</v>
      </c>
      <c r="D84" s="180" t="s">
        <v>517</v>
      </c>
      <c r="E84" s="233">
        <v>30</v>
      </c>
      <c r="F84" s="181">
        <f t="shared" si="2"/>
        <v>30973.98772540985</v>
      </c>
      <c r="G84" s="181">
        <v>0</v>
      </c>
      <c r="H84" s="181">
        <f t="shared" si="9"/>
        <v>1081.6275706041665</v>
      </c>
      <c r="I84" s="181">
        <f t="shared" si="10"/>
        <v>346.39242939583352</v>
      </c>
      <c r="J84" s="181">
        <v>15.36</v>
      </c>
      <c r="K84" s="181">
        <v>59.05</v>
      </c>
      <c r="L84" s="181">
        <v>30</v>
      </c>
      <c r="M84" s="181"/>
      <c r="N84" s="181"/>
      <c r="O84" s="181">
        <f t="shared" si="1"/>
        <v>29892.360154805683</v>
      </c>
      <c r="P84" s="231"/>
    </row>
    <row r="85" spans="1:16" ht="15.75" x14ac:dyDescent="0.25">
      <c r="A85" s="96"/>
      <c r="B85" s="230">
        <f t="shared" si="11"/>
        <v>205</v>
      </c>
      <c r="C85" s="232">
        <v>45778</v>
      </c>
      <c r="D85" s="180" t="s">
        <v>517</v>
      </c>
      <c r="E85" s="233">
        <v>30</v>
      </c>
      <c r="F85" s="181">
        <f t="shared" si="2"/>
        <v>29892.360154805683</v>
      </c>
      <c r="G85" s="181">
        <v>0</v>
      </c>
      <c r="H85" s="181">
        <f t="shared" si="9"/>
        <v>1093.7237722687564</v>
      </c>
      <c r="I85" s="181">
        <f t="shared" si="10"/>
        <v>334.29622773124362</v>
      </c>
      <c r="J85" s="181">
        <v>15.36</v>
      </c>
      <c r="K85" s="181">
        <v>59.05</v>
      </c>
      <c r="L85" s="181">
        <v>30</v>
      </c>
      <c r="M85" s="181"/>
      <c r="N85" s="181"/>
      <c r="O85" s="181">
        <f t="shared" si="1"/>
        <v>28798.636382536926</v>
      </c>
      <c r="P85" s="231"/>
    </row>
    <row r="86" spans="1:16" ht="15.75" x14ac:dyDescent="0.25">
      <c r="A86" s="96"/>
      <c r="B86" s="230">
        <f t="shared" si="11"/>
        <v>206</v>
      </c>
      <c r="C86" s="232">
        <v>45809</v>
      </c>
      <c r="D86" s="180" t="s">
        <v>517</v>
      </c>
      <c r="E86" s="233">
        <v>30</v>
      </c>
      <c r="F86" s="181">
        <f t="shared" si="2"/>
        <v>28798.636382536926</v>
      </c>
      <c r="G86" s="181">
        <v>0</v>
      </c>
      <c r="H86" s="181">
        <f t="shared" si="9"/>
        <v>1105.9552497886289</v>
      </c>
      <c r="I86" s="181">
        <f t="shared" si="10"/>
        <v>322.06475021137129</v>
      </c>
      <c r="J86" s="181">
        <v>15.36</v>
      </c>
      <c r="K86" s="181">
        <v>59.05</v>
      </c>
      <c r="L86" s="181">
        <v>30</v>
      </c>
      <c r="M86" s="181"/>
      <c r="N86" s="181"/>
      <c r="O86" s="181">
        <f t="shared" si="1"/>
        <v>27692.681132748297</v>
      </c>
      <c r="P86" s="231"/>
    </row>
    <row r="87" spans="1:16" ht="15.75" x14ac:dyDescent="0.25">
      <c r="A87" s="96"/>
      <c r="B87" s="230">
        <f t="shared" si="11"/>
        <v>207</v>
      </c>
      <c r="C87" s="232">
        <v>45839</v>
      </c>
      <c r="D87" s="180" t="s">
        <v>517</v>
      </c>
      <c r="E87" s="233">
        <v>30</v>
      </c>
      <c r="F87" s="181">
        <f t="shared" si="2"/>
        <v>27692.681132748297</v>
      </c>
      <c r="G87" s="181">
        <v>0</v>
      </c>
      <c r="H87" s="181">
        <f t="shared" si="9"/>
        <v>1118.3235159987648</v>
      </c>
      <c r="I87" s="181">
        <f t="shared" si="10"/>
        <v>309.69648400123515</v>
      </c>
      <c r="J87" s="181">
        <v>15.36</v>
      </c>
      <c r="K87" s="181">
        <v>59.05</v>
      </c>
      <c r="L87" s="181">
        <v>30</v>
      </c>
      <c r="M87" s="181"/>
      <c r="N87" s="181"/>
      <c r="O87" s="181">
        <f t="shared" si="1"/>
        <v>26574.357616749534</v>
      </c>
      <c r="P87" s="231"/>
    </row>
    <row r="88" spans="1:16" ht="15.75" x14ac:dyDescent="0.25">
      <c r="A88" s="96"/>
      <c r="B88" s="230">
        <f t="shared" si="11"/>
        <v>208</v>
      </c>
      <c r="C88" s="232">
        <v>45870</v>
      </c>
      <c r="D88" s="180" t="s">
        <v>517</v>
      </c>
      <c r="E88" s="233">
        <v>30</v>
      </c>
      <c r="F88" s="181">
        <f t="shared" si="2"/>
        <v>26574.357616749534</v>
      </c>
      <c r="G88" s="181">
        <v>0</v>
      </c>
      <c r="H88" s="181">
        <f t="shared" si="9"/>
        <v>1130.8301006526845</v>
      </c>
      <c r="I88" s="181">
        <f t="shared" si="10"/>
        <v>297.18989934731565</v>
      </c>
      <c r="J88" s="181">
        <v>15.36</v>
      </c>
      <c r="K88" s="181">
        <v>59.05</v>
      </c>
      <c r="L88" s="181">
        <v>30</v>
      </c>
      <c r="M88" s="181"/>
      <c r="N88" s="181"/>
      <c r="O88" s="181">
        <f t="shared" si="1"/>
        <v>25443.527516096849</v>
      </c>
      <c r="P88" s="231"/>
    </row>
    <row r="89" spans="1:16" ht="15.75" x14ac:dyDescent="0.25">
      <c r="A89" s="96"/>
      <c r="B89" s="230">
        <f t="shared" si="11"/>
        <v>209</v>
      </c>
      <c r="C89" s="232">
        <v>45901</v>
      </c>
      <c r="D89" s="180" t="s">
        <v>517</v>
      </c>
      <c r="E89" s="233">
        <v>30</v>
      </c>
      <c r="F89" s="181">
        <f t="shared" si="2"/>
        <v>25443.527516096849</v>
      </c>
      <c r="G89" s="181">
        <v>0</v>
      </c>
      <c r="H89" s="181">
        <f t="shared" si="9"/>
        <v>1143.4765506116503</v>
      </c>
      <c r="I89" s="181">
        <f t="shared" si="10"/>
        <v>284.54344938834976</v>
      </c>
      <c r="J89" s="181">
        <v>15.36</v>
      </c>
      <c r="K89" s="181">
        <v>59.05</v>
      </c>
      <c r="L89" s="181">
        <v>30</v>
      </c>
      <c r="M89" s="181"/>
      <c r="N89" s="181"/>
      <c r="O89" s="181">
        <f t="shared" si="1"/>
        <v>24300.050965485199</v>
      </c>
      <c r="P89" s="231"/>
    </row>
    <row r="90" spans="1:16" ht="15.75" x14ac:dyDescent="0.25">
      <c r="A90" s="96"/>
      <c r="B90" s="230">
        <f t="shared" si="11"/>
        <v>210</v>
      </c>
      <c r="C90" s="232">
        <v>45931</v>
      </c>
      <c r="D90" s="180" t="s">
        <v>517</v>
      </c>
      <c r="E90" s="233">
        <v>30</v>
      </c>
      <c r="F90" s="181">
        <f t="shared" si="2"/>
        <v>24300.050965485199</v>
      </c>
      <c r="G90" s="181">
        <v>0</v>
      </c>
      <c r="H90" s="181">
        <f t="shared" si="9"/>
        <v>1156.2644300359905</v>
      </c>
      <c r="I90" s="181">
        <f t="shared" si="10"/>
        <v>271.75556996400951</v>
      </c>
      <c r="J90" s="181">
        <v>15.36</v>
      </c>
      <c r="K90" s="181">
        <v>59.05</v>
      </c>
      <c r="L90" s="181">
        <v>30</v>
      </c>
      <c r="M90" s="181"/>
      <c r="N90" s="181"/>
      <c r="O90" s="181">
        <f t="shared" si="1"/>
        <v>23143.78653544921</v>
      </c>
      <c r="P90" s="231"/>
    </row>
    <row r="91" spans="1:16" ht="15.75" x14ac:dyDescent="0.25">
      <c r="A91" s="96"/>
      <c r="B91" s="230">
        <f t="shared" si="11"/>
        <v>211</v>
      </c>
      <c r="C91" s="232">
        <v>45962</v>
      </c>
      <c r="D91" s="180" t="s">
        <v>517</v>
      </c>
      <c r="E91" s="233">
        <v>30</v>
      </c>
      <c r="F91" s="181">
        <f t="shared" si="2"/>
        <v>23143.78653544921</v>
      </c>
      <c r="G91" s="181">
        <v>0</v>
      </c>
      <c r="H91" s="181">
        <f t="shared" si="9"/>
        <v>1169.1953205785596</v>
      </c>
      <c r="I91" s="181">
        <f t="shared" si="10"/>
        <v>258.82467942144035</v>
      </c>
      <c r="J91" s="181">
        <v>15.36</v>
      </c>
      <c r="K91" s="181">
        <v>59.05</v>
      </c>
      <c r="L91" s="181">
        <v>30</v>
      </c>
      <c r="M91" s="181"/>
      <c r="N91" s="181"/>
      <c r="O91" s="181">
        <f t="shared" si="1"/>
        <v>21974.591214870648</v>
      </c>
      <c r="P91" s="231"/>
    </row>
    <row r="92" spans="1:16" ht="15.75" x14ac:dyDescent="0.25">
      <c r="A92" s="96"/>
      <c r="B92" s="230">
        <f t="shared" si="11"/>
        <v>212</v>
      </c>
      <c r="C92" s="232">
        <v>45992</v>
      </c>
      <c r="D92" s="180" t="s">
        <v>517</v>
      </c>
      <c r="E92" s="233">
        <v>30</v>
      </c>
      <c r="F92" s="181">
        <f t="shared" si="2"/>
        <v>21974.591214870648</v>
      </c>
      <c r="G92" s="181">
        <v>0</v>
      </c>
      <c r="H92" s="181">
        <f t="shared" si="9"/>
        <v>1182.2708215803632</v>
      </c>
      <c r="I92" s="181">
        <f t="shared" si="10"/>
        <v>245.74917841963679</v>
      </c>
      <c r="J92" s="181">
        <v>15.36</v>
      </c>
      <c r="K92" s="181">
        <v>59.05</v>
      </c>
      <c r="L92" s="181">
        <v>30</v>
      </c>
      <c r="M92" s="181"/>
      <c r="N92" s="181"/>
      <c r="O92" s="181">
        <f t="shared" si="1"/>
        <v>20792.320393290283</v>
      </c>
      <c r="P92" s="231"/>
    </row>
    <row r="93" spans="1:16" ht="15.75" x14ac:dyDescent="0.25">
      <c r="A93" s="96"/>
      <c r="B93" s="230">
        <f t="shared" si="11"/>
        <v>213</v>
      </c>
      <c r="C93" s="232">
        <v>46023</v>
      </c>
      <c r="D93" s="180" t="s">
        <v>517</v>
      </c>
      <c r="E93" s="233">
        <v>30</v>
      </c>
      <c r="F93" s="181">
        <f t="shared" si="2"/>
        <v>20792.320393290283</v>
      </c>
      <c r="G93" s="181">
        <v>0</v>
      </c>
      <c r="H93" s="181">
        <f t="shared" si="9"/>
        <v>1195.4925502683705</v>
      </c>
      <c r="I93" s="181">
        <f t="shared" si="10"/>
        <v>232.52744973162967</v>
      </c>
      <c r="J93" s="181">
        <v>15.36</v>
      </c>
      <c r="K93" s="181">
        <v>59.05</v>
      </c>
      <c r="L93" s="181">
        <v>30</v>
      </c>
      <c r="M93" s="181"/>
      <c r="N93" s="181"/>
      <c r="O93" s="181">
        <f t="shared" si="1"/>
        <v>19596.827843021914</v>
      </c>
      <c r="P93" s="231"/>
    </row>
    <row r="94" spans="1:16" ht="15.75" x14ac:dyDescent="0.25">
      <c r="A94" s="96"/>
      <c r="B94" s="230">
        <f t="shared" si="11"/>
        <v>214</v>
      </c>
      <c r="C94" s="232">
        <v>46054</v>
      </c>
      <c r="D94" s="180" t="s">
        <v>517</v>
      </c>
      <c r="E94" s="233">
        <v>30</v>
      </c>
      <c r="F94" s="181">
        <f t="shared" si="2"/>
        <v>19596.827843021914</v>
      </c>
      <c r="G94" s="181">
        <v>0</v>
      </c>
      <c r="H94" s="181">
        <f t="shared" si="9"/>
        <v>1208.8621419555384</v>
      </c>
      <c r="I94" s="181">
        <f t="shared" si="10"/>
        <v>219.15785804446179</v>
      </c>
      <c r="J94" s="181">
        <v>15.36</v>
      </c>
      <c r="K94" s="181">
        <v>59.05</v>
      </c>
      <c r="L94" s="181">
        <v>30</v>
      </c>
      <c r="M94" s="181"/>
      <c r="N94" s="181"/>
      <c r="O94" s="181">
        <f t="shared" si="1"/>
        <v>18387.965701066376</v>
      </c>
      <c r="P94" s="231"/>
    </row>
    <row r="95" spans="1:16" ht="15.75" x14ac:dyDescent="0.25">
      <c r="A95" s="96"/>
      <c r="B95" s="230">
        <f t="shared" si="11"/>
        <v>215</v>
      </c>
      <c r="C95" s="232">
        <v>46082</v>
      </c>
      <c r="D95" s="180" t="s">
        <v>517</v>
      </c>
      <c r="E95" s="233">
        <v>30</v>
      </c>
      <c r="F95" s="181">
        <f t="shared" si="2"/>
        <v>18387.965701066376</v>
      </c>
      <c r="G95" s="181">
        <v>0</v>
      </c>
      <c r="H95" s="181">
        <f t="shared" si="9"/>
        <v>1222.3812502430744</v>
      </c>
      <c r="I95" s="181">
        <f t="shared" si="10"/>
        <v>205.63874975692568</v>
      </c>
      <c r="J95" s="181">
        <v>15.36</v>
      </c>
      <c r="K95" s="181">
        <v>59.05</v>
      </c>
      <c r="L95" s="181">
        <v>30</v>
      </c>
      <c r="M95" s="181"/>
      <c r="N95" s="181"/>
      <c r="O95" s="181">
        <f t="shared" si="1"/>
        <v>17165.584450823302</v>
      </c>
      <c r="P95" s="231"/>
    </row>
    <row r="96" spans="1:16" ht="15.75" x14ac:dyDescent="0.25">
      <c r="A96" s="96"/>
      <c r="B96" s="230">
        <f t="shared" si="11"/>
        <v>216</v>
      </c>
      <c r="C96" s="232">
        <v>46113</v>
      </c>
      <c r="D96" s="180" t="s">
        <v>517</v>
      </c>
      <c r="E96" s="233">
        <v>30</v>
      </c>
      <c r="F96" s="181">
        <f t="shared" si="2"/>
        <v>17165.584450823302</v>
      </c>
      <c r="G96" s="181">
        <v>0</v>
      </c>
      <c r="H96" s="181">
        <f t="shared" si="9"/>
        <v>1236.0515472249594</v>
      </c>
      <c r="I96" s="181">
        <f t="shared" si="10"/>
        <v>191.96845277504062</v>
      </c>
      <c r="J96" s="181">
        <v>15.36</v>
      </c>
      <c r="K96" s="181">
        <v>59.05</v>
      </c>
      <c r="L96" s="181">
        <v>30</v>
      </c>
      <c r="M96" s="181"/>
      <c r="N96" s="181"/>
      <c r="O96" s="181">
        <f t="shared" si="1"/>
        <v>15929.532903598343</v>
      </c>
      <c r="P96" s="231"/>
    </row>
    <row r="97" spans="1:16" ht="15.75" x14ac:dyDescent="0.25">
      <c r="A97" s="96"/>
      <c r="B97" s="230">
        <f t="shared" si="11"/>
        <v>217</v>
      </c>
      <c r="C97" s="232">
        <v>46143</v>
      </c>
      <c r="D97" s="180" t="s">
        <v>517</v>
      </c>
      <c r="E97" s="233">
        <v>30</v>
      </c>
      <c r="F97" s="181">
        <f t="shared" si="2"/>
        <v>15929.532903598343</v>
      </c>
      <c r="G97" s="181">
        <v>0</v>
      </c>
      <c r="H97" s="181">
        <f t="shared" si="9"/>
        <v>1249.8747236947586</v>
      </c>
      <c r="I97" s="181">
        <f t="shared" si="10"/>
        <v>178.14527630524148</v>
      </c>
      <c r="J97" s="181">
        <v>15.36</v>
      </c>
      <c r="K97" s="181">
        <v>59.05</v>
      </c>
      <c r="L97" s="181">
        <v>30</v>
      </c>
      <c r="M97" s="181"/>
      <c r="N97" s="181"/>
      <c r="O97" s="181">
        <f t="shared" si="1"/>
        <v>14679.658179903585</v>
      </c>
      <c r="P97" s="231"/>
    </row>
    <row r="98" spans="1:16" ht="15.75" x14ac:dyDescent="0.25">
      <c r="A98" s="96"/>
      <c r="B98" s="230">
        <f t="shared" si="11"/>
        <v>218</v>
      </c>
      <c r="C98" s="232">
        <v>46174</v>
      </c>
      <c r="D98" s="180" t="s">
        <v>517</v>
      </c>
      <c r="E98" s="233">
        <v>30</v>
      </c>
      <c r="F98" s="181">
        <f t="shared" si="2"/>
        <v>14679.658179903585</v>
      </c>
      <c r="G98" s="181">
        <v>0</v>
      </c>
      <c r="H98" s="181">
        <f t="shared" si="9"/>
        <v>1263.8524893547449</v>
      </c>
      <c r="I98" s="181">
        <f t="shared" si="10"/>
        <v>164.16751064525511</v>
      </c>
      <c r="J98" s="181">
        <v>15.36</v>
      </c>
      <c r="K98" s="181">
        <v>59.05</v>
      </c>
      <c r="L98" s="181">
        <v>30</v>
      </c>
      <c r="M98" s="181"/>
      <c r="N98" s="181"/>
      <c r="O98" s="181">
        <f t="shared" si="1"/>
        <v>13415.805690548839</v>
      </c>
      <c r="P98" s="231"/>
    </row>
    <row r="99" spans="1:16" ht="15.75" x14ac:dyDescent="0.25">
      <c r="A99" s="96"/>
      <c r="B99" s="230">
        <f t="shared" si="11"/>
        <v>219</v>
      </c>
      <c r="C99" s="232">
        <v>46204</v>
      </c>
      <c r="D99" s="180" t="s">
        <v>517</v>
      </c>
      <c r="E99" s="233">
        <v>30</v>
      </c>
      <c r="F99" s="181">
        <f t="shared" si="2"/>
        <v>13415.805690548839</v>
      </c>
      <c r="G99" s="181">
        <v>0</v>
      </c>
      <c r="H99" s="181">
        <f t="shared" si="9"/>
        <v>1277.9865730273623</v>
      </c>
      <c r="I99" s="181">
        <f t="shared" si="10"/>
        <v>150.03342697263787</v>
      </c>
      <c r="J99" s="181">
        <v>15.36</v>
      </c>
      <c r="K99" s="181">
        <v>59.05</v>
      </c>
      <c r="L99" s="181">
        <v>30</v>
      </c>
      <c r="M99" s="181"/>
      <c r="N99" s="181"/>
      <c r="O99" s="181">
        <f t="shared" si="1"/>
        <v>12137.819117521478</v>
      </c>
      <c r="P99" s="231"/>
    </row>
    <row r="100" spans="1:16" ht="15.75" x14ac:dyDescent="0.25">
      <c r="A100" s="96"/>
      <c r="B100" s="230">
        <f t="shared" si="11"/>
        <v>220</v>
      </c>
      <c r="C100" s="232">
        <v>46235</v>
      </c>
      <c r="D100" s="180" t="s">
        <v>517</v>
      </c>
      <c r="E100" s="233">
        <v>30</v>
      </c>
      <c r="F100" s="181">
        <f t="shared" si="2"/>
        <v>12137.819117521478</v>
      </c>
      <c r="G100" s="181">
        <v>0</v>
      </c>
      <c r="H100" s="181">
        <f t="shared" si="9"/>
        <v>1292.2787228690515</v>
      </c>
      <c r="I100" s="181">
        <f t="shared" si="10"/>
        <v>135.74127713094853</v>
      </c>
      <c r="J100" s="181">
        <v>15.36</v>
      </c>
      <c r="K100" s="181">
        <v>59.05</v>
      </c>
      <c r="L100" s="181">
        <v>30</v>
      </c>
      <c r="M100" s="181"/>
      <c r="N100" s="181"/>
      <c r="O100" s="181">
        <f t="shared" si="1"/>
        <v>10845.540394652426</v>
      </c>
      <c r="P100" s="231"/>
    </row>
    <row r="101" spans="1:16" ht="15.75" x14ac:dyDescent="0.25">
      <c r="A101" s="96"/>
      <c r="B101" s="230">
        <f t="shared" si="11"/>
        <v>221</v>
      </c>
      <c r="C101" s="232">
        <v>46266</v>
      </c>
      <c r="D101" s="180" t="s">
        <v>517</v>
      </c>
      <c r="E101" s="233">
        <v>30</v>
      </c>
      <c r="F101" s="181">
        <f t="shared" si="2"/>
        <v>10845.540394652426</v>
      </c>
      <c r="G101" s="181">
        <v>0</v>
      </c>
      <c r="H101" s="181">
        <f t="shared" si="9"/>
        <v>1306.7307065864704</v>
      </c>
      <c r="I101" s="181">
        <f t="shared" si="10"/>
        <v>121.28929341352965</v>
      </c>
      <c r="J101" s="181">
        <v>15.36</v>
      </c>
      <c r="K101" s="181">
        <v>59.05</v>
      </c>
      <c r="L101" s="181">
        <v>30</v>
      </c>
      <c r="M101" s="181"/>
      <c r="N101" s="181"/>
      <c r="O101" s="181">
        <f t="shared" si="1"/>
        <v>9538.8096880659559</v>
      </c>
      <c r="P101" s="231"/>
    </row>
    <row r="102" spans="1:16" ht="15.75" x14ac:dyDescent="0.25">
      <c r="A102" s="96"/>
      <c r="B102" s="230">
        <f t="shared" si="11"/>
        <v>222</v>
      </c>
      <c r="C102" s="232">
        <v>46296</v>
      </c>
      <c r="D102" s="180" t="s">
        <v>517</v>
      </c>
      <c r="E102" s="233">
        <v>30</v>
      </c>
      <c r="F102" s="181">
        <f t="shared" si="2"/>
        <v>9538.8096880659559</v>
      </c>
      <c r="G102" s="181">
        <v>0</v>
      </c>
      <c r="H102" s="181">
        <f t="shared" si="9"/>
        <v>1321.3443116551291</v>
      </c>
      <c r="I102" s="181">
        <f t="shared" si="10"/>
        <v>106.67568834487095</v>
      </c>
      <c r="J102" s="181">
        <v>15.36</v>
      </c>
      <c r="K102" s="181">
        <v>59.05</v>
      </c>
      <c r="L102" s="181">
        <v>30</v>
      </c>
      <c r="M102" s="181"/>
      <c r="N102" s="181"/>
      <c r="O102" s="181">
        <f t="shared" si="1"/>
        <v>8217.4653764108261</v>
      </c>
      <c r="P102" s="231"/>
    </row>
    <row r="103" spans="1:16" ht="15.75" x14ac:dyDescent="0.25">
      <c r="A103" s="96"/>
      <c r="B103" s="230">
        <f t="shared" si="11"/>
        <v>223</v>
      </c>
      <c r="C103" s="232">
        <v>46327</v>
      </c>
      <c r="D103" s="180" t="s">
        <v>517</v>
      </c>
      <c r="E103" s="233">
        <v>30</v>
      </c>
      <c r="F103" s="181">
        <f t="shared" si="2"/>
        <v>8217.4653764108261</v>
      </c>
      <c r="G103" s="181">
        <v>0</v>
      </c>
      <c r="H103" s="181">
        <f t="shared" si="9"/>
        <v>1336.1213455404722</v>
      </c>
      <c r="I103" s="181">
        <f t="shared" si="10"/>
        <v>91.898654459527748</v>
      </c>
      <c r="J103" s="181">
        <v>15.36</v>
      </c>
      <c r="K103" s="181">
        <v>59.05</v>
      </c>
      <c r="L103" s="181">
        <v>30</v>
      </c>
      <c r="M103" s="181"/>
      <c r="N103" s="181"/>
      <c r="O103" s="181">
        <f t="shared" si="1"/>
        <v>6881.3440308703539</v>
      </c>
      <c r="P103" s="231"/>
    </row>
    <row r="104" spans="1:16" ht="15.75" x14ac:dyDescent="0.25">
      <c r="A104" s="96"/>
      <c r="B104" s="230">
        <f t="shared" si="11"/>
        <v>224</v>
      </c>
      <c r="C104" s="232">
        <v>46357</v>
      </c>
      <c r="D104" s="180" t="s">
        <v>517</v>
      </c>
      <c r="E104" s="233">
        <v>30</v>
      </c>
      <c r="F104" s="181">
        <f t="shared" si="2"/>
        <v>6881.3440308703539</v>
      </c>
      <c r="G104" s="181">
        <v>0</v>
      </c>
      <c r="H104" s="181">
        <f t="shared" si="9"/>
        <v>1351.0636359214332</v>
      </c>
      <c r="I104" s="181">
        <f t="shared" si="10"/>
        <v>76.956364078566807</v>
      </c>
      <c r="J104" s="181">
        <v>15.36</v>
      </c>
      <c r="K104" s="181">
        <v>59.05</v>
      </c>
      <c r="L104" s="181">
        <v>30</v>
      </c>
      <c r="M104" s="181"/>
      <c r="N104" s="181"/>
      <c r="O104" s="181">
        <f t="shared" si="1"/>
        <v>5530.2803949489207</v>
      </c>
      <c r="P104" s="231"/>
    </row>
    <row r="105" spans="1:16" ht="15.75" x14ac:dyDescent="0.25">
      <c r="A105" s="96"/>
      <c r="B105" s="230">
        <f t="shared" si="11"/>
        <v>225</v>
      </c>
      <c r="C105" s="232">
        <v>46388</v>
      </c>
      <c r="D105" s="180" t="s">
        <v>517</v>
      </c>
      <c r="E105" s="233">
        <v>30</v>
      </c>
      <c r="F105" s="181">
        <f t="shared" si="2"/>
        <v>5530.2803949489207</v>
      </c>
      <c r="G105" s="181">
        <v>0</v>
      </c>
      <c r="H105" s="181">
        <f t="shared" si="9"/>
        <v>1366.173030916488</v>
      </c>
      <c r="I105" s="181">
        <f t="shared" si="10"/>
        <v>61.846969083512107</v>
      </c>
      <c r="J105" s="181">
        <v>15.36</v>
      </c>
      <c r="K105" s="181">
        <v>59.05</v>
      </c>
      <c r="L105" s="181">
        <v>30</v>
      </c>
      <c r="M105" s="181"/>
      <c r="N105" s="181"/>
      <c r="O105" s="181">
        <f t="shared" si="1"/>
        <v>4164.107364032433</v>
      </c>
      <c r="P105" s="231"/>
    </row>
    <row r="106" spans="1:16" ht="15.75" x14ac:dyDescent="0.25">
      <c r="A106" s="96"/>
      <c r="B106" s="230">
        <f t="shared" si="11"/>
        <v>226</v>
      </c>
      <c r="C106" s="232">
        <v>46419</v>
      </c>
      <c r="D106" s="180" t="s">
        <v>517</v>
      </c>
      <c r="E106" s="233">
        <v>30</v>
      </c>
      <c r="F106" s="181">
        <f t="shared" si="2"/>
        <v>4164.107364032433</v>
      </c>
      <c r="G106" s="181">
        <v>0</v>
      </c>
      <c r="H106" s="181">
        <f t="shared" si="9"/>
        <v>1381.4513993122373</v>
      </c>
      <c r="I106" s="181">
        <f t="shared" si="10"/>
        <v>46.568600687762711</v>
      </c>
      <c r="J106" s="181">
        <v>15.36</v>
      </c>
      <c r="K106" s="181">
        <v>59.05</v>
      </c>
      <c r="L106" s="181">
        <v>30</v>
      </c>
      <c r="M106" s="181"/>
      <c r="N106" s="181"/>
      <c r="O106" s="181">
        <f t="shared" si="1"/>
        <v>2782.6559647201957</v>
      </c>
      <c r="P106" s="231"/>
    </row>
    <row r="107" spans="1:16" ht="15.75" x14ac:dyDescent="0.25">
      <c r="A107" s="96"/>
      <c r="B107" s="230">
        <f t="shared" si="11"/>
        <v>227</v>
      </c>
      <c r="C107" s="232">
        <v>46447</v>
      </c>
      <c r="D107" s="180" t="s">
        <v>517</v>
      </c>
      <c r="E107" s="233">
        <v>30</v>
      </c>
      <c r="F107" s="181">
        <f t="shared" si="2"/>
        <v>2782.6559647201957</v>
      </c>
      <c r="G107" s="181">
        <v>0</v>
      </c>
      <c r="H107" s="181">
        <f t="shared" si="9"/>
        <v>1396.9006307945458</v>
      </c>
      <c r="I107" s="181">
        <f t="shared" si="10"/>
        <v>31.119369205454191</v>
      </c>
      <c r="J107" s="181">
        <v>15.36</v>
      </c>
      <c r="K107" s="181">
        <v>59.05</v>
      </c>
      <c r="L107" s="181">
        <v>30</v>
      </c>
      <c r="M107" s="181"/>
      <c r="N107" s="181"/>
      <c r="O107" s="181">
        <f t="shared" si="1"/>
        <v>1385.7553339256499</v>
      </c>
      <c r="P107" s="231"/>
    </row>
    <row r="108" spans="1:16" ht="15.75" x14ac:dyDescent="0.25">
      <c r="A108" s="96"/>
      <c r="B108" s="230">
        <f t="shared" si="11"/>
        <v>228</v>
      </c>
      <c r="C108" s="232">
        <v>46478</v>
      </c>
      <c r="D108" s="180" t="s">
        <v>517</v>
      </c>
      <c r="E108" s="233">
        <v>30</v>
      </c>
      <c r="F108" s="181">
        <f t="shared" si="2"/>
        <v>1385.7553339256499</v>
      </c>
      <c r="G108" s="181">
        <v>0</v>
      </c>
      <c r="H108" s="181">
        <f t="shared" si="9"/>
        <v>1412.5226361822649</v>
      </c>
      <c r="I108" s="181">
        <f t="shared" si="10"/>
        <v>15.497363817735186</v>
      </c>
      <c r="J108" s="181">
        <v>15.36</v>
      </c>
      <c r="K108" s="181">
        <v>59.05</v>
      </c>
      <c r="L108" s="181">
        <v>30</v>
      </c>
      <c r="M108" s="181"/>
      <c r="N108" s="181"/>
      <c r="O108" s="181">
        <f t="shared" si="1"/>
        <v>-26.767302256615039</v>
      </c>
      <c r="P108" s="231"/>
    </row>
    <row r="109" spans="1:16" ht="15.75" x14ac:dyDescent="0.25">
      <c r="A109" s="96"/>
      <c r="B109" s="234">
        <f t="shared" si="11"/>
        <v>229</v>
      </c>
      <c r="C109" s="235">
        <v>46508</v>
      </c>
      <c r="D109" s="236" t="s">
        <v>517</v>
      </c>
      <c r="E109" s="237">
        <v>30</v>
      </c>
      <c r="F109" s="238">
        <f t="shared" si="2"/>
        <v>-26.767302256615039</v>
      </c>
      <c r="G109" s="238">
        <v>0</v>
      </c>
      <c r="H109" s="238">
        <f t="shared" si="9"/>
        <v>1428.3193476635699</v>
      </c>
      <c r="I109" s="238">
        <f t="shared" si="10"/>
        <v>-0.29934766356981152</v>
      </c>
      <c r="J109" s="238">
        <v>15.36</v>
      </c>
      <c r="K109" s="238">
        <v>59.05</v>
      </c>
      <c r="L109" s="238">
        <v>30</v>
      </c>
      <c r="M109" s="238"/>
      <c r="N109" s="238"/>
      <c r="O109" s="238">
        <f t="shared" si="1"/>
        <v>-1455.086649920185</v>
      </c>
      <c r="P109" s="239"/>
    </row>
    <row r="110" spans="1:16" ht="15.75" x14ac:dyDescent="0.25">
      <c r="A110" s="96"/>
      <c r="B110" s="234">
        <f t="shared" si="11"/>
        <v>230</v>
      </c>
      <c r="C110" s="235">
        <v>46539</v>
      </c>
      <c r="D110" s="236" t="s">
        <v>517</v>
      </c>
      <c r="E110" s="237">
        <v>30</v>
      </c>
      <c r="F110" s="238">
        <f t="shared" si="2"/>
        <v>-1455.086649920185</v>
      </c>
      <c r="G110" s="238">
        <v>0</v>
      </c>
      <c r="H110" s="238">
        <f t="shared" si="9"/>
        <v>1444.2927190349408</v>
      </c>
      <c r="I110" s="238">
        <f t="shared" si="10"/>
        <v>-16.272719034940739</v>
      </c>
      <c r="J110" s="238">
        <v>15.36</v>
      </c>
      <c r="K110" s="238">
        <v>59.05</v>
      </c>
      <c r="L110" s="238">
        <v>30</v>
      </c>
      <c r="M110" s="238"/>
      <c r="N110" s="238"/>
      <c r="O110" s="238">
        <f t="shared" si="1"/>
        <v>-2899.3793689551258</v>
      </c>
      <c r="P110" s="239"/>
    </row>
    <row r="111" spans="1:16" ht="15.75" x14ac:dyDescent="0.25">
      <c r="A111" s="96"/>
      <c r="B111" s="240">
        <f t="shared" si="11"/>
        <v>231</v>
      </c>
      <c r="C111" s="241">
        <v>46569</v>
      </c>
      <c r="D111" s="242" t="s">
        <v>517</v>
      </c>
      <c r="E111" s="243">
        <v>30</v>
      </c>
      <c r="F111" s="244">
        <f t="shared" si="2"/>
        <v>-2899.3793689551258</v>
      </c>
      <c r="G111" s="244">
        <v>0</v>
      </c>
      <c r="H111" s="244">
        <f t="shared" si="9"/>
        <v>1460.4447259428148</v>
      </c>
      <c r="I111" s="244">
        <f t="shared" si="10"/>
        <v>-32.424725942814824</v>
      </c>
      <c r="J111" s="244">
        <v>15.36</v>
      </c>
      <c r="K111" s="244">
        <v>59.05</v>
      </c>
      <c r="L111" s="244">
        <v>30</v>
      </c>
      <c r="M111" s="244"/>
      <c r="N111" s="244"/>
      <c r="O111" s="244">
        <f t="shared" si="1"/>
        <v>-4359.8240948979401</v>
      </c>
      <c r="P111" s="239"/>
    </row>
    <row r="112" spans="1:16" ht="15.75" x14ac:dyDescent="0.25">
      <c r="A112" s="96"/>
      <c r="B112" s="240">
        <f t="shared" si="11"/>
        <v>232</v>
      </c>
      <c r="C112" s="241">
        <v>46600</v>
      </c>
      <c r="D112" s="242" t="s">
        <v>517</v>
      </c>
      <c r="E112" s="243">
        <v>30</v>
      </c>
      <c r="F112" s="244">
        <f t="shared" si="2"/>
        <v>-4359.8240948979401</v>
      </c>
      <c r="G112" s="244">
        <v>0</v>
      </c>
      <c r="H112" s="244">
        <f t="shared" si="9"/>
        <v>1476.7773661279421</v>
      </c>
      <c r="I112" s="244">
        <f t="shared" si="10"/>
        <v>-48.757366127941964</v>
      </c>
      <c r="J112" s="244">
        <v>15.36</v>
      </c>
      <c r="K112" s="244">
        <v>59.05</v>
      </c>
      <c r="L112" s="244">
        <v>30</v>
      </c>
      <c r="M112" s="244"/>
      <c r="N112" s="244"/>
      <c r="O112" s="244">
        <f t="shared" si="1"/>
        <v>-5836.6014610258826</v>
      </c>
      <c r="P112" s="239"/>
    </row>
    <row r="113" spans="1:16" ht="15.75" x14ac:dyDescent="0.25">
      <c r="A113" s="96"/>
      <c r="B113" s="240">
        <f t="shared" si="11"/>
        <v>233</v>
      </c>
      <c r="C113" s="241">
        <v>46631</v>
      </c>
      <c r="D113" s="242" t="s">
        <v>517</v>
      </c>
      <c r="E113" s="243">
        <v>30</v>
      </c>
      <c r="F113" s="244">
        <f t="shared" si="2"/>
        <v>-5836.6014610258826</v>
      </c>
      <c r="G113" s="244">
        <v>0</v>
      </c>
      <c r="H113" s="244">
        <f t="shared" si="9"/>
        <v>1493.2926596724728</v>
      </c>
      <c r="I113" s="244">
        <f t="shared" si="10"/>
        <v>-65.272659672472798</v>
      </c>
      <c r="J113" s="244">
        <v>15.36</v>
      </c>
      <c r="K113" s="244">
        <v>59.05</v>
      </c>
      <c r="L113" s="244">
        <v>30</v>
      </c>
      <c r="M113" s="244"/>
      <c r="N113" s="244"/>
      <c r="O113" s="244">
        <f t="shared" si="1"/>
        <v>-7329.8941206983554</v>
      </c>
      <c r="P113" s="239"/>
    </row>
    <row r="114" spans="1:16" ht="15.75" x14ac:dyDescent="0.25">
      <c r="A114" s="96"/>
      <c r="B114" s="240">
        <f t="shared" si="11"/>
        <v>234</v>
      </c>
      <c r="C114" s="241">
        <v>46661</v>
      </c>
      <c r="D114" s="242" t="s">
        <v>517</v>
      </c>
      <c r="E114" s="243">
        <v>30</v>
      </c>
      <c r="F114" s="244">
        <f t="shared" si="2"/>
        <v>-7329.8941206983554</v>
      </c>
      <c r="G114" s="244">
        <v>0</v>
      </c>
      <c r="H114" s="244">
        <f t="shared" si="9"/>
        <v>1509.99264924981</v>
      </c>
      <c r="I114" s="244">
        <f t="shared" si="10"/>
        <v>-81.972649249809947</v>
      </c>
      <c r="J114" s="244">
        <v>15.36</v>
      </c>
      <c r="K114" s="244">
        <v>59.05</v>
      </c>
      <c r="L114" s="244">
        <v>30</v>
      </c>
      <c r="M114" s="244"/>
      <c r="N114" s="244"/>
      <c r="O114" s="244">
        <f t="shared" si="1"/>
        <v>-8839.8867699481652</v>
      </c>
      <c r="P114" s="239"/>
    </row>
    <row r="115" spans="1:16" ht="15.75" x14ac:dyDescent="0.25">
      <c r="A115" s="96"/>
      <c r="B115" s="240">
        <f t="shared" si="11"/>
        <v>235</v>
      </c>
      <c r="C115" s="241">
        <v>46692</v>
      </c>
      <c r="D115" s="242" t="s">
        <v>517</v>
      </c>
      <c r="E115" s="243">
        <v>30</v>
      </c>
      <c r="F115" s="244">
        <f t="shared" si="2"/>
        <v>-8839.8867699481652</v>
      </c>
      <c r="G115" s="244">
        <v>0</v>
      </c>
      <c r="H115" s="244">
        <f t="shared" si="9"/>
        <v>1526.8794003772537</v>
      </c>
      <c r="I115" s="244">
        <f t="shared" si="10"/>
        <v>-98.859400377253664</v>
      </c>
      <c r="J115" s="244">
        <v>15.36</v>
      </c>
      <c r="K115" s="244">
        <v>59.05</v>
      </c>
      <c r="L115" s="244">
        <v>30</v>
      </c>
      <c r="M115" s="244"/>
      <c r="N115" s="244"/>
      <c r="O115" s="244">
        <f t="shared" si="1"/>
        <v>-10366.76617032542</v>
      </c>
      <c r="P115" s="239"/>
    </row>
    <row r="116" spans="1:16" ht="15.75" x14ac:dyDescent="0.25">
      <c r="A116" s="96"/>
      <c r="B116" s="240">
        <f t="shared" si="11"/>
        <v>236</v>
      </c>
      <c r="C116" s="241">
        <v>46722</v>
      </c>
      <c r="D116" s="242" t="s">
        <v>517</v>
      </c>
      <c r="E116" s="243">
        <v>30</v>
      </c>
      <c r="F116" s="244">
        <f t="shared" si="2"/>
        <v>-10366.76617032542</v>
      </c>
      <c r="G116" s="244">
        <v>0</v>
      </c>
      <c r="H116" s="244">
        <f t="shared" si="9"/>
        <v>1543.9550016714727</v>
      </c>
      <c r="I116" s="244">
        <f t="shared" si="10"/>
        <v>-115.93500167147262</v>
      </c>
      <c r="J116" s="244">
        <v>15.36</v>
      </c>
      <c r="K116" s="244">
        <v>59.05</v>
      </c>
      <c r="L116" s="244">
        <v>30</v>
      </c>
      <c r="M116" s="244"/>
      <c r="N116" s="244"/>
      <c r="O116" s="244">
        <f t="shared" si="1"/>
        <v>-11910.721171996893</v>
      </c>
      <c r="P116" s="239"/>
    </row>
    <row r="117" spans="1:16" ht="15.75" x14ac:dyDescent="0.25">
      <c r="A117" s="96"/>
      <c r="B117" s="240">
        <f t="shared" si="11"/>
        <v>237</v>
      </c>
      <c r="C117" s="241">
        <v>46753</v>
      </c>
      <c r="D117" s="242" t="s">
        <v>517</v>
      </c>
      <c r="E117" s="243">
        <v>30</v>
      </c>
      <c r="F117" s="244">
        <f t="shared" si="2"/>
        <v>-11910.721171996893</v>
      </c>
      <c r="G117" s="244">
        <v>0</v>
      </c>
      <c r="H117" s="244">
        <f t="shared" si="9"/>
        <v>1561.221565106832</v>
      </c>
      <c r="I117" s="244">
        <f t="shared" si="10"/>
        <v>-133.20156510683194</v>
      </c>
      <c r="J117" s="244">
        <v>15.36</v>
      </c>
      <c r="K117" s="244">
        <v>59.05</v>
      </c>
      <c r="L117" s="244">
        <v>30</v>
      </c>
      <c r="M117" s="244"/>
      <c r="N117" s="244"/>
      <c r="O117" s="244">
        <f t="shared" si="1"/>
        <v>-13471.942737103725</v>
      </c>
      <c r="P117" s="239"/>
    </row>
    <row r="118" spans="1:16" ht="15.75" x14ac:dyDescent="0.25">
      <c r="A118" s="96"/>
      <c r="B118" s="240">
        <f t="shared" si="11"/>
        <v>238</v>
      </c>
      <c r="C118" s="241">
        <v>46784</v>
      </c>
      <c r="D118" s="242" t="s">
        <v>517</v>
      </c>
      <c r="E118" s="243">
        <v>30</v>
      </c>
      <c r="F118" s="244">
        <f t="shared" si="2"/>
        <v>-13471.942737103725</v>
      </c>
      <c r="G118" s="244">
        <v>0</v>
      </c>
      <c r="H118" s="244">
        <f t="shared" si="9"/>
        <v>1578.68122627661</v>
      </c>
      <c r="I118" s="244">
        <f t="shared" si="10"/>
        <v>-150.66122627660999</v>
      </c>
      <c r="J118" s="244">
        <v>15.36</v>
      </c>
      <c r="K118" s="244">
        <v>59.05</v>
      </c>
      <c r="L118" s="244">
        <v>30</v>
      </c>
      <c r="M118" s="244"/>
      <c r="N118" s="244"/>
      <c r="O118" s="244">
        <f t="shared" si="1"/>
        <v>-15050.623963380336</v>
      </c>
      <c r="P118" s="239"/>
    </row>
    <row r="119" spans="1:16" ht="15.75" x14ac:dyDescent="0.25">
      <c r="A119" s="96"/>
      <c r="B119" s="240">
        <f t="shared" si="11"/>
        <v>239</v>
      </c>
      <c r="C119" s="241">
        <v>46813</v>
      </c>
      <c r="D119" s="242" t="s">
        <v>517</v>
      </c>
      <c r="E119" s="243">
        <v>30</v>
      </c>
      <c r="F119" s="244">
        <f t="shared" si="2"/>
        <v>-15050.623963380336</v>
      </c>
      <c r="G119" s="244">
        <v>0</v>
      </c>
      <c r="H119" s="244">
        <f t="shared" si="9"/>
        <v>1596.3361446571369</v>
      </c>
      <c r="I119" s="244">
        <f t="shared" si="10"/>
        <v>-168.31614465713679</v>
      </c>
      <c r="J119" s="244">
        <v>15.36</v>
      </c>
      <c r="K119" s="244">
        <v>59.05</v>
      </c>
      <c r="L119" s="244">
        <v>30</v>
      </c>
      <c r="M119" s="244"/>
      <c r="N119" s="244"/>
      <c r="O119" s="244">
        <f t="shared" si="1"/>
        <v>-16646.960108037474</v>
      </c>
      <c r="P119" s="239"/>
    </row>
    <row r="120" spans="1:16" ht="15.75" x14ac:dyDescent="0.25">
      <c r="A120" s="96"/>
      <c r="B120" s="240">
        <f t="shared" si="11"/>
        <v>240</v>
      </c>
      <c r="C120" s="241">
        <v>46844</v>
      </c>
      <c r="D120" s="242" t="s">
        <v>517</v>
      </c>
      <c r="E120" s="243">
        <v>30</v>
      </c>
      <c r="F120" s="244">
        <f t="shared" si="2"/>
        <v>-16646.960108037474</v>
      </c>
      <c r="G120" s="244">
        <v>0</v>
      </c>
      <c r="H120" s="244">
        <v>767.53</v>
      </c>
      <c r="I120" s="244">
        <f t="shared" si="10"/>
        <v>-186.16850387488577</v>
      </c>
      <c r="J120" s="244">
        <v>15.36</v>
      </c>
      <c r="K120" s="244">
        <v>59.05</v>
      </c>
      <c r="L120" s="244">
        <v>30</v>
      </c>
      <c r="M120" s="244"/>
      <c r="N120" s="244"/>
      <c r="O120" s="244">
        <f t="shared" si="1"/>
        <v>-17414.490108037473</v>
      </c>
      <c r="P120" s="239"/>
    </row>
    <row r="121" spans="1:16" ht="15.75" x14ac:dyDescent="0.25">
      <c r="A121" s="96"/>
      <c r="B121" s="96" t="s">
        <v>519</v>
      </c>
      <c r="C121" s="96" t="s">
        <v>519</v>
      </c>
      <c r="D121" s="96" t="s">
        <v>519</v>
      </c>
      <c r="E121" s="96" t="s">
        <v>519</v>
      </c>
      <c r="F121" s="96" t="s">
        <v>519</v>
      </c>
      <c r="G121" s="96" t="s">
        <v>519</v>
      </c>
      <c r="H121" s="96" t="s">
        <v>519</v>
      </c>
      <c r="I121" s="96" t="s">
        <v>519</v>
      </c>
      <c r="J121" s="96" t="s">
        <v>519</v>
      </c>
      <c r="K121" s="96" t="s">
        <v>519</v>
      </c>
      <c r="L121" s="96" t="s">
        <v>519</v>
      </c>
      <c r="M121" s="96" t="s">
        <v>519</v>
      </c>
      <c r="N121" s="96" t="s">
        <v>519</v>
      </c>
      <c r="O121" s="96" t="s">
        <v>519</v>
      </c>
      <c r="P121" s="96" t="s">
        <v>519</v>
      </c>
    </row>
    <row r="122" spans="1:16" ht="15.75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</row>
    <row r="123" spans="1:16" ht="15.75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6" ht="15.75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</row>
    <row r="125" spans="1:16" ht="15.75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</row>
    <row r="126" spans="1:16" ht="15.75" x14ac:dyDescent="0.25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96"/>
    </row>
    <row r="127" spans="1:16" ht="15.75" x14ac:dyDescent="0.25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</row>
    <row r="128" spans="1:16" ht="15.75" x14ac:dyDescent="0.25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</row>
    <row r="129" spans="1:16" ht="15.75" x14ac:dyDescent="0.25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</row>
    <row r="130" spans="1:16" ht="15.75" x14ac:dyDescent="0.25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</row>
    <row r="131" spans="1:16" ht="15.75" x14ac:dyDescent="0.25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</row>
    <row r="132" spans="1:16" ht="15.75" x14ac:dyDescent="0.25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</row>
    <row r="133" spans="1:16" ht="15.75" x14ac:dyDescent="0.25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</row>
    <row r="134" spans="1:16" ht="15.75" x14ac:dyDescent="0.25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</row>
    <row r="135" spans="1:16" ht="15.75" x14ac:dyDescent="0.2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</row>
    <row r="136" spans="1:16" ht="15.75" x14ac:dyDescent="0.25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</row>
    <row r="137" spans="1:16" ht="15.75" x14ac:dyDescent="0.25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</row>
    <row r="138" spans="1:16" ht="15.75" x14ac:dyDescent="0.25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</row>
    <row r="139" spans="1:16" ht="15.75" x14ac:dyDescent="0.25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</row>
    <row r="140" spans="1:16" ht="15.75" x14ac:dyDescent="0.25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</row>
    <row r="141" spans="1:16" ht="15.75" x14ac:dyDescent="0.25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</row>
    <row r="142" spans="1:16" ht="15.75" x14ac:dyDescent="0.25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ED9C-F34C-442E-A8B6-00CCCA36A88F}">
  <sheetPr>
    <tabColor theme="1"/>
  </sheetPr>
  <dimension ref="A1:F30"/>
  <sheetViews>
    <sheetView showGridLines="0" workbookViewId="0">
      <pane ySplit="6" topLeftCell="A7" activePane="bottomLeft" state="frozen"/>
      <selection pane="bottomLeft" activeCell="T9" sqref="T9"/>
    </sheetView>
  </sheetViews>
  <sheetFormatPr baseColWidth="10" defaultRowHeight="15" x14ac:dyDescent="0.2"/>
  <cols>
    <col min="1" max="1" width="2.33203125" customWidth="1"/>
    <col min="2" max="2" width="10.5546875" bestFit="1" customWidth="1"/>
    <col min="3" max="3" width="12" bestFit="1" customWidth="1"/>
    <col min="4" max="4" width="38.6640625" bestFit="1" customWidth="1"/>
    <col min="5" max="5" width="18.21875" bestFit="1" customWidth="1"/>
    <col min="6" max="6" width="25.21875" bestFit="1" customWidth="1"/>
  </cols>
  <sheetData>
    <row r="1" spans="1:6" ht="15.75" x14ac:dyDescent="0.25">
      <c r="A1" s="96"/>
      <c r="B1" s="97"/>
      <c r="C1" s="98"/>
      <c r="D1" s="96"/>
      <c r="E1" s="99"/>
      <c r="F1" s="96"/>
    </row>
    <row r="2" spans="1:6" ht="23.25" x14ac:dyDescent="0.35">
      <c r="A2" s="96"/>
      <c r="B2" s="333" t="s">
        <v>260</v>
      </c>
      <c r="C2" s="333"/>
      <c r="D2" s="333"/>
      <c r="E2" s="333"/>
      <c r="F2" s="333"/>
    </row>
    <row r="3" spans="1:6" ht="20.25" x14ac:dyDescent="0.3">
      <c r="A3" s="96"/>
      <c r="B3" s="334" t="s">
        <v>261</v>
      </c>
      <c r="C3" s="334"/>
      <c r="D3" s="334"/>
      <c r="E3" s="334"/>
      <c r="F3" s="334"/>
    </row>
    <row r="4" spans="1:6" ht="18.75" x14ac:dyDescent="0.3">
      <c r="A4" s="96"/>
      <c r="B4" s="335">
        <v>45357</v>
      </c>
      <c r="C4" s="335"/>
      <c r="D4" s="335"/>
      <c r="E4" s="335"/>
      <c r="F4" s="335"/>
    </row>
    <row r="5" spans="1:6" ht="15.75" x14ac:dyDescent="0.25">
      <c r="A5" s="96"/>
      <c r="B5" s="97"/>
      <c r="C5" s="98"/>
      <c r="D5" s="96"/>
      <c r="E5" s="100"/>
      <c r="F5" s="96"/>
    </row>
    <row r="6" spans="1:6" ht="15.75" x14ac:dyDescent="0.25">
      <c r="A6" s="96"/>
      <c r="B6" s="101" t="s">
        <v>262</v>
      </c>
      <c r="C6" s="101" t="s">
        <v>263</v>
      </c>
      <c r="D6" s="101" t="s">
        <v>9</v>
      </c>
      <c r="E6" s="101" t="s">
        <v>264</v>
      </c>
      <c r="F6" s="101" t="s">
        <v>237</v>
      </c>
    </row>
    <row r="7" spans="1:6" ht="15.75" x14ac:dyDescent="0.25">
      <c r="A7" s="96"/>
      <c r="B7" s="102"/>
      <c r="C7" s="103" t="s">
        <v>265</v>
      </c>
      <c r="D7" s="104" t="s">
        <v>266</v>
      </c>
      <c r="E7" s="105"/>
      <c r="F7" s="104"/>
    </row>
    <row r="8" spans="1:6" ht="15.75" x14ac:dyDescent="0.25">
      <c r="A8" s="96"/>
      <c r="B8" s="102"/>
      <c r="C8" s="103" t="s">
        <v>267</v>
      </c>
      <c r="D8" s="104" t="s">
        <v>268</v>
      </c>
      <c r="E8" s="105"/>
      <c r="F8" s="104"/>
    </row>
    <row r="9" spans="1:6" ht="15.75" x14ac:dyDescent="0.25">
      <c r="A9" s="96"/>
      <c r="B9" s="102"/>
      <c r="C9" s="103" t="s">
        <v>269</v>
      </c>
      <c r="D9" s="104" t="s">
        <v>270</v>
      </c>
      <c r="E9" s="105" t="s">
        <v>271</v>
      </c>
      <c r="F9" s="104"/>
    </row>
    <row r="10" spans="1:6" ht="15.75" x14ac:dyDescent="0.25">
      <c r="A10" s="96"/>
      <c r="B10" s="102"/>
      <c r="C10" s="103" t="s">
        <v>272</v>
      </c>
      <c r="D10" s="104" t="s">
        <v>273</v>
      </c>
      <c r="E10" s="105"/>
      <c r="F10" s="104"/>
    </row>
    <row r="11" spans="1:6" ht="15.75" x14ac:dyDescent="0.25">
      <c r="A11" s="96"/>
      <c r="B11" s="102"/>
      <c r="C11" s="103" t="s">
        <v>274</v>
      </c>
      <c r="D11" s="104" t="s">
        <v>275</v>
      </c>
      <c r="E11" s="105" t="s">
        <v>276</v>
      </c>
      <c r="F11" s="104"/>
    </row>
    <row r="12" spans="1:6" ht="15.75" x14ac:dyDescent="0.25">
      <c r="A12" s="96"/>
      <c r="B12" s="102"/>
      <c r="C12" s="103" t="s">
        <v>277</v>
      </c>
      <c r="D12" s="104" t="s">
        <v>278</v>
      </c>
      <c r="E12" s="105" t="s">
        <v>279</v>
      </c>
      <c r="F12" s="104"/>
    </row>
    <row r="13" spans="1:6" ht="15.75" x14ac:dyDescent="0.25">
      <c r="A13" s="96"/>
      <c r="B13" s="102"/>
      <c r="C13" s="103" t="s">
        <v>280</v>
      </c>
      <c r="D13" s="104" t="s">
        <v>281</v>
      </c>
      <c r="E13" s="105" t="s">
        <v>282</v>
      </c>
      <c r="F13" s="105"/>
    </row>
    <row r="14" spans="1:6" ht="15.75" x14ac:dyDescent="0.25">
      <c r="A14" s="96"/>
      <c r="B14" s="102"/>
      <c r="C14" s="103" t="s">
        <v>283</v>
      </c>
      <c r="D14" s="104" t="s">
        <v>284</v>
      </c>
      <c r="E14" s="105" t="s">
        <v>285</v>
      </c>
      <c r="F14" s="105" t="s">
        <v>314</v>
      </c>
    </row>
    <row r="15" spans="1:6" ht="15.75" x14ac:dyDescent="0.25">
      <c r="A15" s="96"/>
      <c r="B15" s="102"/>
      <c r="C15" s="103" t="s">
        <v>286</v>
      </c>
      <c r="D15" s="104" t="s">
        <v>287</v>
      </c>
      <c r="E15" s="105" t="s">
        <v>288</v>
      </c>
      <c r="F15" s="104" t="s">
        <v>289</v>
      </c>
    </row>
    <row r="16" spans="1:6" ht="15.75" x14ac:dyDescent="0.25">
      <c r="A16" s="96"/>
      <c r="B16" s="102"/>
      <c r="C16" s="103"/>
      <c r="D16" s="104"/>
      <c r="E16" s="105"/>
      <c r="F16" s="104"/>
    </row>
    <row r="17" spans="1:6" ht="15.75" x14ac:dyDescent="0.25">
      <c r="A17" s="96"/>
      <c r="B17" s="102"/>
      <c r="C17" s="103" t="s">
        <v>292</v>
      </c>
      <c r="D17" s="104" t="s">
        <v>293</v>
      </c>
      <c r="E17" s="105" t="s">
        <v>295</v>
      </c>
      <c r="F17" s="104" t="s">
        <v>296</v>
      </c>
    </row>
    <row r="18" spans="1:6" ht="15.75" x14ac:dyDescent="0.25">
      <c r="A18" s="96"/>
      <c r="B18" s="102"/>
      <c r="C18" s="103"/>
      <c r="D18" s="104"/>
      <c r="E18" s="106"/>
      <c r="F18" s="104"/>
    </row>
    <row r="19" spans="1:6" ht="15.75" x14ac:dyDescent="0.25">
      <c r="A19" s="96"/>
      <c r="B19" s="107">
        <v>44302</v>
      </c>
      <c r="C19" s="108" t="s">
        <v>298</v>
      </c>
      <c r="D19" s="109" t="s">
        <v>297</v>
      </c>
      <c r="E19" s="110" t="s">
        <v>299</v>
      </c>
      <c r="F19" s="111"/>
    </row>
    <row r="20" spans="1:6" ht="15.75" x14ac:dyDescent="0.25">
      <c r="A20" s="96"/>
      <c r="B20" s="107">
        <v>44256</v>
      </c>
      <c r="C20" s="108" t="s">
        <v>300</v>
      </c>
      <c r="D20" s="109" t="s">
        <v>301</v>
      </c>
      <c r="E20" s="112" t="s">
        <v>302</v>
      </c>
      <c r="F20" s="109" t="s">
        <v>303</v>
      </c>
    </row>
    <row r="21" spans="1:6" ht="15.75" x14ac:dyDescent="0.25">
      <c r="A21" s="96"/>
      <c r="B21" s="107">
        <v>44256</v>
      </c>
      <c r="C21" s="108" t="s">
        <v>304</v>
      </c>
      <c r="D21" s="109" t="s">
        <v>301</v>
      </c>
      <c r="E21" s="112" t="s">
        <v>305</v>
      </c>
      <c r="F21" s="109"/>
    </row>
    <row r="22" spans="1:6" ht="15.75" x14ac:dyDescent="0.25">
      <c r="A22" s="96"/>
      <c r="B22" s="102">
        <v>44302</v>
      </c>
      <c r="C22" s="103" t="s">
        <v>306</v>
      </c>
      <c r="D22" s="104" t="s">
        <v>307</v>
      </c>
      <c r="E22" s="113"/>
      <c r="F22" s="104"/>
    </row>
    <row r="23" spans="1:6" ht="15.75" x14ac:dyDescent="0.25">
      <c r="A23" s="96"/>
      <c r="B23" s="102"/>
      <c r="C23" s="103"/>
      <c r="D23" s="104"/>
      <c r="E23" s="113"/>
      <c r="F23" s="104"/>
    </row>
    <row r="24" spans="1:6" ht="15.75" x14ac:dyDescent="0.25">
      <c r="A24" s="96"/>
      <c r="B24" s="102"/>
      <c r="C24" s="103"/>
      <c r="D24" s="104"/>
      <c r="E24" s="113"/>
      <c r="F24" s="104"/>
    </row>
    <row r="25" spans="1:6" ht="15.75" x14ac:dyDescent="0.25">
      <c r="A25" s="96"/>
      <c r="B25" s="114">
        <v>45357</v>
      </c>
      <c r="C25" s="115"/>
      <c r="D25" s="118" t="s">
        <v>308</v>
      </c>
      <c r="E25" s="117"/>
      <c r="F25" s="116"/>
    </row>
    <row r="26" spans="1:6" ht="15.75" x14ac:dyDescent="0.25">
      <c r="A26" s="96"/>
      <c r="B26" s="114">
        <v>45357</v>
      </c>
      <c r="C26" s="115" t="s">
        <v>316</v>
      </c>
      <c r="D26" s="116" t="s">
        <v>309</v>
      </c>
      <c r="E26" s="119" t="s">
        <v>310</v>
      </c>
      <c r="F26" s="116" t="s">
        <v>317</v>
      </c>
    </row>
    <row r="27" spans="1:6" ht="15.75" x14ac:dyDescent="0.25">
      <c r="A27" s="96"/>
      <c r="B27" s="114">
        <v>45357</v>
      </c>
      <c r="C27" s="115"/>
      <c r="D27" s="116" t="s">
        <v>311</v>
      </c>
      <c r="E27" s="119" t="s">
        <v>302</v>
      </c>
      <c r="F27" s="116" t="s">
        <v>318</v>
      </c>
    </row>
    <row r="28" spans="1:6" ht="15.75" x14ac:dyDescent="0.25">
      <c r="A28" s="96"/>
      <c r="B28" s="114">
        <v>45357</v>
      </c>
      <c r="C28" s="115" t="s">
        <v>290</v>
      </c>
      <c r="D28" s="116" t="s">
        <v>315</v>
      </c>
      <c r="E28" s="120" t="s">
        <v>291</v>
      </c>
      <c r="F28" s="116" t="s">
        <v>312</v>
      </c>
    </row>
    <row r="29" spans="1:6" ht="15.75" x14ac:dyDescent="0.25">
      <c r="A29" s="96"/>
      <c r="B29" s="114">
        <v>45357</v>
      </c>
      <c r="C29" s="115" t="s">
        <v>322</v>
      </c>
      <c r="D29" s="116" t="s">
        <v>313</v>
      </c>
      <c r="E29" s="120" t="s">
        <v>319</v>
      </c>
      <c r="F29" s="116" t="s">
        <v>320</v>
      </c>
    </row>
    <row r="30" spans="1:6" ht="15.75" x14ac:dyDescent="0.25">
      <c r="A30" s="96"/>
      <c r="B30" s="114">
        <v>45357</v>
      </c>
      <c r="C30" s="115" t="s">
        <v>321</v>
      </c>
      <c r="D30" s="116" t="s">
        <v>292</v>
      </c>
      <c r="E30" s="120" t="s">
        <v>294</v>
      </c>
      <c r="F30" s="116"/>
    </row>
  </sheetData>
  <mergeCells count="3">
    <mergeCell ref="B2:F2"/>
    <mergeCell ref="B3:F3"/>
    <mergeCell ref="B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ACB-C2F9-4C78-9242-2647AC242475}">
  <dimension ref="B2:G35"/>
  <sheetViews>
    <sheetView showGridLines="0" workbookViewId="0">
      <selection activeCell="C2" sqref="C2"/>
    </sheetView>
  </sheetViews>
  <sheetFormatPr baseColWidth="10" defaultRowHeight="15" x14ac:dyDescent="0.2"/>
  <cols>
    <col min="1" max="1" width="3.88671875" customWidth="1"/>
    <col min="2" max="2" width="4.109375" customWidth="1"/>
    <col min="3" max="3" width="20.77734375" customWidth="1"/>
    <col min="4" max="4" width="15.77734375" customWidth="1"/>
    <col min="5" max="5" width="13.33203125" customWidth="1"/>
    <col min="6" max="6" width="15.77734375" customWidth="1"/>
    <col min="7" max="7" width="3.21875" customWidth="1"/>
  </cols>
  <sheetData>
    <row r="2" spans="2:7" ht="18" x14ac:dyDescent="0.25">
      <c r="B2" s="7"/>
      <c r="C2" s="306" t="s">
        <v>803</v>
      </c>
      <c r="D2" s="307"/>
      <c r="E2" s="308"/>
      <c r="F2" s="7"/>
      <c r="G2" s="7"/>
    </row>
    <row r="3" spans="2:7" ht="18.75" thickBot="1" x14ac:dyDescent="0.3">
      <c r="B3" s="7"/>
      <c r="C3" s="306"/>
      <c r="D3" s="307"/>
      <c r="E3" s="308"/>
      <c r="F3" s="7"/>
      <c r="G3" s="7"/>
    </row>
    <row r="4" spans="2:7" ht="18" x14ac:dyDescent="0.25">
      <c r="B4" s="312"/>
      <c r="C4" s="313"/>
      <c r="D4" s="314"/>
      <c r="E4" s="315"/>
      <c r="F4" s="313"/>
      <c r="G4" s="316"/>
    </row>
    <row r="5" spans="2:7" ht="18" x14ac:dyDescent="0.25">
      <c r="B5" s="317"/>
      <c r="C5" s="7" t="s">
        <v>804</v>
      </c>
      <c r="D5" s="318" t="s">
        <v>805</v>
      </c>
      <c r="E5" s="309"/>
      <c r="F5" s="7"/>
      <c r="G5" s="319"/>
    </row>
    <row r="6" spans="2:7" ht="18" x14ac:dyDescent="0.25">
      <c r="B6" s="317"/>
      <c r="C6" s="7" t="s">
        <v>806</v>
      </c>
      <c r="D6" s="318" t="s">
        <v>807</v>
      </c>
      <c r="E6" s="309"/>
      <c r="F6" s="7"/>
      <c r="G6" s="319"/>
    </row>
    <row r="7" spans="2:7" ht="18" x14ac:dyDescent="0.25">
      <c r="B7" s="317"/>
      <c r="C7" s="7" t="s">
        <v>808</v>
      </c>
      <c r="D7" s="307" t="s">
        <v>315</v>
      </c>
      <c r="E7" s="309"/>
      <c r="F7" s="7"/>
      <c r="G7" s="319"/>
    </row>
    <row r="8" spans="2:7" ht="18" x14ac:dyDescent="0.25">
      <c r="B8" s="317"/>
      <c r="C8" s="7" t="s">
        <v>809</v>
      </c>
      <c r="D8" s="307" t="s">
        <v>810</v>
      </c>
      <c r="E8" s="309"/>
      <c r="F8" s="7"/>
      <c r="G8" s="319"/>
    </row>
    <row r="9" spans="2:7" ht="18" x14ac:dyDescent="0.25">
      <c r="B9" s="317"/>
      <c r="C9" s="7"/>
      <c r="D9" s="307"/>
      <c r="E9" s="309"/>
      <c r="F9" s="7"/>
      <c r="G9" s="319"/>
    </row>
    <row r="10" spans="2:7" ht="18.75" thickBot="1" x14ac:dyDescent="0.3">
      <c r="B10" s="317"/>
      <c r="C10" s="320"/>
      <c r="D10" s="307"/>
      <c r="E10" s="7" t="s">
        <v>811</v>
      </c>
      <c r="F10" s="310"/>
      <c r="G10" s="319"/>
    </row>
    <row r="11" spans="2:7" ht="19.5" thickTop="1" thickBot="1" x14ac:dyDescent="0.3">
      <c r="B11" s="321"/>
      <c r="C11" s="322"/>
      <c r="D11" s="323"/>
      <c r="E11" s="324"/>
      <c r="F11" s="322"/>
      <c r="G11" s="325"/>
    </row>
    <row r="12" spans="2:7" ht="18" x14ac:dyDescent="0.25">
      <c r="B12" s="320"/>
      <c r="C12" s="320"/>
      <c r="D12" s="326"/>
      <c r="E12" s="327"/>
      <c r="F12" s="320"/>
      <c r="G12" s="320"/>
    </row>
    <row r="13" spans="2:7" ht="18.75" thickBot="1" x14ac:dyDescent="0.3">
      <c r="B13" s="320"/>
      <c r="C13" s="320"/>
      <c r="D13" s="326"/>
      <c r="E13" s="327"/>
      <c r="F13" s="320"/>
      <c r="G13" s="320"/>
    </row>
    <row r="14" spans="2:7" ht="18" x14ac:dyDescent="0.25">
      <c r="B14" s="312"/>
      <c r="C14" s="313"/>
      <c r="D14" s="314"/>
      <c r="E14" s="315"/>
      <c r="F14" s="313"/>
      <c r="G14" s="316"/>
    </row>
    <row r="15" spans="2:7" ht="18" x14ac:dyDescent="0.25">
      <c r="B15" s="317"/>
      <c r="C15" s="7" t="s">
        <v>804</v>
      </c>
      <c r="D15" s="318" t="s">
        <v>812</v>
      </c>
      <c r="E15" s="309"/>
      <c r="F15" s="7"/>
      <c r="G15" s="319"/>
    </row>
    <row r="16" spans="2:7" ht="18" x14ac:dyDescent="0.25">
      <c r="B16" s="317"/>
      <c r="C16" s="7" t="s">
        <v>806</v>
      </c>
      <c r="D16" s="318" t="s">
        <v>813</v>
      </c>
      <c r="E16" s="309"/>
      <c r="F16" s="7"/>
      <c r="G16" s="319"/>
    </row>
    <row r="17" spans="2:7" ht="18" x14ac:dyDescent="0.25">
      <c r="B17" s="317"/>
      <c r="C17" s="7" t="s">
        <v>808</v>
      </c>
      <c r="D17" s="307" t="s">
        <v>814</v>
      </c>
      <c r="E17" s="309"/>
      <c r="F17" s="7"/>
      <c r="G17" s="319"/>
    </row>
    <row r="18" spans="2:7" ht="18" x14ac:dyDescent="0.25">
      <c r="B18" s="317"/>
      <c r="C18" s="7" t="s">
        <v>809</v>
      </c>
      <c r="D18" s="307" t="s">
        <v>815</v>
      </c>
      <c r="E18" s="309"/>
      <c r="F18" s="7"/>
      <c r="G18" s="319"/>
    </row>
    <row r="19" spans="2:7" ht="18" x14ac:dyDescent="0.25">
      <c r="B19" s="317"/>
      <c r="C19" s="7"/>
      <c r="D19" s="307"/>
      <c r="E19" s="309"/>
      <c r="F19" s="7"/>
      <c r="G19" s="319"/>
    </row>
    <row r="20" spans="2:7" ht="18.75" thickBot="1" x14ac:dyDescent="0.3">
      <c r="B20" s="317"/>
      <c r="C20" s="7"/>
      <c r="D20" s="307"/>
      <c r="E20" s="7" t="s">
        <v>811</v>
      </c>
      <c r="F20" s="310"/>
      <c r="G20" s="319"/>
    </row>
    <row r="21" spans="2:7" ht="19.5" thickTop="1" thickBot="1" x14ac:dyDescent="0.3">
      <c r="B21" s="321"/>
      <c r="C21" s="322"/>
      <c r="D21" s="323"/>
      <c r="E21" s="324"/>
      <c r="F21" s="322"/>
      <c r="G21" s="325"/>
    </row>
    <row r="22" spans="2:7" ht="18" x14ac:dyDescent="0.25">
      <c r="B22" s="7"/>
      <c r="C22" s="7"/>
      <c r="D22" s="307"/>
      <c r="E22" s="309"/>
      <c r="F22" s="7"/>
      <c r="G22" s="7"/>
    </row>
    <row r="23" spans="2:7" ht="18.75" thickBot="1" x14ac:dyDescent="0.3">
      <c r="B23" s="7"/>
      <c r="C23" s="7"/>
      <c r="D23" s="307"/>
      <c r="E23" s="309"/>
      <c r="F23" s="7"/>
      <c r="G23" s="7"/>
    </row>
    <row r="24" spans="2:7" ht="18" x14ac:dyDescent="0.25">
      <c r="B24" s="312"/>
      <c r="C24" s="313"/>
      <c r="D24" s="314"/>
      <c r="E24" s="315"/>
      <c r="F24" s="313"/>
      <c r="G24" s="316"/>
    </row>
    <row r="25" spans="2:7" ht="18" x14ac:dyDescent="0.25">
      <c r="B25" s="317"/>
      <c r="C25" s="7" t="s">
        <v>804</v>
      </c>
      <c r="D25" s="318" t="s">
        <v>816</v>
      </c>
      <c r="E25" s="309"/>
      <c r="F25" s="7"/>
      <c r="G25" s="319"/>
    </row>
    <row r="26" spans="2:7" ht="18" x14ac:dyDescent="0.25">
      <c r="B26" s="317"/>
      <c r="C26" s="7" t="s">
        <v>806</v>
      </c>
      <c r="D26" s="318" t="s">
        <v>817</v>
      </c>
      <c r="E26" s="309"/>
      <c r="F26" s="7"/>
      <c r="G26" s="319"/>
    </row>
    <row r="27" spans="2:7" ht="18" x14ac:dyDescent="0.25">
      <c r="B27" s="317"/>
      <c r="C27" s="7" t="s">
        <v>808</v>
      </c>
      <c r="D27" s="307" t="s">
        <v>818</v>
      </c>
      <c r="E27" s="309"/>
      <c r="F27" s="7"/>
      <c r="G27" s="319"/>
    </row>
    <row r="28" spans="2:7" ht="18" x14ac:dyDescent="0.25">
      <c r="B28" s="317"/>
      <c r="C28" s="7" t="s">
        <v>809</v>
      </c>
      <c r="D28" s="307" t="s">
        <v>819</v>
      </c>
      <c r="E28" s="309"/>
      <c r="F28" s="7"/>
      <c r="G28" s="319"/>
    </row>
    <row r="29" spans="2:7" ht="18" x14ac:dyDescent="0.25">
      <c r="B29" s="317"/>
      <c r="C29" s="7"/>
      <c r="D29" s="307"/>
      <c r="E29" s="309"/>
      <c r="F29" s="7"/>
      <c r="G29" s="319"/>
    </row>
    <row r="30" spans="2:7" ht="18.75" thickBot="1" x14ac:dyDescent="0.3">
      <c r="B30" s="317"/>
      <c r="C30" s="7"/>
      <c r="D30" s="307"/>
      <c r="E30" s="7" t="s">
        <v>811</v>
      </c>
      <c r="F30" s="310"/>
      <c r="G30" s="319"/>
    </row>
    <row r="31" spans="2:7" ht="19.5" thickTop="1" thickBot="1" x14ac:dyDescent="0.3">
      <c r="B31" s="321"/>
      <c r="C31" s="322"/>
      <c r="D31" s="323"/>
      <c r="E31" s="324"/>
      <c r="F31" s="322"/>
      <c r="G31" s="325"/>
    </row>
    <row r="32" spans="2:7" ht="18" x14ac:dyDescent="0.25">
      <c r="B32" s="7"/>
      <c r="C32" s="7"/>
      <c r="D32" s="307"/>
      <c r="E32" s="309"/>
      <c r="F32" s="7"/>
      <c r="G32" s="7"/>
    </row>
    <row r="33" spans="2:7" ht="18" x14ac:dyDescent="0.25">
      <c r="B33" s="7"/>
      <c r="C33" s="7"/>
      <c r="D33" s="307"/>
      <c r="E33" s="309"/>
      <c r="F33" s="7"/>
      <c r="G33" s="7"/>
    </row>
    <row r="34" spans="2:7" ht="18" x14ac:dyDescent="0.25">
      <c r="B34" s="311" t="str">
        <f>REPT("-",120)</f>
        <v>------------------------------------------------------------------------------------------------------------------------</v>
      </c>
      <c r="C34" s="7"/>
      <c r="D34" s="307"/>
      <c r="E34" s="309"/>
      <c r="F34" s="7"/>
      <c r="G34" s="7"/>
    </row>
    <row r="35" spans="2:7" ht="18" x14ac:dyDescent="0.25">
      <c r="B35" s="7"/>
      <c r="C35" s="7"/>
      <c r="D35" s="307"/>
      <c r="E35" s="309"/>
      <c r="F35" s="7"/>
      <c r="G35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B281-D08A-4FAD-8729-01682DB025B1}">
  <dimension ref="A1:K32"/>
  <sheetViews>
    <sheetView tabSelected="1" workbookViewId="0">
      <selection activeCell="B8" sqref="B8"/>
    </sheetView>
  </sheetViews>
  <sheetFormatPr baseColWidth="10" defaultRowHeight="15" x14ac:dyDescent="0.2"/>
  <cols>
    <col min="1" max="1" width="3.33203125" customWidth="1"/>
    <col min="2" max="2" width="9.21875" customWidth="1"/>
    <col min="3" max="4" width="11.5546875" customWidth="1"/>
    <col min="6" max="6" width="9.21875" customWidth="1"/>
  </cols>
  <sheetData>
    <row r="1" spans="1:11" ht="15.75" x14ac:dyDescent="0.25">
      <c r="A1" s="147"/>
      <c r="B1" s="336" t="s">
        <v>421</v>
      </c>
      <c r="C1" s="336"/>
      <c r="D1" s="336"/>
      <c r="E1" s="148"/>
      <c r="F1" s="148"/>
      <c r="G1" s="148"/>
      <c r="H1" s="148"/>
      <c r="I1" s="148"/>
      <c r="J1" s="148"/>
      <c r="K1" s="148"/>
    </row>
    <row r="2" spans="1:11" ht="15.75" x14ac:dyDescent="0.25">
      <c r="A2" s="147"/>
      <c r="B2" s="337" t="s">
        <v>422</v>
      </c>
      <c r="C2" s="337"/>
      <c r="D2" s="337"/>
      <c r="E2" s="148"/>
      <c r="F2" s="148"/>
      <c r="G2" s="148"/>
      <c r="H2" s="148"/>
      <c r="I2" s="148"/>
      <c r="J2" s="148"/>
      <c r="K2" s="148"/>
    </row>
    <row r="3" spans="1:11" ht="15.75" x14ac:dyDescent="0.25">
      <c r="A3" s="147"/>
      <c r="B3" s="338">
        <f ca="1">NOW()</f>
        <v>45506.554648148151</v>
      </c>
      <c r="C3" s="338"/>
      <c r="D3" s="338"/>
      <c r="E3" s="148"/>
      <c r="F3" s="148"/>
      <c r="G3" s="148"/>
      <c r="H3" s="148"/>
      <c r="I3" s="148"/>
      <c r="J3" s="148"/>
      <c r="K3" s="148"/>
    </row>
    <row r="4" spans="1:11" ht="15.75" x14ac:dyDescent="0.25">
      <c r="A4" s="147"/>
      <c r="B4" s="149" t="s">
        <v>423</v>
      </c>
      <c r="C4" s="149" t="s">
        <v>424</v>
      </c>
      <c r="D4" s="149" t="s">
        <v>425</v>
      </c>
      <c r="E4" s="148"/>
      <c r="F4" s="148"/>
      <c r="G4" s="148"/>
      <c r="H4" s="148"/>
      <c r="I4" s="148"/>
      <c r="J4" s="148"/>
      <c r="K4" s="148"/>
    </row>
    <row r="5" spans="1:11" ht="15.75" x14ac:dyDescent="0.25">
      <c r="A5" s="147"/>
      <c r="B5" s="150">
        <v>2</v>
      </c>
      <c r="C5" s="151">
        <v>0.5</v>
      </c>
      <c r="D5" s="152">
        <f>B5*C5</f>
        <v>1</v>
      </c>
      <c r="E5" s="148"/>
      <c r="F5" s="148"/>
      <c r="G5" s="148"/>
      <c r="H5" s="148"/>
      <c r="I5" s="148"/>
      <c r="J5" s="148"/>
      <c r="K5" s="148"/>
    </row>
    <row r="6" spans="1:11" ht="15.75" x14ac:dyDescent="0.25">
      <c r="A6" s="147"/>
      <c r="B6" s="150">
        <v>25</v>
      </c>
      <c r="C6" s="151">
        <v>1</v>
      </c>
      <c r="D6" s="152">
        <f t="shared" ref="D6:D15" si="0">B6*C6</f>
        <v>25</v>
      </c>
      <c r="E6" s="148"/>
      <c r="F6" s="148"/>
      <c r="G6" s="148"/>
      <c r="H6" s="148"/>
      <c r="I6" s="148"/>
      <c r="J6" s="148"/>
      <c r="K6" s="148"/>
    </row>
    <row r="7" spans="1:11" ht="15.75" x14ac:dyDescent="0.25">
      <c r="A7" s="147"/>
      <c r="B7" s="150">
        <v>17</v>
      </c>
      <c r="C7" s="151">
        <v>2</v>
      </c>
      <c r="D7" s="152">
        <f t="shared" si="0"/>
        <v>34</v>
      </c>
      <c r="E7" s="148"/>
      <c r="F7" s="148"/>
      <c r="G7" s="148"/>
      <c r="H7" s="148"/>
      <c r="I7" s="148"/>
      <c r="J7" s="148"/>
      <c r="K7" s="148"/>
    </row>
    <row r="8" spans="1:11" ht="15.75" x14ac:dyDescent="0.25">
      <c r="A8" s="147"/>
      <c r="B8" s="150">
        <v>8</v>
      </c>
      <c r="C8" s="151">
        <v>5</v>
      </c>
      <c r="D8" s="152">
        <f t="shared" si="0"/>
        <v>40</v>
      </c>
      <c r="E8" s="148"/>
      <c r="F8" s="148"/>
      <c r="G8" s="148"/>
      <c r="H8" s="148"/>
      <c r="I8" s="148"/>
      <c r="J8" s="148"/>
      <c r="K8" s="148"/>
    </row>
    <row r="9" spans="1:11" ht="15.75" x14ac:dyDescent="0.25">
      <c r="A9" s="147"/>
      <c r="B9" s="150"/>
      <c r="C9" s="151">
        <v>10</v>
      </c>
      <c r="D9" s="152">
        <f t="shared" si="0"/>
        <v>0</v>
      </c>
      <c r="E9" s="148"/>
      <c r="F9" s="148"/>
      <c r="G9" s="148"/>
      <c r="H9" s="148"/>
      <c r="I9" s="148"/>
      <c r="J9" s="148"/>
      <c r="K9" s="148"/>
    </row>
    <row r="10" spans="1:11" ht="15.75" x14ac:dyDescent="0.25">
      <c r="A10" s="147"/>
      <c r="B10" s="150"/>
      <c r="C10" s="151">
        <v>20</v>
      </c>
      <c r="D10" s="152">
        <f t="shared" si="0"/>
        <v>0</v>
      </c>
      <c r="E10" s="148"/>
      <c r="F10" s="148"/>
      <c r="G10" s="148"/>
      <c r="H10" s="148"/>
      <c r="I10" s="148"/>
      <c r="J10" s="148"/>
      <c r="K10" s="148"/>
    </row>
    <row r="11" spans="1:11" ht="15.75" x14ac:dyDescent="0.25">
      <c r="A11" s="147"/>
      <c r="B11" s="150"/>
      <c r="C11" s="151">
        <v>50</v>
      </c>
      <c r="D11" s="152">
        <f t="shared" si="0"/>
        <v>0</v>
      </c>
      <c r="E11" s="148"/>
      <c r="F11" s="148"/>
      <c r="G11" s="148"/>
      <c r="H11" s="148"/>
      <c r="I11" s="148"/>
      <c r="J11" s="148"/>
      <c r="K11" s="148"/>
    </row>
    <row r="12" spans="1:11" ht="15.75" x14ac:dyDescent="0.25">
      <c r="A12" s="147"/>
      <c r="B12" s="150"/>
      <c r="C12" s="151">
        <v>100</v>
      </c>
      <c r="D12" s="152">
        <f t="shared" si="0"/>
        <v>0</v>
      </c>
      <c r="E12" s="148"/>
      <c r="F12" s="148"/>
      <c r="G12" s="148"/>
      <c r="H12" s="148"/>
      <c r="I12" s="148"/>
      <c r="J12" s="148"/>
      <c r="K12" s="148"/>
    </row>
    <row r="13" spans="1:11" ht="15.75" x14ac:dyDescent="0.25">
      <c r="A13" s="147"/>
      <c r="B13" s="150"/>
      <c r="C13" s="151">
        <v>200</v>
      </c>
      <c r="D13" s="152">
        <f t="shared" si="0"/>
        <v>0</v>
      </c>
      <c r="E13" s="148"/>
      <c r="F13" s="148"/>
      <c r="G13" s="148"/>
      <c r="H13" s="148"/>
      <c r="I13" s="148"/>
      <c r="J13" s="148"/>
      <c r="K13" s="148"/>
    </row>
    <row r="14" spans="1:11" ht="15.75" x14ac:dyDescent="0.25">
      <c r="A14" s="147"/>
      <c r="B14" s="150"/>
      <c r="C14" s="151">
        <v>500</v>
      </c>
      <c r="D14" s="152">
        <f t="shared" si="0"/>
        <v>0</v>
      </c>
      <c r="E14" s="148"/>
      <c r="F14" s="148"/>
      <c r="G14" s="148"/>
      <c r="H14" s="148"/>
      <c r="I14" s="148"/>
      <c r="J14" s="148"/>
      <c r="K14" s="148"/>
    </row>
    <row r="15" spans="1:11" ht="15.75" x14ac:dyDescent="0.25">
      <c r="A15" s="147"/>
      <c r="B15" s="161"/>
      <c r="C15" s="151">
        <v>1000</v>
      </c>
      <c r="D15" s="152">
        <f t="shared" si="0"/>
        <v>0</v>
      </c>
      <c r="E15" s="148"/>
      <c r="F15" s="148"/>
      <c r="G15" s="148"/>
      <c r="H15" s="148"/>
      <c r="I15" s="148"/>
      <c r="J15" s="148"/>
      <c r="K15" s="148"/>
    </row>
    <row r="16" spans="1:11" ht="15.75" x14ac:dyDescent="0.25">
      <c r="A16" s="147"/>
      <c r="B16" s="153"/>
      <c r="C16" s="153"/>
      <c r="D16" s="154"/>
      <c r="E16" s="148"/>
      <c r="F16" s="148"/>
      <c r="G16" s="148"/>
      <c r="H16" s="148"/>
      <c r="I16" s="148"/>
      <c r="J16" s="148"/>
      <c r="K16" s="148"/>
    </row>
    <row r="17" spans="1:11" ht="15.75" x14ac:dyDescent="0.25">
      <c r="A17" s="147"/>
      <c r="B17" s="153"/>
      <c r="C17" s="151" t="s">
        <v>426</v>
      </c>
      <c r="D17" s="152">
        <f>SUM(D5:D16)</f>
        <v>100</v>
      </c>
      <c r="E17" s="148"/>
      <c r="F17" s="148"/>
      <c r="G17" s="148"/>
      <c r="H17" s="148"/>
      <c r="I17" s="148"/>
      <c r="J17" s="148"/>
      <c r="K17" s="148"/>
    </row>
    <row r="18" spans="1:11" ht="15.75" x14ac:dyDescent="0.25">
      <c r="A18" s="147"/>
      <c r="B18" s="153"/>
      <c r="C18" s="155"/>
      <c r="D18" s="154"/>
      <c r="E18" s="148"/>
      <c r="F18" s="148"/>
      <c r="G18" s="148"/>
      <c r="H18" s="148"/>
      <c r="I18" s="148"/>
      <c r="J18" s="148"/>
      <c r="K18" s="148"/>
    </row>
    <row r="19" spans="1:11" ht="15.75" x14ac:dyDescent="0.25">
      <c r="A19" s="147"/>
      <c r="B19" s="153"/>
      <c r="C19" s="155"/>
      <c r="D19" s="154"/>
      <c r="E19" s="148"/>
      <c r="F19" s="148"/>
      <c r="G19" s="148"/>
      <c r="H19" s="148"/>
      <c r="I19" s="148"/>
      <c r="J19" s="148"/>
      <c r="K19" s="148"/>
    </row>
    <row r="20" spans="1:11" ht="15.75" x14ac:dyDescent="0.25">
      <c r="A20" s="147"/>
      <c r="B20" s="156"/>
      <c r="C20" s="304" t="s">
        <v>427</v>
      </c>
      <c r="D20" s="154"/>
      <c r="E20" s="148"/>
      <c r="F20" s="148"/>
      <c r="G20" s="148"/>
      <c r="H20" s="148"/>
      <c r="I20" s="148"/>
      <c r="J20" s="148"/>
      <c r="K20" s="148"/>
    </row>
    <row r="21" spans="1:11" ht="15.75" x14ac:dyDescent="0.25">
      <c r="A21" s="147"/>
      <c r="B21" s="153"/>
      <c r="C21" s="157"/>
      <c r="D21" s="154"/>
      <c r="E21" s="148"/>
      <c r="F21" s="148"/>
      <c r="G21" s="148"/>
      <c r="H21" s="148"/>
      <c r="I21" s="148"/>
      <c r="J21" s="148"/>
      <c r="K21" s="148"/>
    </row>
    <row r="22" spans="1:11" ht="15.75" x14ac:dyDescent="0.25">
      <c r="A22" s="147"/>
      <c r="B22" s="299"/>
      <c r="C22" s="157"/>
      <c r="D22" s="154"/>
      <c r="E22" s="148"/>
      <c r="F22" s="148"/>
      <c r="G22" s="148"/>
      <c r="H22" s="148"/>
      <c r="I22" s="148"/>
      <c r="J22" s="148"/>
      <c r="K22" s="148"/>
    </row>
    <row r="23" spans="1:11" ht="15.75" x14ac:dyDescent="0.25">
      <c r="A23" s="147"/>
      <c r="B23" s="153"/>
      <c r="C23" s="300"/>
      <c r="D23" s="153"/>
      <c r="E23" s="148"/>
      <c r="F23" s="148"/>
      <c r="G23" s="148"/>
      <c r="H23" s="148"/>
      <c r="I23" s="148"/>
      <c r="J23" s="148"/>
      <c r="K23" s="148"/>
    </row>
    <row r="24" spans="1:11" ht="15.75" x14ac:dyDescent="0.25">
      <c r="A24" s="147"/>
      <c r="B24" s="158" t="s">
        <v>428</v>
      </c>
      <c r="C24" s="158" t="s">
        <v>428</v>
      </c>
      <c r="D24" s="158" t="s">
        <v>428</v>
      </c>
      <c r="E24" s="148"/>
      <c r="F24" s="148"/>
      <c r="G24" s="148"/>
      <c r="H24" s="148"/>
      <c r="I24" s="148"/>
      <c r="J24" s="148"/>
      <c r="K24" s="148"/>
    </row>
    <row r="25" spans="1:11" ht="15.75" x14ac:dyDescent="0.25">
      <c r="A25" s="147"/>
      <c r="B25" s="147"/>
      <c r="C25" s="147"/>
      <c r="D25" s="147"/>
      <c r="E25" s="148"/>
      <c r="F25" s="148"/>
      <c r="G25" s="148"/>
      <c r="H25" s="148"/>
      <c r="I25" s="148"/>
      <c r="J25" s="148"/>
      <c r="K25" s="148"/>
    </row>
    <row r="26" spans="1:11" ht="15.75" x14ac:dyDescent="0.25">
      <c r="E26" s="148"/>
      <c r="F26" s="148"/>
      <c r="G26" s="148"/>
      <c r="H26" s="148"/>
      <c r="I26" s="148"/>
      <c r="J26" s="148"/>
      <c r="K26" s="148"/>
    </row>
    <row r="27" spans="1:11" ht="15.75" x14ac:dyDescent="0.25">
      <c r="E27" s="148"/>
      <c r="F27" s="148"/>
      <c r="G27" s="148"/>
      <c r="H27" s="148"/>
      <c r="I27" s="148"/>
      <c r="J27" s="148"/>
      <c r="K27" s="148"/>
    </row>
    <row r="28" spans="1:11" ht="15.75" x14ac:dyDescent="0.25">
      <c r="E28" s="148"/>
      <c r="F28" s="148"/>
      <c r="G28" s="148"/>
      <c r="H28" s="148"/>
      <c r="I28" s="148"/>
      <c r="J28" s="148"/>
      <c r="K28" s="148"/>
    </row>
    <row r="29" spans="1:11" ht="15.75" x14ac:dyDescent="0.25">
      <c r="E29" s="148"/>
      <c r="F29" s="148"/>
      <c r="G29" s="148"/>
      <c r="H29" s="148"/>
      <c r="I29" s="148"/>
      <c r="J29" s="148"/>
      <c r="K29" s="148"/>
    </row>
    <row r="30" spans="1:11" ht="15.75" x14ac:dyDescent="0.25">
      <c r="E30" s="148"/>
      <c r="F30" s="148"/>
      <c r="G30" s="148"/>
      <c r="H30" s="148"/>
      <c r="I30" s="148"/>
      <c r="J30" s="148"/>
      <c r="K30" s="148"/>
    </row>
    <row r="31" spans="1:11" ht="15.75" x14ac:dyDescent="0.25">
      <c r="E31" s="148"/>
      <c r="F31" s="148"/>
      <c r="G31" s="148"/>
      <c r="H31" s="148"/>
      <c r="I31" s="148"/>
      <c r="J31" s="148"/>
      <c r="K31" s="148"/>
    </row>
    <row r="32" spans="1:11" ht="15.75" x14ac:dyDescent="0.25">
      <c r="E32" s="148"/>
      <c r="F32" s="148"/>
      <c r="G32" s="148"/>
      <c r="H32" s="148"/>
      <c r="I32" s="148"/>
      <c r="J32" s="148"/>
      <c r="K32" s="148"/>
    </row>
  </sheetData>
  <mergeCells count="3">
    <mergeCell ref="B1:D1"/>
    <mergeCell ref="B2:D2"/>
    <mergeCell ref="B3:D3"/>
  </mergeCells>
  <pageMargins left="0.11811023622047245" right="0.11811023622047245" top="0.55118110236220474" bottom="0.55118110236220474" header="0.31496062992125984" footer="0.31496062992125984"/>
  <pageSetup paperSize="2833" scale="75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838-2CAC-4538-AAC2-513B89275CB9}">
  <dimension ref="A1:J101"/>
  <sheetViews>
    <sheetView workbookViewId="0">
      <pane ySplit="6" topLeftCell="A7" activePane="bottomLeft" state="frozen"/>
      <selection pane="bottomLeft" activeCell="C85" sqref="C85"/>
    </sheetView>
  </sheetViews>
  <sheetFormatPr baseColWidth="10" defaultRowHeight="15" x14ac:dyDescent="0.2"/>
  <cols>
    <col min="1" max="1" width="1.88671875" customWidth="1"/>
    <col min="2" max="2" width="16.77734375" bestFit="1" customWidth="1"/>
    <col min="3" max="4" width="11" bestFit="1" customWidth="1"/>
    <col min="5" max="6" width="12" bestFit="1" customWidth="1"/>
    <col min="7" max="7" width="11.88671875" customWidth="1"/>
    <col min="8" max="8" width="11" bestFit="1" customWidth="1"/>
    <col min="9" max="9" width="9.21875" bestFit="1" customWidth="1"/>
    <col min="10" max="10" width="23.33203125" bestFit="1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55"/>
    </row>
    <row r="2" spans="1:10" ht="20.25" x14ac:dyDescent="0.3">
      <c r="A2" s="1"/>
      <c r="B2" s="339" t="s">
        <v>212</v>
      </c>
      <c r="C2" s="339"/>
      <c r="D2" s="339"/>
      <c r="E2" s="339"/>
      <c r="F2" s="339"/>
      <c r="G2" s="339"/>
      <c r="H2" s="339"/>
      <c r="I2" s="339"/>
      <c r="J2" s="339"/>
    </row>
    <row r="3" spans="1:10" ht="18" x14ac:dyDescent="0.25">
      <c r="A3" s="1"/>
      <c r="B3" s="340" t="s">
        <v>1</v>
      </c>
      <c r="C3" s="340"/>
      <c r="D3" s="340"/>
      <c r="E3" s="340"/>
      <c r="F3" s="340"/>
      <c r="G3" s="340"/>
      <c r="H3" s="340"/>
      <c r="I3" s="340"/>
      <c r="J3" s="340"/>
    </row>
    <row r="4" spans="1:10" ht="18" x14ac:dyDescent="0.25">
      <c r="A4" s="1"/>
      <c r="B4" s="341" t="s">
        <v>230</v>
      </c>
      <c r="C4" s="341"/>
      <c r="D4" s="341"/>
      <c r="E4" s="341"/>
      <c r="F4" s="341"/>
      <c r="G4" s="341"/>
      <c r="H4" s="341"/>
      <c r="I4" s="341"/>
      <c r="J4" s="341"/>
    </row>
    <row r="5" spans="1:10" x14ac:dyDescent="0.2">
      <c r="A5" s="1"/>
      <c r="B5" s="342">
        <v>45502</v>
      </c>
      <c r="C5" s="342"/>
      <c r="D5" s="342"/>
      <c r="E5" s="342"/>
      <c r="F5" s="342"/>
      <c r="G5" s="342"/>
      <c r="H5" s="342"/>
      <c r="I5" s="342"/>
      <c r="J5" s="342"/>
    </row>
    <row r="6" spans="1:10" ht="38.25" x14ac:dyDescent="0.2">
      <c r="A6" s="1"/>
      <c r="B6" s="12" t="s">
        <v>231</v>
      </c>
      <c r="C6" s="56" t="s">
        <v>232</v>
      </c>
      <c r="D6" s="56" t="s">
        <v>233</v>
      </c>
      <c r="E6" s="57" t="s">
        <v>234</v>
      </c>
      <c r="F6" s="56" t="s">
        <v>235</v>
      </c>
      <c r="G6" s="56" t="s">
        <v>224</v>
      </c>
      <c r="H6" s="58">
        <f>SUBTOTAL(9,H7:H101)</f>
        <v>22281</v>
      </c>
      <c r="I6" s="59" t="s">
        <v>236</v>
      </c>
      <c r="J6" s="56" t="s">
        <v>237</v>
      </c>
    </row>
    <row r="7" spans="1:10" ht="15.75" x14ac:dyDescent="0.25">
      <c r="A7" s="1"/>
      <c r="B7" s="60" t="s">
        <v>41</v>
      </c>
      <c r="C7" s="3">
        <f>SUM(C13:C16)</f>
        <v>14568.19</v>
      </c>
      <c r="D7" s="3">
        <f t="shared" ref="D7:G7" si="0">SUM(D13:D16)</f>
        <v>63080.28</v>
      </c>
      <c r="E7" s="3">
        <f t="shared" si="0"/>
        <v>451613.89</v>
      </c>
      <c r="F7" s="3">
        <f t="shared" si="0"/>
        <v>494663.00999999995</v>
      </c>
      <c r="G7" s="3">
        <f t="shared" si="0"/>
        <v>-43049.119999999952</v>
      </c>
      <c r="H7" s="3"/>
      <c r="I7" s="55"/>
      <c r="J7" s="1"/>
    </row>
    <row r="8" spans="1:10" ht="15.75" x14ac:dyDescent="0.25">
      <c r="A8" s="1"/>
      <c r="B8" s="60" t="s">
        <v>238</v>
      </c>
      <c r="C8" s="3">
        <f>C19+C29+C34+C41+C50+C56+C61+C67+C89</f>
        <v>9374.5600000000013</v>
      </c>
      <c r="D8" s="3">
        <f t="shared" ref="D8:G8" si="1">D19+D29+D34+D41+D50+D56+D61+D67+D89</f>
        <v>43955.948160000007</v>
      </c>
      <c r="E8" s="3">
        <f t="shared" si="1"/>
        <v>290611.36</v>
      </c>
      <c r="F8" s="3">
        <f t="shared" si="1"/>
        <v>-406516.99</v>
      </c>
      <c r="G8" s="3">
        <f t="shared" si="1"/>
        <v>-123726.63</v>
      </c>
      <c r="H8" s="3"/>
      <c r="I8" s="55"/>
      <c r="J8" s="1"/>
    </row>
    <row r="9" spans="1:10" ht="15.75" x14ac:dyDescent="0.25">
      <c r="A9" s="1"/>
      <c r="B9" s="60" t="s">
        <v>239</v>
      </c>
      <c r="C9" s="3">
        <f>C7-C8</f>
        <v>5193.6299999999992</v>
      </c>
      <c r="D9" s="3">
        <f t="shared" ref="D9:G9" si="2">D7-D8</f>
        <v>19124.331839999992</v>
      </c>
      <c r="E9" s="3">
        <f t="shared" si="2"/>
        <v>161002.53000000003</v>
      </c>
      <c r="F9" s="3">
        <f t="shared" si="2"/>
        <v>901180</v>
      </c>
      <c r="G9" s="3">
        <f t="shared" si="2"/>
        <v>80677.510000000053</v>
      </c>
      <c r="H9" s="3"/>
      <c r="I9" s="55"/>
      <c r="J9" s="1"/>
    </row>
    <row r="10" spans="1:10" ht="15.75" x14ac:dyDescent="0.2">
      <c r="A10" s="1"/>
      <c r="B10" s="61"/>
      <c r="C10" s="62"/>
      <c r="D10" s="63" t="s">
        <v>240</v>
      </c>
      <c r="E10" s="64">
        <f>WEEKNUM(B5,2)</f>
        <v>31</v>
      </c>
      <c r="F10" s="62"/>
      <c r="G10" s="62"/>
      <c r="H10" s="62"/>
      <c r="I10" s="65"/>
      <c r="J10" s="62"/>
    </row>
    <row r="11" spans="1:10" ht="15.75" x14ac:dyDescent="0.2">
      <c r="A11" s="1"/>
      <c r="B11" s="1"/>
      <c r="C11" s="3"/>
      <c r="D11" s="3"/>
      <c r="E11" s="66"/>
      <c r="F11" s="3"/>
      <c r="G11" s="3"/>
      <c r="H11" s="3"/>
      <c r="I11" s="55"/>
      <c r="J11" s="67"/>
    </row>
    <row r="12" spans="1:10" ht="15.75" x14ac:dyDescent="0.25">
      <c r="A12" s="1"/>
      <c r="B12" s="68" t="s">
        <v>41</v>
      </c>
      <c r="C12" s="69">
        <f>SUM(C13:C16)</f>
        <v>14568.19</v>
      </c>
      <c r="D12" s="69">
        <v>53109.918600000005</v>
      </c>
      <c r="E12" s="69">
        <f>SUM(E13:E16)</f>
        <v>451613.89</v>
      </c>
      <c r="F12" s="69">
        <f>SUM(F13:F16)</f>
        <v>494663.00999999995</v>
      </c>
      <c r="G12" s="69">
        <f>SUM(G13:G16)</f>
        <v>-43049.119999999952</v>
      </c>
      <c r="H12" s="69"/>
      <c r="I12" s="70"/>
      <c r="J12" s="71"/>
    </row>
    <row r="13" spans="1:10" x14ac:dyDescent="0.2">
      <c r="A13" s="1"/>
      <c r="B13" s="1" t="s">
        <v>45</v>
      </c>
      <c r="C13" s="3">
        <v>2078.52</v>
      </c>
      <c r="D13" s="3">
        <v>9000</v>
      </c>
      <c r="E13" s="3">
        <f>C13*$E$10</f>
        <v>64434.12</v>
      </c>
      <c r="F13" s="3">
        <f>SUMIF(DIARIO_2024!$E$7:$E$5146,PRESUPUESTO!B13,DIARIO_2024!$H$7:$H$5146)+SUMIF(DIARIO_2024!$E$7:$E$5146,PRESUPUESTO!B13,DIARIO_2024!$I$7:$I$5146)</f>
        <v>72000</v>
      </c>
      <c r="G13" s="3">
        <f t="shared" ref="G13:G16" si="3">E13-F13</f>
        <v>-7565.8799999999974</v>
      </c>
      <c r="H13" s="3"/>
      <c r="I13" s="55"/>
      <c r="J13" s="72" t="s">
        <v>241</v>
      </c>
    </row>
    <row r="14" spans="1:10" x14ac:dyDescent="0.2">
      <c r="A14" s="1"/>
      <c r="B14" s="1" t="s">
        <v>47</v>
      </c>
      <c r="C14" s="3">
        <v>7000</v>
      </c>
      <c r="D14" s="3">
        <v>30310</v>
      </c>
      <c r="E14" s="3">
        <f t="shared" ref="E14:E16" si="4">C14*$E$10</f>
        <v>217000</v>
      </c>
      <c r="F14" s="3">
        <f>SUMIF(DIARIO_2024!$E$7:$E$5146,PRESUPUESTO!B14,DIARIO_2024!$H$7:$H$5146)+SUMIF(DIARIO_2024!$E$7:$E$5146,PRESUPUESTO!B14,DIARIO_2024!$I$7:$I$5146)</f>
        <v>215800</v>
      </c>
      <c r="G14" s="3">
        <f t="shared" si="3"/>
        <v>1200</v>
      </c>
      <c r="H14" s="3"/>
      <c r="I14" s="55"/>
      <c r="J14" s="72" t="s">
        <v>242</v>
      </c>
    </row>
    <row r="15" spans="1:10" x14ac:dyDescent="0.2">
      <c r="A15" s="1"/>
      <c r="B15" s="1" t="s">
        <v>46</v>
      </c>
      <c r="C15" s="3">
        <v>550.4</v>
      </c>
      <c r="D15" s="3">
        <v>2383.25</v>
      </c>
      <c r="E15" s="3">
        <f t="shared" si="4"/>
        <v>17062.399999999998</v>
      </c>
      <c r="F15" s="3">
        <f>SUMIF(DIARIO_2024!$E$7:$E$5146,PRESUPUESTO!B15,DIARIO_2024!$H$7:$H$5146)+SUMIF(DIARIO_2024!$E$7:$E$5146,PRESUPUESTO!B15,DIARIO_2024!$I$7:$I$5146)</f>
        <v>16683.29</v>
      </c>
      <c r="G15" s="3">
        <f t="shared" si="3"/>
        <v>379.10999999999694</v>
      </c>
      <c r="H15" s="3"/>
      <c r="I15" s="55"/>
      <c r="J15" s="72" t="s">
        <v>241</v>
      </c>
    </row>
    <row r="16" spans="1:10" x14ac:dyDescent="0.2">
      <c r="A16" s="1"/>
      <c r="B16" s="73" t="s">
        <v>42</v>
      </c>
      <c r="C16" s="74">
        <v>4939.2700000000004</v>
      </c>
      <c r="D16" s="74">
        <v>21387.03</v>
      </c>
      <c r="E16" s="74">
        <f t="shared" si="4"/>
        <v>153117.37000000002</v>
      </c>
      <c r="F16" s="74">
        <f>SUMIF(DIARIO_2024!$E$7:$E$5146,PRESUPUESTO!B16,DIARIO_2024!$H$7:$H$5146)+SUMIF(DIARIO_2024!$E$7:$E$5146,PRESUPUESTO!B16,DIARIO_2024!$I$7:$I$5146)</f>
        <v>190179.71999999997</v>
      </c>
      <c r="G16" s="74">
        <f t="shared" si="3"/>
        <v>-37062.349999999948</v>
      </c>
      <c r="H16" s="74"/>
      <c r="I16" s="75"/>
      <c r="J16" s="76" t="s">
        <v>241</v>
      </c>
    </row>
    <row r="17" spans="1:10" x14ac:dyDescent="0.2">
      <c r="A17" s="1"/>
      <c r="B17" s="77"/>
      <c r="C17" s="78"/>
      <c r="D17" s="78"/>
      <c r="E17" s="78"/>
      <c r="F17" s="78"/>
      <c r="G17" s="78"/>
      <c r="H17" s="78"/>
      <c r="I17" s="79"/>
      <c r="J17" s="80"/>
    </row>
    <row r="18" spans="1:10" ht="15.75" x14ac:dyDescent="0.2">
      <c r="A18" s="1"/>
      <c r="B18" s="1"/>
      <c r="C18" s="3"/>
      <c r="D18" s="3"/>
      <c r="E18" s="66"/>
      <c r="F18" s="3"/>
      <c r="G18" s="3"/>
      <c r="H18" s="3"/>
      <c r="I18" s="55"/>
      <c r="J18" s="67"/>
    </row>
    <row r="19" spans="1:10" ht="15.75" x14ac:dyDescent="0.25">
      <c r="A19" s="1"/>
      <c r="B19" s="68" t="s">
        <v>33</v>
      </c>
      <c r="C19" s="69">
        <f>SUM(C20:C26)</f>
        <v>694.03000000000009</v>
      </c>
      <c r="D19" s="69">
        <f t="shared" ref="D19:G19" si="5">SUM(D20:D26)</f>
        <v>6179.15</v>
      </c>
      <c r="E19" s="69">
        <f t="shared" si="5"/>
        <v>21514.93</v>
      </c>
      <c r="F19" s="69">
        <f t="shared" si="5"/>
        <v>-168137.49</v>
      </c>
      <c r="G19" s="69">
        <f t="shared" si="5"/>
        <v>-146622.56</v>
      </c>
      <c r="H19" s="69"/>
      <c r="I19" s="70"/>
      <c r="J19" s="71"/>
    </row>
    <row r="20" spans="1:10" x14ac:dyDescent="0.2">
      <c r="A20" s="1"/>
      <c r="B20" s="1" t="s">
        <v>187</v>
      </c>
      <c r="C20" s="3">
        <v>50.04</v>
      </c>
      <c r="D20" s="3">
        <v>216.67</v>
      </c>
      <c r="E20" s="3">
        <f t="shared" ref="E20:E26" si="6">C20*$E$10</f>
        <v>1551.24</v>
      </c>
      <c r="F20" s="3">
        <f>SUMIF(DIARIO_2024!$E$7:$E$5146,PRESUPUESTO!B20,DIARIO_2024!$H$7:$H$5146)+SUMIF(DIARIO_2024!$E$7:$E$5146,PRESUPUESTO!B20,DIARIO_2024!$I$7:$I$5146)</f>
        <v>0</v>
      </c>
      <c r="G20" s="3">
        <f t="shared" ref="G20:G26" si="7">E20+F20</f>
        <v>1551.24</v>
      </c>
      <c r="H20" s="3">
        <v>2600</v>
      </c>
      <c r="I20" s="55">
        <v>45560</v>
      </c>
      <c r="J20" s="72" t="s">
        <v>243</v>
      </c>
    </row>
    <row r="21" spans="1:10" x14ac:dyDescent="0.2">
      <c r="A21" s="1"/>
      <c r="B21" s="1" t="s">
        <v>34</v>
      </c>
      <c r="C21" s="3">
        <v>300</v>
      </c>
      <c r="D21" s="3">
        <v>1300</v>
      </c>
      <c r="E21" s="3">
        <f t="shared" si="6"/>
        <v>9300</v>
      </c>
      <c r="F21" s="3">
        <f>SUMIF(DIARIO_2024!$E$7:$E$5146,PRESUPUESTO!B21,DIARIO_2024!$H$7:$H$5146)+SUMIF(DIARIO_2024!$E$7:$E$5146,PRESUPUESTO!B21,DIARIO_2024!$I$7:$I$5146)</f>
        <v>-2905</v>
      </c>
      <c r="G21" s="3">
        <f t="shared" si="7"/>
        <v>6395</v>
      </c>
      <c r="H21" s="3">
        <v>300</v>
      </c>
      <c r="I21" s="55">
        <v>45503</v>
      </c>
      <c r="J21" s="72" t="s">
        <v>31</v>
      </c>
    </row>
    <row r="22" spans="1:10" x14ac:dyDescent="0.2">
      <c r="A22" s="1"/>
      <c r="B22" s="1" t="s">
        <v>195</v>
      </c>
      <c r="C22" s="3">
        <v>10.58</v>
      </c>
      <c r="D22" s="3">
        <v>45.83</v>
      </c>
      <c r="E22" s="3">
        <f t="shared" si="6"/>
        <v>327.98</v>
      </c>
      <c r="F22" s="3">
        <f>SUMIF(DIARIO_2024!$E$7:$E$5146,PRESUPUESTO!B22,DIARIO_2024!$H$7:$H$5146)+SUMIF(DIARIO_2024!$E$7:$E$5146,PRESUPUESTO!B22,DIARIO_2024!$I$7:$I$5146)</f>
        <v>-555.79999999999995</v>
      </c>
      <c r="G22" s="3">
        <f t="shared" si="7"/>
        <v>-227.81999999999994</v>
      </c>
      <c r="H22" s="3">
        <v>550</v>
      </c>
      <c r="I22" s="55">
        <v>45575</v>
      </c>
      <c r="J22" s="72" t="s">
        <v>244</v>
      </c>
    </row>
    <row r="23" spans="1:10" x14ac:dyDescent="0.2">
      <c r="A23" s="1"/>
      <c r="B23" s="1" t="s">
        <v>67</v>
      </c>
      <c r="C23" s="3">
        <v>15.39</v>
      </c>
      <c r="D23" s="3">
        <v>66.66</v>
      </c>
      <c r="E23" s="3">
        <f t="shared" si="6"/>
        <v>477.09000000000003</v>
      </c>
      <c r="F23" s="3">
        <f>SUMIF(DIARIO_2024!$E$7:$E$5146,PRESUPUESTO!B23,DIARIO_2024!$H$7:$H$5146)+SUMIF(DIARIO_2024!$E$7:$E$5146,PRESUPUESTO!B23,DIARIO_2024!$I$7:$I$5146)</f>
        <v>-756</v>
      </c>
      <c r="G23" s="3">
        <f t="shared" si="7"/>
        <v>-278.90999999999997</v>
      </c>
      <c r="H23" s="3">
        <v>800</v>
      </c>
      <c r="I23" s="55">
        <v>45667</v>
      </c>
      <c r="J23" s="72" t="s">
        <v>245</v>
      </c>
    </row>
    <row r="24" spans="1:10" x14ac:dyDescent="0.2">
      <c r="A24" s="1"/>
      <c r="B24" s="1" t="s">
        <v>107</v>
      </c>
      <c r="C24" s="3">
        <v>61.59</v>
      </c>
      <c r="D24" s="3">
        <v>266.66000000000003</v>
      </c>
      <c r="E24" s="3">
        <f t="shared" si="6"/>
        <v>1909.2900000000002</v>
      </c>
      <c r="F24" s="3">
        <f>SUMIF(DIARIO_2024!$E$7:$E$5146,PRESUPUESTO!B24,DIARIO_2024!$H$7:$H$5146)+SUMIF(DIARIO_2024!$E$7:$E$5146,PRESUPUESTO!B24,DIARIO_2024!$I$7:$I$5146)</f>
        <v>-6455</v>
      </c>
      <c r="G24" s="3">
        <f t="shared" si="7"/>
        <v>-4545.71</v>
      </c>
      <c r="H24" s="3"/>
      <c r="I24" s="55"/>
      <c r="J24" s="72"/>
    </row>
    <row r="25" spans="1:10" x14ac:dyDescent="0.2">
      <c r="A25" s="1"/>
      <c r="B25" s="1" t="s">
        <v>36</v>
      </c>
      <c r="C25" s="3">
        <v>121.71</v>
      </c>
      <c r="D25" s="3">
        <v>3700</v>
      </c>
      <c r="E25" s="3">
        <f t="shared" si="6"/>
        <v>3773.0099999999998</v>
      </c>
      <c r="F25" s="3">
        <f>SUMIF(DIARIO_2024!$E$7:$E$5146,PRESUPUESTO!B25,DIARIO_2024!$H$7:$H$5146)+SUMIF(DIARIO_2024!$E$7:$E$5146,PRESUPUESTO!B25,DIARIO_2024!$I$7:$I$5146)</f>
        <v>-157465.69</v>
      </c>
      <c r="G25" s="3">
        <f t="shared" si="7"/>
        <v>-153692.68</v>
      </c>
      <c r="H25" s="3">
        <v>0</v>
      </c>
      <c r="I25" s="81">
        <v>45657</v>
      </c>
      <c r="J25" s="72"/>
    </row>
    <row r="26" spans="1:10" x14ac:dyDescent="0.2">
      <c r="A26" s="1"/>
      <c r="B26" s="1" t="s">
        <v>205</v>
      </c>
      <c r="C26" s="3">
        <v>134.72</v>
      </c>
      <c r="D26" s="3">
        <v>583.33000000000004</v>
      </c>
      <c r="E26" s="3">
        <f t="shared" si="6"/>
        <v>4176.32</v>
      </c>
      <c r="F26" s="3">
        <f>SUMIF(DIARIO_2024!$E$7:$E$5146,PRESUPUESTO!B26,DIARIO_2024!$H$7:$H$5146)+SUMIF(DIARIO_2024!$E$7:$E$5146,PRESUPUESTO!B26,DIARIO_2024!$I$7:$I$5146)</f>
        <v>0</v>
      </c>
      <c r="G26" s="3">
        <f t="shared" si="7"/>
        <v>4176.32</v>
      </c>
      <c r="H26" s="3">
        <v>600</v>
      </c>
      <c r="I26" s="55">
        <v>45627</v>
      </c>
      <c r="J26" s="287" t="s">
        <v>709</v>
      </c>
    </row>
    <row r="27" spans="1:10" x14ac:dyDescent="0.2">
      <c r="A27" s="1"/>
      <c r="B27" s="77"/>
      <c r="C27" s="78"/>
      <c r="D27" s="78"/>
      <c r="E27" s="78"/>
      <c r="F27" s="78"/>
      <c r="G27" s="78"/>
      <c r="H27" s="78"/>
      <c r="I27" s="79"/>
      <c r="J27" s="80"/>
    </row>
    <row r="28" spans="1:10" ht="15.75" x14ac:dyDescent="0.2">
      <c r="A28" s="1"/>
      <c r="B28" s="1"/>
      <c r="C28" s="3"/>
      <c r="D28" s="3"/>
      <c r="E28" s="66"/>
      <c r="F28" s="3"/>
      <c r="G28" s="3"/>
      <c r="H28" s="3"/>
      <c r="I28" s="55"/>
      <c r="J28" s="67"/>
    </row>
    <row r="29" spans="1:10" ht="15.75" x14ac:dyDescent="0.25">
      <c r="A29" s="1"/>
      <c r="B29" s="68" t="s">
        <v>185</v>
      </c>
      <c r="C29" s="69">
        <f t="shared" ref="C29:F29" si="8">SUM(C30:C31)</f>
        <v>300</v>
      </c>
      <c r="D29" s="69">
        <f t="shared" si="8"/>
        <v>1299</v>
      </c>
      <c r="E29" s="69">
        <f t="shared" si="8"/>
        <v>9300</v>
      </c>
      <c r="F29" s="69">
        <f t="shared" si="8"/>
        <v>-1179</v>
      </c>
      <c r="G29" s="69">
        <f>SUM(G30:G31)</f>
        <v>300</v>
      </c>
      <c r="H29" s="69"/>
      <c r="I29" s="70"/>
      <c r="J29" s="71"/>
    </row>
    <row r="30" spans="1:10" x14ac:dyDescent="0.2">
      <c r="A30" s="1"/>
      <c r="B30" s="1" t="s">
        <v>188</v>
      </c>
      <c r="C30" s="3">
        <v>150</v>
      </c>
      <c r="D30" s="3">
        <v>649.5</v>
      </c>
      <c r="E30" s="3">
        <f t="shared" ref="E30:E31" si="9">C30*$E$10</f>
        <v>4650</v>
      </c>
      <c r="F30" s="3">
        <f>SUMIF(DIARIO_2024!$E$7:$E$5146,PRESUPUESTO!B30,DIARIO_2024!$H$7:$H$5146)+SUMIF(DIARIO_2024!$E$7:$E$5146,PRESUPUESTO!B30,DIARIO_2024!$I$7:$I$5146)</f>
        <v>-179</v>
      </c>
      <c r="G30" s="3">
        <v>150</v>
      </c>
      <c r="H30" s="3"/>
      <c r="I30" s="55"/>
      <c r="J30" s="72" t="s">
        <v>31</v>
      </c>
    </row>
    <row r="31" spans="1:10" x14ac:dyDescent="0.2">
      <c r="A31" s="1"/>
      <c r="B31" s="73" t="s">
        <v>192</v>
      </c>
      <c r="C31" s="74">
        <v>150</v>
      </c>
      <c r="D31" s="74">
        <v>649.5</v>
      </c>
      <c r="E31" s="74">
        <f t="shared" si="9"/>
        <v>4650</v>
      </c>
      <c r="F31" s="74">
        <f>SUMIF(DIARIO_2024!$E$7:$E$5146,PRESUPUESTO!B31,DIARIO_2024!$H$7:$H$5146)+SUMIF(DIARIO_2024!$E$7:$E$5146,PRESUPUESTO!B31,DIARIO_2024!$I$7:$I$5146)</f>
        <v>-1000</v>
      </c>
      <c r="G31" s="74">
        <v>150</v>
      </c>
      <c r="H31" s="74"/>
      <c r="I31" s="75"/>
      <c r="J31" s="76" t="s">
        <v>31</v>
      </c>
    </row>
    <row r="32" spans="1:10" x14ac:dyDescent="0.2">
      <c r="A32" s="1"/>
      <c r="B32" s="77"/>
      <c r="C32" s="78"/>
      <c r="D32" s="78"/>
      <c r="E32" s="78"/>
      <c r="F32" s="78"/>
      <c r="G32" s="78"/>
      <c r="H32" s="78"/>
      <c r="I32" s="79"/>
      <c r="J32" s="80"/>
    </row>
    <row r="33" spans="1:10" ht="15.75" x14ac:dyDescent="0.2">
      <c r="A33" s="1"/>
      <c r="B33" s="1"/>
      <c r="C33" s="3"/>
      <c r="D33" s="3"/>
      <c r="E33" s="66"/>
      <c r="F33" s="3"/>
      <c r="G33" s="3"/>
      <c r="H33" s="3"/>
      <c r="I33" s="55"/>
      <c r="J33" s="67"/>
    </row>
    <row r="34" spans="1:10" ht="15.75" x14ac:dyDescent="0.25">
      <c r="A34" s="1"/>
      <c r="B34" s="68" t="s">
        <v>126</v>
      </c>
      <c r="C34" s="69">
        <f t="shared" ref="C34:G34" si="10">SUM(C35:C38)</f>
        <v>650</v>
      </c>
      <c r="D34" s="69">
        <f t="shared" si="10"/>
        <v>2814.5</v>
      </c>
      <c r="E34" s="69">
        <f t="shared" si="10"/>
        <v>20150</v>
      </c>
      <c r="F34" s="69">
        <f t="shared" si="10"/>
        <v>-2074</v>
      </c>
      <c r="G34" s="69">
        <f t="shared" si="10"/>
        <v>18076</v>
      </c>
      <c r="H34" s="69"/>
      <c r="I34" s="70"/>
      <c r="J34" s="71"/>
    </row>
    <row r="35" spans="1:10" x14ac:dyDescent="0.2">
      <c r="A35" s="1"/>
      <c r="B35" s="1" t="s">
        <v>189</v>
      </c>
      <c r="C35" s="3">
        <v>100</v>
      </c>
      <c r="D35" s="3">
        <v>433</v>
      </c>
      <c r="E35" s="3">
        <f t="shared" ref="E35:E38" si="11">C35*$E$10</f>
        <v>3100</v>
      </c>
      <c r="F35" s="3">
        <f>SUMIF(DIARIO_2024!$E$7:$E$5146,PRESUPUESTO!B35,DIARIO_2024!$H$7:$H$5146)+SUMIF(DIARIO_2024!$E$7:$E$5146,PRESUPUESTO!B35,DIARIO_2024!$I$7:$I$5146)</f>
        <v>0</v>
      </c>
      <c r="G35" s="3">
        <f t="shared" ref="G35:G38" si="12">E35+F35</f>
        <v>3100</v>
      </c>
      <c r="H35" s="3"/>
      <c r="I35" s="55"/>
      <c r="J35" s="72" t="s">
        <v>31</v>
      </c>
    </row>
    <row r="36" spans="1:10" x14ac:dyDescent="0.2">
      <c r="A36" s="1"/>
      <c r="B36" s="1" t="s">
        <v>127</v>
      </c>
      <c r="C36" s="3">
        <v>250</v>
      </c>
      <c r="D36" s="3">
        <v>1082.5</v>
      </c>
      <c r="E36" s="3">
        <f t="shared" si="11"/>
        <v>7750</v>
      </c>
      <c r="F36" s="3">
        <f>SUMIF(DIARIO_2024!$E$7:$E$5146,PRESUPUESTO!B36,DIARIO_2024!$H$7:$H$5146)+SUMIF(DIARIO_2024!$E$7:$E$5146,PRESUPUESTO!B36,DIARIO_2024!$I$7:$I$5146)</f>
        <v>0</v>
      </c>
      <c r="G36" s="3">
        <f t="shared" si="12"/>
        <v>7750</v>
      </c>
      <c r="H36" s="3"/>
      <c r="I36" s="55"/>
      <c r="J36" s="72" t="s">
        <v>31</v>
      </c>
    </row>
    <row r="37" spans="1:10" x14ac:dyDescent="0.2">
      <c r="A37" s="1"/>
      <c r="B37" s="1" t="s">
        <v>196</v>
      </c>
      <c r="C37" s="3">
        <v>250</v>
      </c>
      <c r="D37" s="3">
        <v>1082.5</v>
      </c>
      <c r="E37" s="3">
        <f t="shared" si="11"/>
        <v>7750</v>
      </c>
      <c r="F37" s="3">
        <f>SUMIF(DIARIO_2024!$E$7:$E$5146,PRESUPUESTO!B37,DIARIO_2024!$H$7:$H$5146)+SUMIF(DIARIO_2024!$E$7:$E$5146,PRESUPUESTO!B37,DIARIO_2024!$I$7:$I$5146)</f>
        <v>-2074</v>
      </c>
      <c r="G37" s="3">
        <f t="shared" si="12"/>
        <v>5676</v>
      </c>
      <c r="H37" s="3"/>
      <c r="I37" s="55"/>
      <c r="J37" s="72" t="s">
        <v>31</v>
      </c>
    </row>
    <row r="38" spans="1:10" x14ac:dyDescent="0.2">
      <c r="A38" s="1"/>
      <c r="B38" s="73" t="s">
        <v>200</v>
      </c>
      <c r="C38" s="74">
        <v>50</v>
      </c>
      <c r="D38" s="74">
        <v>216.5</v>
      </c>
      <c r="E38" s="74">
        <f t="shared" si="11"/>
        <v>1550</v>
      </c>
      <c r="F38" s="74">
        <f>SUMIF(DIARIO_2024!$E$7:$E$5146,PRESUPUESTO!B38,DIARIO_2024!$H$7:$H$5146)+SUMIF(DIARIO_2024!$E$7:$E$5146,PRESUPUESTO!B38,DIARIO_2024!$I$7:$I$5146)</f>
        <v>0</v>
      </c>
      <c r="G38" s="74">
        <f t="shared" si="12"/>
        <v>1550</v>
      </c>
      <c r="H38" s="74"/>
      <c r="I38" s="75"/>
      <c r="J38" s="76" t="s">
        <v>31</v>
      </c>
    </row>
    <row r="39" spans="1:10" x14ac:dyDescent="0.2">
      <c r="A39" s="1"/>
      <c r="B39" s="77"/>
      <c r="C39" s="78"/>
      <c r="D39" s="78"/>
      <c r="E39" s="78"/>
      <c r="F39" s="78"/>
      <c r="G39" s="78"/>
      <c r="H39" s="78"/>
      <c r="I39" s="79"/>
      <c r="J39" s="80"/>
    </row>
    <row r="40" spans="1:10" ht="15.75" x14ac:dyDescent="0.2">
      <c r="A40" s="1"/>
      <c r="B40" s="1"/>
      <c r="C40" s="3"/>
      <c r="D40" s="3"/>
      <c r="E40" s="66"/>
      <c r="F40" s="3"/>
      <c r="G40" s="3"/>
      <c r="H40" s="3"/>
      <c r="I40" s="55"/>
      <c r="J40" s="67"/>
    </row>
    <row r="41" spans="1:10" ht="15.75" x14ac:dyDescent="0.25">
      <c r="A41" s="1"/>
      <c r="B41" s="68" t="s">
        <v>148</v>
      </c>
      <c r="C41" s="69">
        <f t="shared" ref="C41:G41" si="13">SUM(C42:C47)</f>
        <v>278</v>
      </c>
      <c r="D41" s="69">
        <f t="shared" si="13"/>
        <v>1003.8600000000001</v>
      </c>
      <c r="E41" s="69">
        <f t="shared" si="13"/>
        <v>8618</v>
      </c>
      <c r="F41" s="69">
        <f t="shared" si="13"/>
        <v>-1533</v>
      </c>
      <c r="G41" s="69">
        <f t="shared" si="13"/>
        <v>7085</v>
      </c>
      <c r="H41" s="69"/>
      <c r="I41" s="70"/>
      <c r="J41" s="71"/>
    </row>
    <row r="42" spans="1:10" x14ac:dyDescent="0.2">
      <c r="A42" s="1"/>
      <c r="B42" s="1" t="s">
        <v>190</v>
      </c>
      <c r="C42" s="3">
        <v>25</v>
      </c>
      <c r="D42" s="3">
        <v>91.26</v>
      </c>
      <c r="E42" s="3">
        <f t="shared" ref="E42:E47" si="14">C42*$E$10</f>
        <v>775</v>
      </c>
      <c r="F42" s="3">
        <f>SUMIF(DIARIO_2024!$E$7:$E$5146,PRESUPUESTO!B42,DIARIO_2024!$H$7:$H$5146)+SUMIF(DIARIO_2024!$E$7:$E$5146,PRESUPUESTO!B42,DIARIO_2024!$I$7:$I$5146)</f>
        <v>-70</v>
      </c>
      <c r="G42" s="3">
        <f t="shared" ref="G42:G47" si="15">E42+F42</f>
        <v>705</v>
      </c>
      <c r="H42" s="3"/>
      <c r="I42" s="55"/>
      <c r="J42" s="72"/>
    </row>
    <row r="43" spans="1:10" x14ac:dyDescent="0.2">
      <c r="A43" s="1"/>
      <c r="B43" s="1" t="s">
        <v>193</v>
      </c>
      <c r="C43" s="3">
        <v>42</v>
      </c>
      <c r="D43" s="3">
        <v>152.10000000000002</v>
      </c>
      <c r="E43" s="3">
        <f t="shared" si="14"/>
        <v>1302</v>
      </c>
      <c r="F43" s="3">
        <f>SUMIF(DIARIO_2024!$E$7:$E$5146,PRESUPUESTO!B43,DIARIO_2024!$H$7:$H$5146)+SUMIF(DIARIO_2024!$E$7:$E$5146,PRESUPUESTO!B43,DIARIO_2024!$I$7:$I$5146)</f>
        <v>0</v>
      </c>
      <c r="G43" s="3">
        <f t="shared" si="15"/>
        <v>1302</v>
      </c>
      <c r="H43" s="3"/>
      <c r="I43" s="55"/>
      <c r="J43" s="72"/>
    </row>
    <row r="44" spans="1:10" x14ac:dyDescent="0.2">
      <c r="A44" s="1"/>
      <c r="B44" s="1" t="s">
        <v>197</v>
      </c>
      <c r="C44" s="3">
        <v>42</v>
      </c>
      <c r="D44" s="3">
        <v>152.10000000000002</v>
      </c>
      <c r="E44" s="3">
        <f t="shared" si="14"/>
        <v>1302</v>
      </c>
      <c r="F44" s="3">
        <f>SUMIF(DIARIO_2024!$E$7:$E$5146,PRESUPUESTO!B44,DIARIO_2024!$H$7:$H$5146)+SUMIF(DIARIO_2024!$E$7:$E$5146,PRESUPUESTO!B44,DIARIO_2024!$I$7:$I$5146)</f>
        <v>0</v>
      </c>
      <c r="G44" s="3">
        <f t="shared" si="15"/>
        <v>1302</v>
      </c>
      <c r="H44" s="3"/>
      <c r="I44" s="55"/>
      <c r="J44" s="72"/>
    </row>
    <row r="45" spans="1:10" x14ac:dyDescent="0.2">
      <c r="A45" s="1"/>
      <c r="B45" s="1" t="s">
        <v>149</v>
      </c>
      <c r="C45" s="3">
        <v>85</v>
      </c>
      <c r="D45" s="3">
        <v>304.20000000000005</v>
      </c>
      <c r="E45" s="3">
        <f t="shared" si="14"/>
        <v>2635</v>
      </c>
      <c r="F45" s="3">
        <f>SUMIF(DIARIO_2024!$E$7:$E$5146,PRESUPUESTO!B45,DIARIO_2024!$H$7:$H$5146)+SUMIF(DIARIO_2024!$E$7:$E$5146,PRESUPUESTO!B45,DIARIO_2024!$I$7:$I$5146)</f>
        <v>-1463</v>
      </c>
      <c r="G45" s="3">
        <f t="shared" si="15"/>
        <v>1172</v>
      </c>
      <c r="H45" s="3"/>
      <c r="I45" s="55"/>
      <c r="J45" s="72"/>
    </row>
    <row r="46" spans="1:10" x14ac:dyDescent="0.2">
      <c r="A46" s="1"/>
      <c r="B46" s="1" t="s">
        <v>202</v>
      </c>
      <c r="C46" s="3">
        <v>42</v>
      </c>
      <c r="D46" s="3">
        <v>152.10000000000002</v>
      </c>
      <c r="E46" s="3">
        <f t="shared" si="14"/>
        <v>1302</v>
      </c>
      <c r="F46" s="3">
        <f>SUMIF(DIARIO_2024!$E$7:$E$5146,PRESUPUESTO!B46,DIARIO_2024!$H$7:$H$5146)+SUMIF(DIARIO_2024!$E$7:$E$5146,PRESUPUESTO!B46,DIARIO_2024!$I$7:$I$5146)</f>
        <v>0</v>
      </c>
      <c r="G46" s="3">
        <f t="shared" si="15"/>
        <v>1302</v>
      </c>
      <c r="H46" s="3"/>
      <c r="I46" s="55"/>
      <c r="J46" s="72"/>
    </row>
    <row r="47" spans="1:10" x14ac:dyDescent="0.2">
      <c r="A47" s="1"/>
      <c r="B47" s="73" t="s">
        <v>203</v>
      </c>
      <c r="C47" s="74">
        <v>42</v>
      </c>
      <c r="D47" s="74">
        <v>152.10000000000002</v>
      </c>
      <c r="E47" s="74">
        <f t="shared" si="14"/>
        <v>1302</v>
      </c>
      <c r="F47" s="74">
        <f>SUMIF(DIARIO_2024!$E$7:$E$5146,PRESUPUESTO!B47,DIARIO_2024!$H$7:$H$5146)+SUMIF(DIARIO_2024!$E$7:$E$5146,PRESUPUESTO!B47,DIARIO_2024!$I$7:$I$5146)</f>
        <v>0</v>
      </c>
      <c r="G47" s="74">
        <f t="shared" si="15"/>
        <v>1302</v>
      </c>
      <c r="H47" s="74"/>
      <c r="I47" s="75"/>
      <c r="J47" s="76"/>
    </row>
    <row r="48" spans="1:10" x14ac:dyDescent="0.2">
      <c r="A48" s="1"/>
      <c r="B48" s="77"/>
      <c r="C48" s="78"/>
      <c r="D48" s="78"/>
      <c r="E48" s="78"/>
      <c r="F48" s="78"/>
      <c r="G48" s="78"/>
      <c r="H48" s="78"/>
      <c r="I48" s="79"/>
      <c r="J48" s="80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55"/>
      <c r="J49" s="72"/>
    </row>
    <row r="50" spans="1:10" ht="15.75" x14ac:dyDescent="0.25">
      <c r="A50" s="1"/>
      <c r="B50" s="68" t="s">
        <v>186</v>
      </c>
      <c r="C50" s="69">
        <f t="shared" ref="C50:G50" si="16">SUM(C51:C53)</f>
        <v>309.56</v>
      </c>
      <c r="D50" s="69">
        <f t="shared" si="16"/>
        <v>1340</v>
      </c>
      <c r="E50" s="69">
        <f t="shared" si="16"/>
        <v>9596.36</v>
      </c>
      <c r="F50" s="69">
        <f t="shared" si="16"/>
        <v>0</v>
      </c>
      <c r="G50" s="69">
        <f t="shared" si="16"/>
        <v>9596.36</v>
      </c>
      <c r="H50" s="69"/>
      <c r="I50" s="70"/>
      <c r="J50" s="71"/>
    </row>
    <row r="51" spans="1:10" x14ac:dyDescent="0.2">
      <c r="A51" s="1"/>
      <c r="B51" s="1" t="s">
        <v>191</v>
      </c>
      <c r="C51" s="3">
        <v>74</v>
      </c>
      <c r="D51" s="3">
        <v>320</v>
      </c>
      <c r="E51" s="3">
        <f t="shared" ref="E51:E53" si="17">C51*$E$10</f>
        <v>2294</v>
      </c>
      <c r="F51" s="3">
        <f>SUMIF(DIARIO_2024!$E$7:$E$5146,PRESUPUESTO!B51,DIARIO_2024!$H$7:$H$5146)+SUMIF(DIARIO_2024!$E$7:$E$5146,PRESUPUESTO!B51,DIARIO_2024!$I$7:$I$5146)</f>
        <v>0</v>
      </c>
      <c r="G51" s="3">
        <f t="shared" ref="G51:G53" si="18">E51+F51</f>
        <v>2294</v>
      </c>
      <c r="H51" s="3"/>
      <c r="I51" s="55"/>
      <c r="J51" s="72"/>
    </row>
    <row r="52" spans="1:10" x14ac:dyDescent="0.2">
      <c r="A52" s="1"/>
      <c r="B52" s="1" t="s">
        <v>194</v>
      </c>
      <c r="C52" s="3">
        <v>92.38</v>
      </c>
      <c r="D52" s="3">
        <v>400</v>
      </c>
      <c r="E52" s="3">
        <f t="shared" si="17"/>
        <v>2863.7799999999997</v>
      </c>
      <c r="F52" s="3">
        <f>SUMIF(DIARIO_2024!$E$7:$E$5146,PRESUPUESTO!B52,DIARIO_2024!$H$7:$H$5146)+SUMIF(DIARIO_2024!$E$7:$E$5146,PRESUPUESTO!B52,DIARIO_2024!$I$7:$I$5146)</f>
        <v>0</v>
      </c>
      <c r="G52" s="3">
        <f t="shared" si="18"/>
        <v>2863.7799999999997</v>
      </c>
      <c r="H52" s="3"/>
      <c r="I52" s="55"/>
      <c r="J52" s="72"/>
    </row>
    <row r="53" spans="1:10" x14ac:dyDescent="0.2">
      <c r="A53" s="1"/>
      <c r="B53" s="73" t="s">
        <v>198</v>
      </c>
      <c r="C53" s="74">
        <v>143.18</v>
      </c>
      <c r="D53" s="74">
        <v>620</v>
      </c>
      <c r="E53" s="74">
        <f t="shared" si="17"/>
        <v>4438.58</v>
      </c>
      <c r="F53" s="74">
        <f>SUMIF(DIARIO_2024!$E$7:$E$5146,PRESUPUESTO!B53,DIARIO_2024!$H$7:$H$5146)+SUMIF(DIARIO_2024!$E$7:$E$5146,PRESUPUESTO!B53,DIARIO_2024!$I$7:$I$5146)</f>
        <v>0</v>
      </c>
      <c r="G53" s="74">
        <f t="shared" si="18"/>
        <v>4438.58</v>
      </c>
      <c r="H53" s="74"/>
      <c r="I53" s="75"/>
      <c r="J53" s="76"/>
    </row>
    <row r="54" spans="1:10" x14ac:dyDescent="0.2">
      <c r="A54" s="1"/>
      <c r="B54" s="77"/>
      <c r="C54" s="78"/>
      <c r="D54" s="78"/>
      <c r="E54" s="78"/>
      <c r="F54" s="78"/>
      <c r="G54" s="78"/>
      <c r="H54" s="78"/>
      <c r="I54" s="79"/>
      <c r="J54" s="80"/>
    </row>
    <row r="55" spans="1:10" ht="15.75" x14ac:dyDescent="0.2">
      <c r="A55" s="1"/>
      <c r="B55" s="1"/>
      <c r="C55" s="3"/>
      <c r="D55" s="3"/>
      <c r="E55" s="66"/>
      <c r="F55" s="3"/>
      <c r="G55" s="3"/>
      <c r="H55" s="3"/>
      <c r="I55" s="55"/>
      <c r="J55" s="67"/>
    </row>
    <row r="56" spans="1:10" ht="15.75" x14ac:dyDescent="0.25">
      <c r="A56" s="1"/>
      <c r="B56" s="68" t="s">
        <v>26</v>
      </c>
      <c r="C56" s="69">
        <f t="shared" ref="C56:G56" si="19">SUM(C57:C58)</f>
        <v>650</v>
      </c>
      <c r="D56" s="69">
        <f t="shared" si="19"/>
        <v>2814.5</v>
      </c>
      <c r="E56" s="69">
        <f t="shared" si="19"/>
        <v>20150</v>
      </c>
      <c r="F56" s="69">
        <f t="shared" si="19"/>
        <v>-54683</v>
      </c>
      <c r="G56" s="69">
        <f t="shared" si="19"/>
        <v>-34533</v>
      </c>
      <c r="H56" s="69"/>
      <c r="I56" s="70"/>
      <c r="J56" s="71"/>
    </row>
    <row r="57" spans="1:10" x14ac:dyDescent="0.2">
      <c r="A57" s="1"/>
      <c r="B57" s="1" t="s">
        <v>29</v>
      </c>
      <c r="C57" s="3">
        <v>325</v>
      </c>
      <c r="D57" s="3">
        <v>1407.25</v>
      </c>
      <c r="E57" s="3">
        <f t="shared" ref="E57:E58" si="20">C57*$E$10</f>
        <v>10075</v>
      </c>
      <c r="F57" s="3">
        <f>SUMIF(DIARIO_2024!$E$7:$E$5146,PRESUPUESTO!B57,DIARIO_2024!$H$7:$H$5146)+SUMIF(DIARIO_2024!$E$7:$E$5146,PRESUPUESTO!B57,DIARIO_2024!$I$7:$I$5146)</f>
        <v>-46704</v>
      </c>
      <c r="G57" s="82">
        <f>E57+F57</f>
        <v>-36629</v>
      </c>
      <c r="H57" s="3">
        <v>325</v>
      </c>
      <c r="I57" s="81">
        <v>45530</v>
      </c>
      <c r="J57" s="72" t="s">
        <v>31</v>
      </c>
    </row>
    <row r="58" spans="1:10" x14ac:dyDescent="0.2">
      <c r="A58" s="1"/>
      <c r="B58" s="73" t="s">
        <v>27</v>
      </c>
      <c r="C58" s="74">
        <v>325</v>
      </c>
      <c r="D58" s="74">
        <v>1407.25</v>
      </c>
      <c r="E58" s="74">
        <f t="shared" si="20"/>
        <v>10075</v>
      </c>
      <c r="F58" s="74">
        <f>SUMIF(DIARIO_2024!$E$7:$E$5146,PRESUPUESTO!B58,DIARIO_2024!$H$7:$H$5146)+SUMIF(DIARIO_2024!$E$7:$E$5146,PRESUPUESTO!B58,DIARIO_2024!$I$7:$I$5146)</f>
        <v>-7979</v>
      </c>
      <c r="G58" s="74">
        <f>E58+F58</f>
        <v>2096</v>
      </c>
      <c r="H58" s="74">
        <v>325</v>
      </c>
      <c r="I58" s="83">
        <v>45502</v>
      </c>
      <c r="J58" s="76" t="s">
        <v>31</v>
      </c>
    </row>
    <row r="59" spans="1:10" x14ac:dyDescent="0.2">
      <c r="A59" s="1"/>
      <c r="B59" s="77"/>
      <c r="C59" s="78"/>
      <c r="D59" s="78"/>
      <c r="E59" s="78"/>
      <c r="F59" s="78"/>
      <c r="G59" s="78"/>
      <c r="H59" s="78"/>
      <c r="I59" s="79"/>
      <c r="J59" s="80"/>
    </row>
    <row r="60" spans="1:10" ht="15.75" x14ac:dyDescent="0.2">
      <c r="A60" s="1"/>
      <c r="B60" s="1"/>
      <c r="C60" s="3"/>
      <c r="D60" s="3"/>
      <c r="E60" s="66"/>
      <c r="F60" s="3"/>
      <c r="G60" s="3"/>
      <c r="H60" s="3"/>
      <c r="I60" s="55"/>
      <c r="J60" s="67"/>
    </row>
    <row r="61" spans="1:10" ht="15.75" x14ac:dyDescent="0.25">
      <c r="A61" s="1"/>
      <c r="B61" s="68" t="s">
        <v>31</v>
      </c>
      <c r="C61" s="69">
        <f t="shared" ref="C61:G61" si="21">SUM(C62:C64)</f>
        <v>4080</v>
      </c>
      <c r="D61" s="69">
        <f t="shared" si="21"/>
        <v>17666.400000000001</v>
      </c>
      <c r="E61" s="69">
        <f t="shared" si="21"/>
        <v>126480</v>
      </c>
      <c r="F61" s="69">
        <f t="shared" si="21"/>
        <v>-108165.5</v>
      </c>
      <c r="G61" s="69">
        <f t="shared" si="21"/>
        <v>18314.5</v>
      </c>
      <c r="H61" s="69"/>
      <c r="I61" s="70"/>
      <c r="J61" s="71"/>
    </row>
    <row r="62" spans="1:10" x14ac:dyDescent="0.2">
      <c r="A62" s="1"/>
      <c r="B62" s="1" t="s">
        <v>32</v>
      </c>
      <c r="C62" s="3">
        <v>2500</v>
      </c>
      <c r="D62" s="3">
        <v>10825</v>
      </c>
      <c r="E62" s="3">
        <f t="shared" ref="E62:E64" si="22">C62*$E$10</f>
        <v>77500</v>
      </c>
      <c r="F62" s="3">
        <f>SUMIF(DIARIO_2024!$E$7:$E$5146,PRESUPUESTO!B62,DIARIO_2024!$H$7:$H$5146)+SUMIF(DIARIO_2024!$E$7:$E$5146,PRESUPUESTO!B62,DIARIO_2024!$I$7:$I$5146)</f>
        <v>-77500</v>
      </c>
      <c r="G62" s="82">
        <f>E62+F62</f>
        <v>0</v>
      </c>
      <c r="H62" s="3">
        <v>2500</v>
      </c>
      <c r="I62" s="265">
        <v>45509</v>
      </c>
      <c r="J62" s="72" t="s">
        <v>246</v>
      </c>
    </row>
    <row r="63" spans="1:10" x14ac:dyDescent="0.2">
      <c r="A63" s="1"/>
      <c r="B63" s="1" t="s">
        <v>49</v>
      </c>
      <c r="C63" s="3">
        <v>400</v>
      </c>
      <c r="D63" s="3">
        <v>1732</v>
      </c>
      <c r="E63" s="3">
        <f t="shared" si="22"/>
        <v>12400</v>
      </c>
      <c r="F63" s="3">
        <f>SUMIF(DIARIO_2024!$E$7:$E$5146,PRESUPUESTO!B63,DIARIO_2024!$H$7:$H$5146)+SUMIF(DIARIO_2024!$E$7:$E$5146,PRESUPUESTO!B63,DIARIO_2024!$I$7:$I$5146)</f>
        <v>-7230.5</v>
      </c>
      <c r="G63" s="3">
        <f t="shared" ref="G63:G64" si="23">E63+F63</f>
        <v>5169.5</v>
      </c>
      <c r="H63" s="3">
        <v>400</v>
      </c>
      <c r="I63" s="81">
        <v>45502</v>
      </c>
      <c r="J63" s="72" t="s">
        <v>246</v>
      </c>
    </row>
    <row r="64" spans="1:10" x14ac:dyDescent="0.2">
      <c r="A64" s="1"/>
      <c r="B64" s="73" t="s">
        <v>56</v>
      </c>
      <c r="C64" s="74">
        <v>1180</v>
      </c>
      <c r="D64" s="74">
        <v>5109.3999999999996</v>
      </c>
      <c r="E64" s="74">
        <f t="shared" si="22"/>
        <v>36580</v>
      </c>
      <c r="F64" s="74">
        <f>SUMIF(DIARIO_2024!$E$7:$E$5146,PRESUPUESTO!B64,DIARIO_2024!$H$7:$H$5146)+SUMIF(DIARIO_2024!$E$7:$E$5146,PRESUPUESTO!B64,DIARIO_2024!$I$7:$I$5146)</f>
        <v>-23435</v>
      </c>
      <c r="G64" s="74">
        <f t="shared" si="23"/>
        <v>13145</v>
      </c>
      <c r="H64" s="74">
        <v>1180</v>
      </c>
      <c r="I64" s="75">
        <v>45500</v>
      </c>
      <c r="J64" s="76" t="s">
        <v>247</v>
      </c>
    </row>
    <row r="65" spans="1:10" x14ac:dyDescent="0.2">
      <c r="A65" s="1"/>
      <c r="B65" s="77"/>
      <c r="C65" s="78"/>
      <c r="D65" s="78"/>
      <c r="E65" s="78"/>
      <c r="F65" s="78"/>
      <c r="G65" s="78"/>
      <c r="H65" s="78"/>
      <c r="I65" s="79"/>
      <c r="J65" s="80"/>
    </row>
    <row r="66" spans="1:10" ht="15.75" x14ac:dyDescent="0.2">
      <c r="A66" s="1"/>
      <c r="B66" s="1"/>
      <c r="C66" s="3"/>
      <c r="D66" s="3"/>
      <c r="E66" s="66"/>
      <c r="F66" s="3"/>
      <c r="G66" s="3"/>
      <c r="H66" s="3"/>
      <c r="I66" s="55"/>
      <c r="J66" s="67"/>
    </row>
    <row r="67" spans="1:10" ht="15.75" x14ac:dyDescent="0.25">
      <c r="A67" s="1"/>
      <c r="B67" s="68" t="s">
        <v>43</v>
      </c>
      <c r="C67" s="69">
        <f t="shared" ref="C67:F67" si="24">SUM(C68:C86)</f>
        <v>1031.92</v>
      </c>
      <c r="D67" s="69">
        <f t="shared" si="24"/>
        <v>4797.8581599999998</v>
      </c>
      <c r="E67" s="69">
        <f t="shared" si="24"/>
        <v>31989.519999999997</v>
      </c>
      <c r="F67" s="69">
        <f t="shared" si="24"/>
        <v>-24475</v>
      </c>
      <c r="G67" s="69">
        <f>SUM(G68:G86)</f>
        <v>7514.5199999999995</v>
      </c>
      <c r="H67" s="69"/>
      <c r="I67" s="69"/>
      <c r="J67" s="71"/>
    </row>
    <row r="68" spans="1:10" x14ac:dyDescent="0.2">
      <c r="A68" s="1"/>
      <c r="B68" s="1" t="s">
        <v>86</v>
      </c>
      <c r="C68" s="3">
        <v>92.38</v>
      </c>
      <c r="D68" s="3">
        <v>400</v>
      </c>
      <c r="E68" s="3">
        <f t="shared" ref="E68:E69" si="25">C68*$E$10</f>
        <v>2863.7799999999997</v>
      </c>
      <c r="F68" s="3">
        <f>SUMIF(DIARIO_2024!$E$7:$E$5146,PRESUPUESTO!B68,DIARIO_2024!$H$7:$H$5146)+SUMIF(DIARIO_2024!$E$7:$E$5146,PRESUPUESTO!B68,DIARIO_2024!$I$7:$I$5146)</f>
        <v>-1995</v>
      </c>
      <c r="G68" s="84">
        <f>E68+F68</f>
        <v>868.77999999999975</v>
      </c>
      <c r="H68" s="3">
        <v>285</v>
      </c>
      <c r="I68" s="55">
        <v>45519</v>
      </c>
      <c r="J68" s="72" t="s">
        <v>248</v>
      </c>
    </row>
    <row r="69" spans="1:10" x14ac:dyDescent="0.2">
      <c r="A69" s="1"/>
      <c r="B69" s="1" t="s">
        <v>118</v>
      </c>
      <c r="C69" s="3">
        <v>69.28</v>
      </c>
      <c r="D69" s="3">
        <v>300</v>
      </c>
      <c r="E69" s="3">
        <f t="shared" si="25"/>
        <v>2147.6799999999998</v>
      </c>
      <c r="F69" s="3">
        <f>SUMIF(DIARIO_2024!$E$7:$E$5146,PRESUPUESTO!B69,DIARIO_2024!$H$7:$H$5146)+SUMIF(DIARIO_2024!$E$7:$E$5146,PRESUPUESTO!B69,DIARIO_2024!$I$7:$I$5146)</f>
        <v>-1025</v>
      </c>
      <c r="G69" s="3">
        <f t="shared" ref="G69:G83" si="26">E69+F69</f>
        <v>1122.6799999999998</v>
      </c>
      <c r="H69" s="3">
        <v>300</v>
      </c>
      <c r="I69" s="55">
        <v>45534</v>
      </c>
      <c r="J69" s="72" t="s">
        <v>249</v>
      </c>
    </row>
    <row r="70" spans="1:10" x14ac:dyDescent="0.2">
      <c r="A70" s="1"/>
      <c r="B70" s="1" t="s">
        <v>797</v>
      </c>
      <c r="C70" s="3">
        <v>69.28</v>
      </c>
      <c r="D70" s="3">
        <v>300</v>
      </c>
      <c r="E70" s="3">
        <f t="shared" ref="E70" si="27">C70*$E$10</f>
        <v>2147.6799999999998</v>
      </c>
      <c r="F70" s="3">
        <f>SUMIF(DIARIO_2024!$E$7:$E$5146,PRESUPUESTO!B70,DIARIO_2024!$H$7:$H$5146)+SUMIF(DIARIO_2024!$E$7:$E$5146,PRESUPUESTO!B70,DIARIO_2024!$I$7:$I$5146)</f>
        <v>0</v>
      </c>
      <c r="G70" s="3">
        <f t="shared" ref="G70" si="28">E70+F70</f>
        <v>2147.6799999999998</v>
      </c>
      <c r="H70" s="3">
        <v>300</v>
      </c>
      <c r="I70" s="55">
        <v>45503</v>
      </c>
      <c r="J70" s="72" t="s">
        <v>249</v>
      </c>
    </row>
    <row r="71" spans="1:10" x14ac:dyDescent="0.2">
      <c r="A71" s="1"/>
      <c r="B71" s="85" t="s">
        <v>199</v>
      </c>
      <c r="C71" s="86"/>
      <c r="D71" s="86"/>
      <c r="E71" s="86"/>
      <c r="F71" s="89">
        <f>SUMIF(DIARIO_2024!$E$7:$E$5146,PRESUPUESTO!B71,DIARIO_2024!$H$7:$H$5146)+SUMIF(DIARIO_2024!$E$7:$E$5146,PRESUPUESTO!B71,DIARIO_2024!$I$7:$I$5146)</f>
        <v>0</v>
      </c>
      <c r="G71" s="86">
        <f t="shared" si="26"/>
        <v>0</v>
      </c>
      <c r="H71" s="86"/>
      <c r="I71" s="86"/>
      <c r="J71" s="87" t="s">
        <v>250</v>
      </c>
    </row>
    <row r="72" spans="1:10" x14ac:dyDescent="0.2">
      <c r="A72" s="1"/>
      <c r="B72" s="1" t="s">
        <v>70</v>
      </c>
      <c r="C72" s="3">
        <v>69</v>
      </c>
      <c r="D72" s="3">
        <v>300</v>
      </c>
      <c r="E72" s="3">
        <f t="shared" ref="E72:E81" si="29">C72*$E$10</f>
        <v>2139</v>
      </c>
      <c r="F72" s="3">
        <f>SUMIF(DIARIO_2024!$E$7:$E$5146,PRESUPUESTO!B72,DIARIO_2024!$H$7:$H$5146)+SUMIF(DIARIO_2024!$E$7:$E$5146,PRESUPUESTO!B72,DIARIO_2024!$I$7:$I$5146)</f>
        <v>-3800</v>
      </c>
      <c r="G72" s="82">
        <f>E72+F72</f>
        <v>-1661</v>
      </c>
      <c r="H72" s="3">
        <v>300</v>
      </c>
      <c r="I72" s="55">
        <v>45518</v>
      </c>
      <c r="J72" s="72" t="s">
        <v>251</v>
      </c>
    </row>
    <row r="73" spans="1:10" x14ac:dyDescent="0.2">
      <c r="A73" s="1"/>
      <c r="B73" s="1" t="s">
        <v>51</v>
      </c>
      <c r="C73" s="3">
        <v>3.84</v>
      </c>
      <c r="D73" s="3">
        <v>16.66</v>
      </c>
      <c r="E73" s="3">
        <f t="shared" si="29"/>
        <v>119.03999999999999</v>
      </c>
      <c r="F73" s="3">
        <f>SUMIF(DIARIO_2024!$E$7:$E$5146,PRESUPUESTO!B73,DIARIO_2024!$H$7:$H$5146)+SUMIF(DIARIO_2024!$E$7:$E$5146,PRESUPUESTO!B73,DIARIO_2024!$I$7:$I$5146)</f>
        <v>-50</v>
      </c>
      <c r="G73" s="3">
        <f t="shared" si="26"/>
        <v>69.039999999999992</v>
      </c>
      <c r="H73" s="3">
        <v>200</v>
      </c>
      <c r="I73" s="55">
        <v>45667</v>
      </c>
      <c r="J73" s="72" t="s">
        <v>245</v>
      </c>
    </row>
    <row r="74" spans="1:10" x14ac:dyDescent="0.2">
      <c r="A74" s="1"/>
      <c r="B74" s="1" t="s">
        <v>204</v>
      </c>
      <c r="C74" s="3">
        <v>13.47</v>
      </c>
      <c r="D74" s="3">
        <v>58.33</v>
      </c>
      <c r="E74" s="3">
        <f t="shared" si="29"/>
        <v>417.57</v>
      </c>
      <c r="F74" s="3">
        <f>SUMIF(DIARIO_2024!$E$7:$E$5146,PRESUPUESTO!B74,DIARIO_2024!$H$7:$H$5146)+SUMIF(DIARIO_2024!$E$7:$E$5146,PRESUPUESTO!B74,DIARIO_2024!$I$7:$I$5146)</f>
        <v>0</v>
      </c>
      <c r="G74" s="3">
        <f t="shared" si="26"/>
        <v>417.57</v>
      </c>
      <c r="H74" s="3">
        <v>700</v>
      </c>
      <c r="I74" s="55">
        <v>45523</v>
      </c>
      <c r="J74" s="72" t="s">
        <v>252</v>
      </c>
    </row>
    <row r="75" spans="1:10" x14ac:dyDescent="0.2">
      <c r="A75" s="1"/>
      <c r="B75" s="88" t="s">
        <v>253</v>
      </c>
      <c r="C75" s="89"/>
      <c r="D75" s="89"/>
      <c r="E75" s="89">
        <f t="shared" si="29"/>
        <v>0</v>
      </c>
      <c r="F75" s="89">
        <f>SUMIF(DIARIO_2024!$E$7:$E$5146,PRESUPUESTO!B75,DIARIO_2024!$H$7:$H$5146)+SUMIF(DIARIO_2024!$E$7:$E$5146,PRESUPUESTO!B75,DIARIO_2024!$I$7:$I$5146)</f>
        <v>0</v>
      </c>
      <c r="G75" s="89">
        <f t="shared" si="26"/>
        <v>0</v>
      </c>
      <c r="H75" s="89"/>
      <c r="I75" s="90"/>
      <c r="J75" s="91" t="s">
        <v>254</v>
      </c>
    </row>
    <row r="76" spans="1:10" x14ac:dyDescent="0.2">
      <c r="A76" s="1"/>
      <c r="B76" s="1" t="s">
        <v>72</v>
      </c>
      <c r="C76" s="3">
        <v>30.94</v>
      </c>
      <c r="D76" s="3">
        <v>134</v>
      </c>
      <c r="E76" s="3">
        <f t="shared" si="29"/>
        <v>959.14</v>
      </c>
      <c r="F76" s="3">
        <f>SUMIF(DIARIO_2024!$E$7:$E$5146,PRESUPUESTO!B76,DIARIO_2024!$H$7:$H$5146)+SUMIF(DIARIO_2024!$E$7:$E$5146,PRESUPUESTO!B76,DIARIO_2024!$I$7:$I$5146)</f>
        <v>-939</v>
      </c>
      <c r="G76" s="3">
        <f t="shared" si="26"/>
        <v>20.139999999999986</v>
      </c>
      <c r="H76" s="3">
        <v>134</v>
      </c>
      <c r="I76" s="55">
        <v>45520</v>
      </c>
      <c r="J76" s="72" t="s">
        <v>251</v>
      </c>
    </row>
    <row r="77" spans="1:10" x14ac:dyDescent="0.2">
      <c r="A77" s="1"/>
      <c r="B77" s="1" t="s">
        <v>207</v>
      </c>
      <c r="C77" s="3">
        <v>4.8999999999999995</v>
      </c>
      <c r="D77" s="3">
        <v>21.294</v>
      </c>
      <c r="E77" s="3">
        <f t="shared" si="29"/>
        <v>151.89999999999998</v>
      </c>
      <c r="F77" s="3">
        <f>SUMIF(DIARIO_2024!$E$7:$E$5146,PRESUPUESTO!B77,DIARIO_2024!$H$7:$H$5146)+SUMIF(DIARIO_2024!$E$7:$E$5146,PRESUPUESTO!B77,DIARIO_2024!$I$7:$I$5146)</f>
        <v>0</v>
      </c>
      <c r="G77" s="3">
        <f t="shared" si="26"/>
        <v>151.89999999999998</v>
      </c>
      <c r="H77" s="3">
        <v>1100</v>
      </c>
      <c r="I77" s="55">
        <v>46454</v>
      </c>
      <c r="J77" s="72" t="s">
        <v>255</v>
      </c>
    </row>
    <row r="78" spans="1:10" x14ac:dyDescent="0.2">
      <c r="A78" s="1"/>
      <c r="B78" s="1" t="s">
        <v>209</v>
      </c>
      <c r="C78" s="3">
        <v>4.8999999999999995</v>
      </c>
      <c r="D78" s="3">
        <v>21.294</v>
      </c>
      <c r="E78" s="3">
        <f t="shared" si="29"/>
        <v>151.89999999999998</v>
      </c>
      <c r="F78" s="3">
        <f>SUMIF(DIARIO_2024!$E$7:$E$5146,PRESUPUESTO!B78,DIARIO_2024!$H$7:$H$5146)+SUMIF(DIARIO_2024!$E$7:$E$5146,PRESUPUESTO!B78,DIARIO_2024!$I$7:$I$5146)</f>
        <v>0</v>
      </c>
      <c r="G78" s="3">
        <f t="shared" si="26"/>
        <v>151.89999999999998</v>
      </c>
      <c r="H78" s="3">
        <v>1100</v>
      </c>
      <c r="I78" s="301">
        <v>45565</v>
      </c>
      <c r="J78" s="72" t="s">
        <v>256</v>
      </c>
    </row>
    <row r="79" spans="1:10" x14ac:dyDescent="0.2">
      <c r="A79" s="1"/>
      <c r="B79" s="1" t="s">
        <v>53</v>
      </c>
      <c r="C79" s="3">
        <v>17.290000000000003</v>
      </c>
      <c r="D79" s="3">
        <v>75.137400000000014</v>
      </c>
      <c r="E79" s="3">
        <f t="shared" si="29"/>
        <v>535.99000000000012</v>
      </c>
      <c r="F79" s="3">
        <f>SUMIF(DIARIO_2024!$E$7:$E$5146,PRESUPUESTO!B79,DIARIO_2024!$H$7:$H$5146)+SUMIF(DIARIO_2024!$E$7:$E$5146,PRESUPUESTO!B79,DIARIO_2024!$I$7:$I$5146)</f>
        <v>-875</v>
      </c>
      <c r="G79" s="3">
        <f t="shared" si="26"/>
        <v>-339.00999999999988</v>
      </c>
      <c r="H79" s="3">
        <v>910</v>
      </c>
      <c r="I79" s="55">
        <v>45667</v>
      </c>
      <c r="J79" s="72" t="s">
        <v>245</v>
      </c>
    </row>
    <row r="80" spans="1:10" x14ac:dyDescent="0.2">
      <c r="A80" s="1"/>
      <c r="B80" s="1" t="s">
        <v>55</v>
      </c>
      <c r="C80" s="3">
        <v>17.290000000000003</v>
      </c>
      <c r="D80" s="3">
        <v>75.137400000000014</v>
      </c>
      <c r="E80" s="3">
        <f t="shared" si="29"/>
        <v>535.99000000000012</v>
      </c>
      <c r="F80" s="3">
        <f>SUMIF(DIARIO_2024!$E$7:$E$5146,PRESUPUESTO!B80,DIARIO_2024!$H$7:$H$5146)+SUMIF(DIARIO_2024!$E$7:$E$5146,PRESUPUESTO!B80,DIARIO_2024!$I$7:$I$5146)</f>
        <v>-875</v>
      </c>
      <c r="G80" s="3">
        <f t="shared" si="26"/>
        <v>-339.00999999999988</v>
      </c>
      <c r="H80" s="3">
        <v>910</v>
      </c>
      <c r="I80" s="55">
        <v>45667</v>
      </c>
      <c r="J80" s="72" t="s">
        <v>245</v>
      </c>
    </row>
    <row r="81" spans="1:10" x14ac:dyDescent="0.2">
      <c r="A81" s="1"/>
      <c r="B81" s="1" t="s">
        <v>44</v>
      </c>
      <c r="C81" s="3">
        <v>56.58</v>
      </c>
      <c r="D81" s="3">
        <v>245.00268000000003</v>
      </c>
      <c r="E81" s="3">
        <f t="shared" si="29"/>
        <v>1753.98</v>
      </c>
      <c r="F81" s="3">
        <f>SUMIF(DIARIO_2024!$E$7:$E$5146,PRESUPUESTO!B81,DIARIO_2024!$H$7:$H$5146)+SUMIF(DIARIO_2024!$E$7:$E$5146,PRESUPUESTO!B81,DIARIO_2024!$I$7:$I$5146)</f>
        <v>-593</v>
      </c>
      <c r="G81" s="3">
        <f t="shared" si="26"/>
        <v>1160.98</v>
      </c>
      <c r="H81" s="3">
        <v>106</v>
      </c>
      <c r="I81" s="81">
        <v>45507</v>
      </c>
      <c r="J81" s="72" t="s">
        <v>248</v>
      </c>
    </row>
    <row r="82" spans="1:10" x14ac:dyDescent="0.2">
      <c r="A82" s="1"/>
      <c r="B82" s="1" t="s">
        <v>798</v>
      </c>
      <c r="C82" s="3">
        <v>56.58</v>
      </c>
      <c r="D82" s="3">
        <v>245.00268000000003</v>
      </c>
      <c r="E82" s="3">
        <f t="shared" ref="E82" si="30">C82*$E$10</f>
        <v>1753.98</v>
      </c>
      <c r="F82" s="3">
        <f>SUMIF(DIARIO_2024!$E$7:$E$5146,PRESUPUESTO!B82,DIARIO_2024!$H$7:$H$5146)+SUMIF(DIARIO_2024!$E$7:$E$5146,PRESUPUESTO!B82,DIARIO_2024!$I$7:$I$5146)</f>
        <v>0</v>
      </c>
      <c r="G82" s="3">
        <f t="shared" ref="G82" si="31">E82+F82</f>
        <v>1753.98</v>
      </c>
      <c r="H82" s="3">
        <v>106</v>
      </c>
      <c r="I82" s="81">
        <v>45507</v>
      </c>
      <c r="J82" s="72" t="s">
        <v>248</v>
      </c>
    </row>
    <row r="83" spans="1:10" x14ac:dyDescent="0.2">
      <c r="A83" s="1"/>
      <c r="B83" s="85" t="s">
        <v>211</v>
      </c>
      <c r="C83" s="86"/>
      <c r="D83" s="86"/>
      <c r="E83" s="86"/>
      <c r="F83" s="89">
        <f>SUMIF(DIARIO_2024!$E$7:$E$5146,PRESUPUESTO!B83,DIARIO_2024!$H$7:$H$5146)+SUMIF(DIARIO_2024!$E$7:$E$5146,PRESUPUESTO!B83,DIARIO_2024!$I$7:$I$5146)</f>
        <v>0</v>
      </c>
      <c r="G83" s="86">
        <f t="shared" si="26"/>
        <v>0</v>
      </c>
      <c r="H83" s="86"/>
      <c r="I83" s="86"/>
      <c r="J83" s="87" t="s">
        <v>250</v>
      </c>
    </row>
    <row r="84" spans="1:10" x14ac:dyDescent="0.2">
      <c r="A84" s="1"/>
      <c r="B84" s="1" t="s">
        <v>771</v>
      </c>
      <c r="C84" s="3">
        <v>89.83</v>
      </c>
      <c r="D84" s="3">
        <v>389</v>
      </c>
      <c r="E84" s="3">
        <f t="shared" ref="E84:E86" si="32">C84*$E$10</f>
        <v>2784.73</v>
      </c>
      <c r="F84" s="3">
        <f>SUMIF(DIARIO_2024!$E$7:$E$5146,PRESUPUESTO!B84,DIARIO_2024!$H$7:$H$5146)+SUMIF(DIARIO_2024!$E$7:$E$5146,PRESUPUESTO!B84,DIARIO_2024!$I$7:$I$5146)</f>
        <v>-2723</v>
      </c>
      <c r="G84" s="82">
        <f>E84+F84+K84</f>
        <v>61.730000000000018</v>
      </c>
      <c r="H84" s="3">
        <v>389</v>
      </c>
      <c r="I84" s="81">
        <v>45507</v>
      </c>
      <c r="J84" s="72" t="s">
        <v>257</v>
      </c>
    </row>
    <row r="85" spans="1:10" x14ac:dyDescent="0.2">
      <c r="A85" s="1"/>
      <c r="B85" s="1" t="s">
        <v>770</v>
      </c>
      <c r="C85" s="3">
        <v>70.84</v>
      </c>
      <c r="D85" s="3">
        <v>617</v>
      </c>
      <c r="E85" s="3">
        <f>C85*$E$10</f>
        <v>2196.04</v>
      </c>
      <c r="F85" s="3">
        <f>SUMIF(DIARIO_2024!$E$7:$E$5146,PRESUPUESTO!B85,DIARIO_2024!$H$7:$H$5146)+SUMIF(DIARIO_2024!$E$7:$E$5146,PRESUPUESTO!B85,DIARIO_2024!$I$7:$I$5146)</f>
        <v>-400</v>
      </c>
      <c r="G85" s="82">
        <f>E85+F85+K85</f>
        <v>1796.04</v>
      </c>
      <c r="H85" s="3">
        <v>617</v>
      </c>
      <c r="I85" s="81">
        <v>45507</v>
      </c>
      <c r="J85" s="287" t="s">
        <v>799</v>
      </c>
    </row>
    <row r="86" spans="1:10" x14ac:dyDescent="0.2">
      <c r="A86" s="1"/>
      <c r="B86" s="73" t="s">
        <v>73</v>
      </c>
      <c r="C86" s="74">
        <v>365.52</v>
      </c>
      <c r="D86" s="74">
        <v>1600</v>
      </c>
      <c r="E86" s="74">
        <f t="shared" si="32"/>
        <v>11331.119999999999</v>
      </c>
      <c r="F86" s="74">
        <f>SUMIF(DIARIO_2024!$E$7:$E$5146,PRESUPUESTO!B86,DIARIO_2024!$H$7:$H$5146)+SUMIF(DIARIO_2024!$E$7:$E$5146,PRESUPUESTO!B86,DIARIO_2024!$I$7:$I$5146)</f>
        <v>-11200</v>
      </c>
      <c r="G86" s="92">
        <f>E86+F86</f>
        <v>131.11999999999898</v>
      </c>
      <c r="H86" s="74">
        <v>1600</v>
      </c>
      <c r="I86" s="75">
        <v>45520</v>
      </c>
      <c r="J86" s="76" t="s">
        <v>251</v>
      </c>
    </row>
    <row r="87" spans="1:10" x14ac:dyDescent="0.2">
      <c r="A87" s="1"/>
      <c r="B87" s="77"/>
      <c r="C87" s="78"/>
      <c r="D87" s="78"/>
      <c r="E87" s="78"/>
      <c r="F87" s="78"/>
      <c r="G87" s="78"/>
      <c r="H87" s="78"/>
      <c r="I87" s="78"/>
      <c r="J87" s="80"/>
    </row>
    <row r="88" spans="1:10" ht="15.75" x14ac:dyDescent="0.2">
      <c r="A88" s="1"/>
      <c r="B88" s="1"/>
      <c r="C88" s="3"/>
      <c r="D88" s="3"/>
      <c r="E88" s="66"/>
      <c r="F88" s="3"/>
      <c r="G88" s="3"/>
      <c r="H88" s="3"/>
      <c r="I88" s="3"/>
      <c r="J88" s="67"/>
    </row>
    <row r="89" spans="1:10" ht="15.75" x14ac:dyDescent="0.25">
      <c r="A89" s="1"/>
      <c r="B89" s="68" t="s">
        <v>38</v>
      </c>
      <c r="C89" s="69">
        <f t="shared" ref="C89:F89" si="33">SUM(C90:C101)</f>
        <v>1381.0500000000002</v>
      </c>
      <c r="D89" s="69">
        <f t="shared" si="33"/>
        <v>6040.6799999999994</v>
      </c>
      <c r="E89" s="69">
        <f t="shared" si="33"/>
        <v>42812.55</v>
      </c>
      <c r="F89" s="69">
        <f t="shared" si="33"/>
        <v>-46270</v>
      </c>
      <c r="G89" s="69">
        <f>SUM(G90:G101)</f>
        <v>-3457.4500000000007</v>
      </c>
      <c r="H89" s="69"/>
      <c r="I89" s="69"/>
      <c r="J89" s="71"/>
    </row>
    <row r="90" spans="1:10" x14ac:dyDescent="0.2">
      <c r="A90" s="1"/>
      <c r="B90" s="1" t="s">
        <v>39</v>
      </c>
      <c r="C90" s="84">
        <v>62.28</v>
      </c>
      <c r="D90" s="84">
        <v>300</v>
      </c>
      <c r="E90" s="3">
        <f t="shared" ref="E90:E100" si="34">C90*$E$10</f>
        <v>1930.68</v>
      </c>
      <c r="F90" s="3">
        <f>SUMIF(DIARIO_2024!$E$7:$E$5146,PRESUPUESTO!B90,DIARIO_2024!$H$7:$H$5146)+SUMIF(DIARIO_2024!$E$7:$E$5146,PRESUPUESTO!B90,DIARIO_2024!$I$7:$I$5146)</f>
        <v>-1544</v>
      </c>
      <c r="G90" s="84">
        <f t="shared" ref="G90:G100" si="35">E90+F90</f>
        <v>386.68000000000006</v>
      </c>
      <c r="H90" s="84">
        <v>179</v>
      </c>
      <c r="I90" s="81">
        <v>45507</v>
      </c>
      <c r="J90" s="93" t="s">
        <v>248</v>
      </c>
    </row>
    <row r="91" spans="1:10" x14ac:dyDescent="0.2">
      <c r="A91" s="1"/>
      <c r="B91" s="1" t="s">
        <v>87</v>
      </c>
      <c r="C91" s="84">
        <v>166.05</v>
      </c>
      <c r="D91" s="84">
        <v>719</v>
      </c>
      <c r="E91" s="3">
        <f t="shared" si="34"/>
        <v>5147.55</v>
      </c>
      <c r="F91" s="3">
        <f>SUMIF(DIARIO_2024!$E$7:$E$5146,PRESUPUESTO!B91,DIARIO_2024!$H$7:$H$5146)+SUMIF(DIARIO_2024!$E$7:$E$5146,PRESUPUESTO!B91,DIARIO_2024!$I$7:$I$5146)</f>
        <v>-4975</v>
      </c>
      <c r="G91" s="84">
        <f>E91+F91+K91</f>
        <v>172.55000000000018</v>
      </c>
      <c r="H91" s="84">
        <v>720</v>
      </c>
      <c r="I91" s="55">
        <v>45520</v>
      </c>
      <c r="J91" s="286" t="s">
        <v>708</v>
      </c>
    </row>
    <row r="92" spans="1:10" x14ac:dyDescent="0.2">
      <c r="A92" s="1"/>
      <c r="B92" s="1" t="s">
        <v>83</v>
      </c>
      <c r="C92" s="84">
        <v>62.28</v>
      </c>
      <c r="D92" s="84">
        <v>300</v>
      </c>
      <c r="E92" s="3">
        <f t="shared" si="34"/>
        <v>1930.68</v>
      </c>
      <c r="F92" s="3">
        <f>SUMIF(DIARIO_2024!$E$7:$E$5146,PRESUPUESTO!B92,DIARIO_2024!$H$7:$H$5146)+SUMIF(DIARIO_2024!$E$7:$E$5146,PRESUPUESTO!B92,DIARIO_2024!$I$7:$I$5146)</f>
        <v>-1800</v>
      </c>
      <c r="G92" s="84">
        <f>E92+F92+K92</f>
        <v>130.68000000000006</v>
      </c>
      <c r="H92" s="84">
        <v>300</v>
      </c>
      <c r="I92" s="55">
        <v>45520</v>
      </c>
      <c r="J92" s="286" t="s">
        <v>708</v>
      </c>
    </row>
    <row r="93" spans="1:10" x14ac:dyDescent="0.2">
      <c r="A93" s="1"/>
      <c r="B93" s="1" t="s">
        <v>113</v>
      </c>
      <c r="C93" s="84">
        <v>92.38</v>
      </c>
      <c r="D93" s="84">
        <v>400</v>
      </c>
      <c r="E93" s="3">
        <f t="shared" si="34"/>
        <v>2863.7799999999997</v>
      </c>
      <c r="F93" s="3">
        <f>SUMIF(DIARIO_2024!$E$7:$E$5146,PRESUPUESTO!B93,DIARIO_2024!$H$7:$H$5146)+SUMIF(DIARIO_2024!$E$7:$E$5146,PRESUPUESTO!B93,DIARIO_2024!$I$7:$I$5146)</f>
        <v>-3066</v>
      </c>
      <c r="G93" s="84">
        <f t="shared" si="35"/>
        <v>-202.22000000000025</v>
      </c>
      <c r="H93" s="84">
        <v>800</v>
      </c>
      <c r="I93" s="55">
        <v>45560</v>
      </c>
      <c r="J93" s="72" t="s">
        <v>258</v>
      </c>
    </row>
    <row r="94" spans="1:10" x14ac:dyDescent="0.2">
      <c r="A94" s="1"/>
      <c r="B94" s="1" t="s">
        <v>208</v>
      </c>
      <c r="C94" s="84">
        <v>13.47</v>
      </c>
      <c r="D94" s="84">
        <v>58.33</v>
      </c>
      <c r="E94" s="3">
        <f t="shared" si="34"/>
        <v>417.57</v>
      </c>
      <c r="F94" s="3">
        <f>SUMIF(DIARIO_2024!$E$7:$E$5146,PRESUPUESTO!B94,DIARIO_2024!$H$7:$H$5146)+SUMIF(DIARIO_2024!$E$7:$E$5146,PRESUPUESTO!B94,DIARIO_2024!$I$7:$I$5146)</f>
        <v>0</v>
      </c>
      <c r="G94" s="84">
        <f t="shared" si="35"/>
        <v>417.57</v>
      </c>
      <c r="H94" s="84"/>
      <c r="I94" s="55"/>
      <c r="J94" s="72"/>
    </row>
    <row r="95" spans="1:10" x14ac:dyDescent="0.2">
      <c r="A95" s="1"/>
      <c r="B95" s="1" t="s">
        <v>102</v>
      </c>
      <c r="C95" s="84">
        <v>96.99</v>
      </c>
      <c r="D95" s="84">
        <v>420</v>
      </c>
      <c r="E95" s="3">
        <f t="shared" si="34"/>
        <v>3006.69</v>
      </c>
      <c r="F95" s="3">
        <f>SUMIF(DIARIO_2024!$E$7:$E$5146,PRESUPUESTO!B95,DIARIO_2024!$H$7:$H$5146)+SUMIF(DIARIO_2024!$E$7:$E$5146,PRESUPUESTO!B95,DIARIO_2024!$I$7:$I$5146)</f>
        <v>-4650</v>
      </c>
      <c r="G95" s="84">
        <f>E95+F95+K95</f>
        <v>-1643.31</v>
      </c>
      <c r="H95" s="84"/>
      <c r="I95" s="55"/>
      <c r="J95" s="72"/>
    </row>
    <row r="96" spans="1:10" x14ac:dyDescent="0.2">
      <c r="A96" s="1"/>
      <c r="B96" s="1" t="s">
        <v>96</v>
      </c>
      <c r="C96" s="84">
        <v>392.6</v>
      </c>
      <c r="D96" s="84">
        <v>1700</v>
      </c>
      <c r="E96" s="3">
        <f t="shared" si="34"/>
        <v>12170.6</v>
      </c>
      <c r="F96" s="3">
        <f>SUMIF(DIARIO_2024!$E$7:$E$5146,PRESUPUESTO!B96,DIARIO_2024!$H$7:$H$5146)+SUMIF(DIARIO_2024!$E$7:$E$5146,PRESUPUESTO!B96,DIARIO_2024!$I$7:$I$5146)</f>
        <v>-14320</v>
      </c>
      <c r="G96" s="84">
        <f>E96+F96+K96</f>
        <v>-2149.3999999999996</v>
      </c>
      <c r="H96" s="84">
        <v>1645</v>
      </c>
      <c r="I96" s="55"/>
      <c r="J96" s="72" t="s">
        <v>259</v>
      </c>
    </row>
    <row r="97" spans="1:10" x14ac:dyDescent="0.2">
      <c r="A97" s="1"/>
      <c r="B97" s="1" t="s">
        <v>146</v>
      </c>
      <c r="C97" s="84">
        <v>115</v>
      </c>
      <c r="D97" s="84">
        <v>497.95</v>
      </c>
      <c r="E97" s="3">
        <f t="shared" si="34"/>
        <v>3565</v>
      </c>
      <c r="F97" s="3">
        <f>SUMIF(DIARIO_2024!$E$7:$E$5146,PRESUPUESTO!B97,DIARIO_2024!$H$7:$H$5146)+SUMIF(DIARIO_2024!$E$7:$E$5146,PRESUPUESTO!B97,DIARIO_2024!$I$7:$I$5146)</f>
        <v>-3135</v>
      </c>
      <c r="G97" s="84">
        <f t="shared" ref="G97:G99" si="36">E97+F97+K97</f>
        <v>430</v>
      </c>
      <c r="H97" s="84"/>
      <c r="I97" s="55"/>
      <c r="J97" s="72"/>
    </row>
    <row r="98" spans="1:10" x14ac:dyDescent="0.2">
      <c r="A98" s="1"/>
      <c r="B98" s="1" t="s">
        <v>159</v>
      </c>
      <c r="C98" s="84">
        <v>115</v>
      </c>
      <c r="D98" s="84">
        <v>497.95</v>
      </c>
      <c r="E98" s="3">
        <f t="shared" si="34"/>
        <v>3565</v>
      </c>
      <c r="F98" s="3">
        <f>SUMIF(DIARIO_2024!$E$7:$E$5146,PRESUPUESTO!B98,DIARIO_2024!$H$7:$H$5146)+SUMIF(DIARIO_2024!$E$7:$E$5146,PRESUPUESTO!B98,DIARIO_2024!$I$7:$I$5146)</f>
        <v>-12050</v>
      </c>
      <c r="G98" s="84">
        <f t="shared" si="36"/>
        <v>-8485</v>
      </c>
      <c r="H98" s="84"/>
      <c r="I98" s="55"/>
      <c r="J98" s="72"/>
    </row>
    <row r="99" spans="1:10" x14ac:dyDescent="0.2">
      <c r="A99" s="1"/>
      <c r="B99" s="1" t="s">
        <v>206</v>
      </c>
      <c r="C99" s="84">
        <v>150</v>
      </c>
      <c r="D99" s="84">
        <v>649.5</v>
      </c>
      <c r="E99" s="3">
        <f t="shared" si="34"/>
        <v>4650</v>
      </c>
      <c r="F99" s="3">
        <f>SUMIF(DIARIO_2024!$E$7:$E$5146,PRESUPUESTO!B99,DIARIO_2024!$H$7:$H$5146)+SUMIF(DIARIO_2024!$E$7:$E$5146,PRESUPUESTO!B99,DIARIO_2024!$I$7:$I$5146)</f>
        <v>-230</v>
      </c>
      <c r="G99" s="84">
        <f t="shared" si="36"/>
        <v>4420</v>
      </c>
      <c r="H99" s="84"/>
      <c r="I99" s="55"/>
      <c r="J99" s="72"/>
    </row>
    <row r="100" spans="1:10" x14ac:dyDescent="0.2">
      <c r="A100" s="1"/>
      <c r="B100" s="1" t="s">
        <v>210</v>
      </c>
      <c r="C100" s="84">
        <v>115</v>
      </c>
      <c r="D100" s="84">
        <v>497.95</v>
      </c>
      <c r="E100" s="3">
        <f t="shared" si="34"/>
        <v>3565</v>
      </c>
      <c r="F100" s="3">
        <f>SUMIF(DIARIO_2024!$E$7:$E$5146,PRESUPUESTO!B100,DIARIO_2024!$H$7:$H$5146)+SUMIF(DIARIO_2024!$E$7:$E$5146,PRESUPUESTO!B100,DIARIO_2024!$I$7:$I$5146)</f>
        <v>-500</v>
      </c>
      <c r="G100" s="84">
        <f t="shared" si="35"/>
        <v>3065</v>
      </c>
      <c r="H100" s="84"/>
      <c r="I100" s="55"/>
      <c r="J100" s="72"/>
    </row>
    <row r="101" spans="1:10" x14ac:dyDescent="0.2">
      <c r="A101" s="1"/>
      <c r="B101" s="94"/>
      <c r="C101" s="94"/>
      <c r="D101" s="94"/>
      <c r="E101" s="94"/>
      <c r="F101" s="94"/>
      <c r="G101" s="94"/>
      <c r="H101" s="94"/>
      <c r="I101" s="95"/>
      <c r="J101" s="94"/>
    </row>
  </sheetData>
  <autoFilter ref="B6:J101" xr:uid="{B4E43838-2CAC-4538-AAC2-513B89275CB9}"/>
  <mergeCells count="4">
    <mergeCell ref="B2:J2"/>
    <mergeCell ref="B3:J3"/>
    <mergeCell ref="B4:J4"/>
    <mergeCell ref="B5:J5"/>
  </mergeCells>
  <dataValidations count="11">
    <dataValidation type="list" allowBlank="1" showErrorMessage="1" sqref="B68:B86" xr:uid="{528FBC48-3BF2-4F22-A06C-7770988A7C64}">
      <formula1>INDIRECT(B$67)</formula1>
    </dataValidation>
    <dataValidation type="list" allowBlank="1" showErrorMessage="1" sqref="B13:B16" xr:uid="{B8021594-C59E-4839-A47F-A6C973F350AA}">
      <formula1>INDIRECT(B$12)</formula1>
    </dataValidation>
    <dataValidation type="list" allowBlank="1" showErrorMessage="1" sqref="B20:B26" xr:uid="{DCAD12F7-D1AC-4449-B4E5-CE8C34E98D15}">
      <formula1>INDIRECT(B$19)</formula1>
    </dataValidation>
    <dataValidation type="list" allowBlank="1" showErrorMessage="1" sqref="B12 B19 B29 B34 B41 B50 B56 B61 B67 B89" xr:uid="{47A13205-70C8-4AAE-B03D-A357075D0C5B}">
      <formula1>CATEGORIA</formula1>
    </dataValidation>
    <dataValidation type="list" allowBlank="1" showErrorMessage="1" sqref="B90:B100" xr:uid="{F7367BEF-CD54-4233-A251-D1900277EFED}">
      <formula1>INDIRECT(B$89)</formula1>
    </dataValidation>
    <dataValidation type="list" allowBlank="1" showErrorMessage="1" sqref="B51:B53" xr:uid="{992D3507-5B32-4344-947C-C31343646851}">
      <formula1>INDIRECT(B$50)</formula1>
    </dataValidation>
    <dataValidation type="list" allowBlank="1" showErrorMessage="1" sqref="B42:B47" xr:uid="{63C66101-0ECC-47B0-82DB-4C67369969AF}">
      <formula1>INDIRECT(B$41)</formula1>
    </dataValidation>
    <dataValidation type="list" allowBlank="1" showErrorMessage="1" sqref="B35:B38" xr:uid="{D2F3509B-904E-46D9-8928-C2072CF43364}">
      <formula1>INDIRECT(B$34)</formula1>
    </dataValidation>
    <dataValidation type="list" allowBlank="1" showErrorMessage="1" sqref="B30:B31" xr:uid="{D8C5BAC7-744A-41D5-8DE5-5EE55F2C898A}">
      <formula1>INDIRECT(B$29)</formula1>
    </dataValidation>
    <dataValidation type="list" allowBlank="1" showErrorMessage="1" sqref="B62:B64" xr:uid="{37EEA1D9-C4BC-4A27-AC6F-D6E6F8C96EDA}">
      <formula1>INDIRECT(B$61)</formula1>
    </dataValidation>
    <dataValidation type="list" allowBlank="1" showErrorMessage="1" sqref="B57:B58" xr:uid="{828165F6-32F7-45F8-895F-2CEBA1A8FE94}">
      <formula1>INDIRECT(B$56)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4FF-CFD5-49A6-B89A-F40979FDC389}">
  <dimension ref="B1:R27"/>
  <sheetViews>
    <sheetView showGridLines="0" zoomScale="90" zoomScaleNormal="90" workbookViewId="0">
      <selection activeCell="N15" sqref="N15"/>
    </sheetView>
  </sheetViews>
  <sheetFormatPr baseColWidth="10" defaultRowHeight="15" x14ac:dyDescent="0.2"/>
  <cols>
    <col min="1" max="2" width="1.77734375" customWidth="1"/>
    <col min="3" max="3" width="16.77734375" customWidth="1"/>
    <col min="4" max="4" width="3.77734375" customWidth="1"/>
    <col min="5" max="5" width="12.44140625" bestFit="1" customWidth="1"/>
    <col min="6" max="6" width="3.77734375" customWidth="1"/>
    <col min="7" max="7" width="16.77734375" customWidth="1"/>
    <col min="8" max="8" width="3.77734375" customWidth="1"/>
    <col min="9" max="9" width="12.21875" bestFit="1" customWidth="1"/>
    <col min="10" max="10" width="3.77734375" customWidth="1"/>
    <col min="11" max="11" width="13.33203125" customWidth="1"/>
    <col min="12" max="12" width="9.6640625" bestFit="1" customWidth="1"/>
    <col min="13" max="13" width="7.109375" bestFit="1" customWidth="1"/>
    <col min="14" max="14" width="3.88671875" customWidth="1"/>
    <col min="15" max="15" width="11.6640625" bestFit="1" customWidth="1"/>
    <col min="16" max="16" width="2.77734375" customWidth="1"/>
    <col min="17" max="17" width="12.44140625" bestFit="1" customWidth="1"/>
    <col min="18" max="18" width="12.6640625" bestFit="1" customWidth="1"/>
  </cols>
  <sheetData>
    <row r="1" spans="3:18" x14ac:dyDescent="0.2">
      <c r="M1" s="20"/>
      <c r="R1" s="21"/>
    </row>
    <row r="2" spans="3:18" ht="20.25" x14ac:dyDescent="0.3">
      <c r="D2" s="4" t="s">
        <v>212</v>
      </c>
      <c r="E2" s="4"/>
      <c r="F2" s="4"/>
      <c r="G2" s="4"/>
      <c r="M2" s="20"/>
    </row>
    <row r="3" spans="3:18" ht="18" x14ac:dyDescent="0.25">
      <c r="D3" s="7" t="s">
        <v>1</v>
      </c>
      <c r="E3" s="7"/>
      <c r="F3" s="7"/>
      <c r="G3" s="7"/>
      <c r="M3" s="20"/>
    </row>
    <row r="4" spans="3:18" ht="18" x14ac:dyDescent="0.25">
      <c r="D4" s="9" t="s">
        <v>216</v>
      </c>
      <c r="E4" s="8"/>
      <c r="F4" s="8"/>
      <c r="G4" s="8"/>
      <c r="M4" s="20"/>
    </row>
    <row r="5" spans="3:18" x14ac:dyDescent="0.2">
      <c r="D5" s="343">
        <f>MAX(DIA_24[FEC_MOV])</f>
        <v>45506</v>
      </c>
      <c r="E5" s="330"/>
      <c r="F5" s="330"/>
      <c r="G5" s="330"/>
      <c r="M5" s="20"/>
    </row>
    <row r="6" spans="3:18" x14ac:dyDescent="0.2">
      <c r="M6" s="20"/>
    </row>
    <row r="7" spans="3:18" ht="21" thickBot="1" x14ac:dyDescent="0.35">
      <c r="C7" s="344" t="s">
        <v>217</v>
      </c>
      <c r="D7" s="345"/>
      <c r="E7" s="345"/>
      <c r="F7" s="24"/>
      <c r="G7" s="344" t="s">
        <v>218</v>
      </c>
      <c r="H7" s="345"/>
      <c r="I7" s="345"/>
      <c r="M7" s="20"/>
      <c r="O7" s="22" t="s">
        <v>213</v>
      </c>
      <c r="P7" s="22"/>
      <c r="Q7" s="22" t="s">
        <v>214</v>
      </c>
      <c r="R7" s="23" t="s">
        <v>215</v>
      </c>
    </row>
    <row r="8" spans="3:18" ht="16.5" thickTop="1" x14ac:dyDescent="0.25">
      <c r="M8" s="20"/>
      <c r="O8" s="288">
        <v>45481</v>
      </c>
      <c r="P8" s="289"/>
      <c r="Q8" s="290">
        <f>32600+913</f>
        <v>33513</v>
      </c>
      <c r="R8" s="291">
        <v>0.54722222222222228</v>
      </c>
    </row>
    <row r="9" spans="3:18" ht="15.75" x14ac:dyDescent="0.25">
      <c r="C9" s="25" t="s">
        <v>6</v>
      </c>
      <c r="D9" s="25"/>
      <c r="E9" s="25" t="s">
        <v>219</v>
      </c>
      <c r="G9" s="25" t="s">
        <v>6</v>
      </c>
      <c r="H9" s="25"/>
      <c r="I9" s="25" t="s">
        <v>219</v>
      </c>
      <c r="L9" s="25" t="s">
        <v>220</v>
      </c>
      <c r="M9" s="26" t="s">
        <v>221</v>
      </c>
      <c r="O9" s="288">
        <v>45488</v>
      </c>
      <c r="P9" s="289"/>
      <c r="Q9" s="290">
        <f>18000+1747</f>
        <v>19747</v>
      </c>
      <c r="R9" s="291">
        <v>0.57847222222222228</v>
      </c>
    </row>
    <row r="10" spans="3:18" ht="15.75" x14ac:dyDescent="0.25">
      <c r="M10" s="20"/>
      <c r="O10" s="288">
        <v>45495</v>
      </c>
      <c r="P10" s="289"/>
      <c r="Q10" s="290">
        <f>27000+1783</f>
        <v>28783</v>
      </c>
      <c r="R10" s="291">
        <v>0.4548611111111111</v>
      </c>
    </row>
    <row r="11" spans="3:18" ht="15.75" x14ac:dyDescent="0.25">
      <c r="C11" s="27" t="s">
        <v>17</v>
      </c>
      <c r="D11" s="27"/>
      <c r="E11" s="28">
        <f>SUMIF(DIARIO_2024!$C$6:$C$4038,RESUMEN!C11,DIARIO_2024!$G$6:$G$4038)+SUMIF(DIARIO_2024!$C$6:$C$4038,RESUMEN!C11,DIARIO_2024!$H$6:$H$4038)+SUMIF(DIARIO_2024!$C$6:$C$4038,RESUMEN!C11,DIARIO_2024!$I$6:$I$4038)</f>
        <v>0</v>
      </c>
      <c r="G11" s="27" t="s">
        <v>16</v>
      </c>
      <c r="H11" s="32" t="s">
        <v>19</v>
      </c>
      <c r="I11" s="28">
        <f>SUMIF(DIARIO_2024!$C$6:$C$4038,RESUMEN!G11,DIARIO_2024!$G$6:$G$4038)+SUMIF(DIARIO_2024!$C$6:$C$4038,RESUMEN!G11,DIARIO_2024!$H$6:$H$4038)+SUMIF(DIARIO_2024!$C$6:$C$4038,RESUMEN!G11,DIARIO_2024!$I$6:$I$4038)</f>
        <v>114416.76000000001</v>
      </c>
      <c r="K11" s="28">
        <f>SUMIF(DIARIO_2024!$C$6:$C$4038,RESUMEN!H11,DIARIO_2024!$G$6:$G$4038)+SUMIF(DIARIO_2024!$C$6:$C$4038,RESUMEN!H11,DIARIO_2024!$H$6:$H$4038)+SUMIF(DIARIO_2024!$C$6:$C$4038,RESUMEN!H11,DIARIO_2024!$I$6:$I$4038)</f>
        <v>100000</v>
      </c>
      <c r="L11" s="33">
        <v>45521</v>
      </c>
      <c r="M11" s="34">
        <v>6.7500000000000004E-2</v>
      </c>
      <c r="O11" s="288">
        <v>45502</v>
      </c>
      <c r="P11" s="289"/>
      <c r="Q11" s="290">
        <f>7500+1655</f>
        <v>9155</v>
      </c>
      <c r="R11" s="291">
        <v>0.55208333333333337</v>
      </c>
    </row>
    <row r="12" spans="3:18" ht="15.75" x14ac:dyDescent="0.25">
      <c r="C12" s="27" t="s">
        <v>18</v>
      </c>
      <c r="D12" s="27"/>
      <c r="E12" s="28">
        <f>SUMIF(DIARIO_2024!$C$6:$C$4038,RESUMEN!C12,DIARIO_2024!$G$6:$G$4038)+SUMIF(DIARIO_2024!$C$6:$C$4038,RESUMEN!C12,DIARIO_2024!$H$6:$H$4038)+SUMIF(DIARIO_2024!$C$6:$C$4038,RESUMEN!C12,DIARIO_2024!$I$6:$I$4038)</f>
        <v>16471.270000000019</v>
      </c>
      <c r="F12" s="28"/>
      <c r="G12" s="27"/>
      <c r="H12" s="32" t="s">
        <v>22</v>
      </c>
      <c r="I12" s="28">
        <f>SUMIF(DIARIO_2024!$C$6:$C$4038,RESUMEN!G12,DIARIO_2024!$G$6:$G$4038)+SUMIF(DIARIO_2024!$C$6:$C$4038,RESUMEN!G12,DIARIO_2024!$H$6:$H$4038)+SUMIF(DIARIO_2024!$C$6:$C$4038,RESUMEN!G12,DIARIO_2024!$I$6:$I$4038)</f>
        <v>0</v>
      </c>
      <c r="K12" s="28">
        <f>SUMIF(DIARIO_2024!$C$6:$C$4038,RESUMEN!H12,DIARIO_2024!$G$6:$G$4038)+SUMIF(DIARIO_2024!$C$6:$C$4038,RESUMEN!H12,DIARIO_2024!$H$6:$H$4038)+SUMIF(DIARIO_2024!$C$6:$C$4038,RESUMEN!H12,DIARIO_2024!$I$6:$I$4038)</f>
        <v>320000</v>
      </c>
      <c r="L12" s="30">
        <v>45580</v>
      </c>
      <c r="M12" s="31">
        <v>8.5000000000000006E-2</v>
      </c>
      <c r="O12" s="257">
        <v>45410</v>
      </c>
      <c r="P12" s="258"/>
      <c r="Q12" s="259">
        <f>29550+184+300</f>
        <v>30034</v>
      </c>
      <c r="R12" s="260">
        <v>0.95833333333333337</v>
      </c>
    </row>
    <row r="13" spans="3:18" ht="15.75" x14ac:dyDescent="0.25">
      <c r="C13" s="35" t="s">
        <v>25</v>
      </c>
      <c r="E13" s="28">
        <f>SUMIF(DIARIO_2024!$C$6:$C$4038,RESUMEN!C13,DIARIO_2024!$G$6:$G$4038)+SUMIF(DIARIO_2024!$C$6:$C$4038,RESUMEN!C13,DIARIO_2024!$H$6:$H$4038)+SUMIF(DIARIO_2024!$C$6:$C$4038,RESUMEN!C13,DIARIO_2024!$I$6:$I$4038)</f>
        <v>675</v>
      </c>
      <c r="G13" s="27"/>
      <c r="H13" s="32" t="s">
        <v>662</v>
      </c>
      <c r="I13" s="28">
        <f>SUMIF(DIARIO_2024!$C$6:$C$4038,RESUMEN!G13,DIARIO_2024!$G$6:$G$4038)+SUMIF(DIARIO_2024!$C$6:$C$4038,RESUMEN!G13,DIARIO_2024!$H$6:$H$4038)+SUMIF(DIARIO_2024!$C$6:$C$4038,RESUMEN!G13,DIARIO_2024!$I$6:$I$4038)</f>
        <v>0</v>
      </c>
      <c r="K13" s="28">
        <f>SUMIF(DIARIO_2024!$C$6:$C$4038,RESUMEN!H13,DIARIO_2024!$G$6:$G$4038)+SUMIF(DIARIO_2024!$C$6:$C$4038,RESUMEN!H13,DIARIO_2024!$H$6:$H$4038)+SUMIF(DIARIO_2024!$C$6:$C$4038,RESUMEN!H13,DIARIO_2024!$I$6:$I$4038)</f>
        <v>10014.73</v>
      </c>
      <c r="L13" s="30">
        <v>45494</v>
      </c>
      <c r="M13" s="31">
        <v>0.02</v>
      </c>
      <c r="O13" s="257">
        <v>45418</v>
      </c>
      <c r="P13" s="258"/>
      <c r="Q13" s="259">
        <v>29173</v>
      </c>
      <c r="R13" s="260">
        <v>0.5708333333333333</v>
      </c>
    </row>
    <row r="14" spans="3:18" ht="15.75" x14ac:dyDescent="0.25">
      <c r="C14" s="35"/>
      <c r="E14" s="28">
        <f>SUMIF(DIARIO_2024!$C$6:$C$4038,RESUMEN!C14,DIARIO_2024!$G$6:$G$4038)+SUMIF(DIARIO_2024!$C$6:$C$4038,RESUMEN!C14,DIARIO_2024!$H$6:$H$4038)+SUMIF(DIARIO_2024!$C$6:$C$4038,RESUMEN!C14,DIARIO_2024!$I$6:$I$4038)</f>
        <v>0</v>
      </c>
      <c r="G14" s="27" t="s">
        <v>23</v>
      </c>
      <c r="H14" s="32" t="s">
        <v>20</v>
      </c>
      <c r="I14" s="28">
        <f>SUMIF(DIARIO_2024!$C$6:$C$4038,RESUMEN!G14,DIARIO_2024!$G$6:$G$4038)+SUMIF(DIARIO_2024!$C$6:$C$4038,RESUMEN!G14,DIARIO_2024!$H$6:$H$4038)+SUMIF(DIARIO_2024!$C$6:$C$4038,RESUMEN!G14,DIARIO_2024!$I$6:$I$4038)</f>
        <v>21538.909999999996</v>
      </c>
      <c r="K14" s="28">
        <f>SUMIF(DIARIO_2024!$C$6:$C$4038,RESUMEN!H14,DIARIO_2024!$G$6:$G$4038)+SUMIF(DIARIO_2024!$C$6:$C$4038,RESUMEN!H14,DIARIO_2024!$H$6:$H$4038)+SUMIF(DIARIO_2024!$C$6:$C$4038,RESUMEN!H14,DIARIO_2024!$I$6:$I$4038)</f>
        <v>31001.93</v>
      </c>
      <c r="L14" s="30">
        <v>45542</v>
      </c>
      <c r="M14" s="31">
        <v>0.04</v>
      </c>
      <c r="O14" s="257">
        <v>45425</v>
      </c>
      <c r="P14" s="258"/>
      <c r="Q14" s="259">
        <f>19700+1959</f>
        <v>21659</v>
      </c>
      <c r="R14" s="260">
        <v>0.53749999999999998</v>
      </c>
    </row>
    <row r="15" spans="3:18" ht="15.75" x14ac:dyDescent="0.25">
      <c r="C15" s="35"/>
      <c r="E15" s="28">
        <f>SUMIF(DIARIO_2024!$C$6:$C$4038,RESUMEN!C15,DIARIO_2024!$G$6:$G$4038)+SUMIF(DIARIO_2024!$C$6:$C$4038,RESUMEN!C15,DIARIO_2024!$H$6:$H$4038)+SUMIF(DIARIO_2024!$C$6:$C$4038,RESUMEN!C15,DIARIO_2024!$I$6:$I$4038)</f>
        <v>0</v>
      </c>
      <c r="G15" s="27" t="s">
        <v>24</v>
      </c>
      <c r="H15" s="32" t="s">
        <v>21</v>
      </c>
      <c r="I15" s="28">
        <f>SUMIF(DIARIO_2024!$C$6:$C$4038,RESUMEN!G15,DIARIO_2024!$G$6:$G$4038)+SUMIF(DIARIO_2024!$C$6:$C$4038,RESUMEN!G15,DIARIO_2024!$H$6:$H$4038)+SUMIF(DIARIO_2024!$C$6:$C$4038,RESUMEN!G15,DIARIO_2024!$I$6:$I$4038)</f>
        <v>22916.089999999964</v>
      </c>
      <c r="J15" s="36"/>
      <c r="K15" s="28">
        <f>SUMIF(DIARIO_2024!$C$6:$C$4038,RESUMEN!H15,DIARIO_2024!$G$6:$G$4038)+SUMIF(DIARIO_2024!$C$6:$C$4038,RESUMEN!H15,DIARIO_2024!$H$6:$H$4038)+SUMIF(DIARIO_2024!$C$6:$C$4038,RESUMEN!H15,DIARIO_2024!$I$6:$I$4038)</f>
        <v>105000</v>
      </c>
      <c r="L15" s="30">
        <v>45534</v>
      </c>
      <c r="M15" s="31">
        <v>3.8394999999999999E-2</v>
      </c>
      <c r="O15" s="257">
        <v>45432</v>
      </c>
      <c r="P15" s="258"/>
      <c r="Q15" s="259">
        <f>2260+1046</f>
        <v>3306</v>
      </c>
      <c r="R15" s="260">
        <v>0.70625000000000004</v>
      </c>
    </row>
    <row r="16" spans="3:18" ht="16.5" thickBot="1" x14ac:dyDescent="0.3">
      <c r="C16" s="37" t="s">
        <v>222</v>
      </c>
      <c r="D16" s="38"/>
      <c r="E16" s="39">
        <f>SUM(E11:E15)</f>
        <v>17146.270000000019</v>
      </c>
      <c r="G16" s="37" t="s">
        <v>222</v>
      </c>
      <c r="H16" s="38"/>
      <c r="I16" s="39">
        <f>SUM(I11:K15)</f>
        <v>724888.42</v>
      </c>
      <c r="M16" s="20"/>
      <c r="O16" s="257">
        <v>45439</v>
      </c>
      <c r="P16" s="258"/>
      <c r="Q16" s="259">
        <f>10500+1603</f>
        <v>12103</v>
      </c>
      <c r="R16" s="260">
        <v>0.44444444444444442</v>
      </c>
    </row>
    <row r="17" spans="2:18" ht="17.25" thickTop="1" thickBot="1" x14ac:dyDescent="0.3">
      <c r="I17" s="29"/>
      <c r="L17" s="40"/>
      <c r="M17" s="40"/>
      <c r="N17" s="40"/>
      <c r="O17" s="257">
        <v>45453</v>
      </c>
      <c r="P17" s="258"/>
      <c r="Q17" s="259">
        <f>8900+3893</f>
        <v>12793</v>
      </c>
      <c r="R17" s="260">
        <v>0.4152777777777778</v>
      </c>
    </row>
    <row r="18" spans="2:18" ht="17.25" thickTop="1" thickBot="1" x14ac:dyDescent="0.3">
      <c r="C18" s="41">
        <v>45502</v>
      </c>
      <c r="D18" s="38"/>
      <c r="E18" s="39">
        <f>7500+1655</f>
        <v>9155</v>
      </c>
      <c r="G18" s="42" t="s">
        <v>223</v>
      </c>
      <c r="H18" s="42"/>
      <c r="I18" s="43">
        <f>ROUND((E16+I16),2)</f>
        <v>742034.69</v>
      </c>
      <c r="K18" s="14" t="str">
        <f>IF((I18-DIARIO_2024!I4)=0,"","ERROR EN DATOS " &amp; DIARIO_2024!I4)</f>
        <v/>
      </c>
      <c r="L18" s="44"/>
      <c r="M18" s="45"/>
      <c r="N18" s="28"/>
      <c r="O18" s="257">
        <v>45460</v>
      </c>
      <c r="P18" s="258"/>
      <c r="Q18" s="259">
        <f>15300+1163</f>
        <v>16463</v>
      </c>
      <c r="R18" s="260">
        <v>0.87986111111111109</v>
      </c>
    </row>
    <row r="19" spans="2:18" ht="16.5" thickTop="1" x14ac:dyDescent="0.25">
      <c r="C19" s="46" t="s">
        <v>224</v>
      </c>
      <c r="D19" s="47"/>
      <c r="E19" s="48">
        <f>E16-E18</f>
        <v>7991.2700000000186</v>
      </c>
      <c r="K19" s="268"/>
      <c r="L19" s="44"/>
      <c r="M19" s="45"/>
      <c r="N19" s="28"/>
      <c r="O19" s="257">
        <v>45467</v>
      </c>
      <c r="P19" s="258"/>
      <c r="Q19" s="259">
        <f>22800+1233</f>
        <v>24033</v>
      </c>
      <c r="R19" s="260">
        <v>0.47986111111111113</v>
      </c>
    </row>
    <row r="20" spans="2:18" ht="16.5" thickBot="1" x14ac:dyDescent="0.3">
      <c r="E20" s="49"/>
      <c r="M20" s="45"/>
      <c r="N20" s="28"/>
      <c r="O20" s="257">
        <v>45474</v>
      </c>
      <c r="P20" s="258"/>
      <c r="Q20" s="259">
        <f>19200+1347</f>
        <v>20547</v>
      </c>
      <c r="R20" s="260">
        <v>0.36875000000000002</v>
      </c>
    </row>
    <row r="21" spans="2:18" ht="17.25" thickTop="1" thickBot="1" x14ac:dyDescent="0.3">
      <c r="C21" t="s">
        <v>618</v>
      </c>
      <c r="E21" s="29">
        <v>300</v>
      </c>
      <c r="I21" s="29"/>
      <c r="M21" s="20"/>
      <c r="O21" s="261"/>
      <c r="P21" s="262"/>
      <c r="Q21" s="263"/>
      <c r="R21" s="264"/>
    </row>
    <row r="22" spans="2:18" ht="15.75" thickTop="1" x14ac:dyDescent="0.2">
      <c r="C22" t="s">
        <v>617</v>
      </c>
      <c r="E22" s="29">
        <v>1400</v>
      </c>
      <c r="G22" t="s">
        <v>698</v>
      </c>
      <c r="I22" s="29"/>
      <c r="M22" s="20"/>
      <c r="R22" s="21"/>
    </row>
    <row r="23" spans="2:18" ht="15.75" x14ac:dyDescent="0.25">
      <c r="B23" s="50" t="s">
        <v>225</v>
      </c>
      <c r="C23" t="s">
        <v>226</v>
      </c>
      <c r="E23" s="29">
        <v>5800</v>
      </c>
      <c r="G23" t="s">
        <v>226</v>
      </c>
      <c r="I23" s="29">
        <v>1580</v>
      </c>
      <c r="M23" s="20"/>
      <c r="R23" s="21"/>
    </row>
    <row r="24" spans="2:18" x14ac:dyDescent="0.2">
      <c r="B24" s="51">
        <v>140</v>
      </c>
      <c r="E24" s="29"/>
      <c r="G24" t="s">
        <v>227</v>
      </c>
      <c r="I24" s="305">
        <f>96.5-21.5</f>
        <v>75</v>
      </c>
      <c r="K24" s="28">
        <v>21.5</v>
      </c>
      <c r="M24" s="20"/>
      <c r="R24" s="21"/>
    </row>
    <row r="25" spans="2:18" ht="16.5" thickBot="1" x14ac:dyDescent="0.3">
      <c r="B25" s="51">
        <f t="shared" ref="B25:B26" si="0">B24+1</f>
        <v>141</v>
      </c>
      <c r="E25" s="29"/>
      <c r="G25" s="52" t="s">
        <v>228</v>
      </c>
      <c r="H25" s="53"/>
      <c r="I25" s="54">
        <f>SUM(I21:I24)</f>
        <v>1655</v>
      </c>
      <c r="M25" s="20"/>
      <c r="R25" s="21"/>
    </row>
    <row r="26" spans="2:18" ht="17.25" thickTop="1" thickBot="1" x14ac:dyDescent="0.3">
      <c r="B26" s="51">
        <f t="shared" si="0"/>
        <v>142</v>
      </c>
      <c r="C26" s="52" t="s">
        <v>228</v>
      </c>
      <c r="D26" s="53"/>
      <c r="E26" s="54">
        <f>SUM(E21:E25)</f>
        <v>7500</v>
      </c>
      <c r="M26" s="20"/>
      <c r="R26" s="21"/>
    </row>
    <row r="27" spans="2:18" ht="15.75" thickTop="1" x14ac:dyDescent="0.2"/>
  </sheetData>
  <mergeCells count="3">
    <mergeCell ref="D5:G5"/>
    <mergeCell ref="C7:E7"/>
    <mergeCell ref="G7:I7"/>
  </mergeCells>
  <dataValidations count="1">
    <dataValidation type="list" allowBlank="1" showErrorMessage="1" sqref="C11:C15 G11:H15" xr:uid="{384F12F8-17B5-4672-A11B-99D1CE2180C8}">
      <formula1>BANCOS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EAF-2162-4079-AFCF-EA228027331B}">
  <dimension ref="A1:K903"/>
  <sheetViews>
    <sheetView zoomScaleNormal="100" workbookViewId="0">
      <pane ySplit="6" topLeftCell="A897" activePane="bottomLeft" state="frozen"/>
      <selection pane="bottomLeft" activeCell="B903" sqref="B903"/>
    </sheetView>
  </sheetViews>
  <sheetFormatPr baseColWidth="10" defaultRowHeight="15" x14ac:dyDescent="0.2"/>
  <cols>
    <col min="1" max="1" width="2.5546875" customWidth="1"/>
    <col min="2" max="2" width="10.77734375" bestFit="1" customWidth="1"/>
    <col min="3" max="3" width="11.88671875" customWidth="1"/>
    <col min="4" max="4" width="10.88671875" customWidth="1"/>
    <col min="5" max="5" width="14.33203125" customWidth="1"/>
    <col min="6" max="6" width="35.109375" bestFit="1" customWidth="1"/>
    <col min="7" max="7" width="12.77734375" customWidth="1"/>
    <col min="8" max="9" width="13" style="276" bestFit="1" customWidth="1"/>
    <col min="11" max="11" width="13.44140625" bestFit="1" customWidth="1"/>
  </cols>
  <sheetData>
    <row r="1" spans="1:11" x14ac:dyDescent="0.2">
      <c r="A1" s="1"/>
      <c r="B1" s="2"/>
      <c r="C1" s="1"/>
      <c r="D1" s="1"/>
      <c r="E1" s="1"/>
      <c r="F1" s="1"/>
      <c r="G1" s="1"/>
      <c r="H1" s="269"/>
      <c r="I1" s="269"/>
    </row>
    <row r="2" spans="1:11" ht="20.25" x14ac:dyDescent="0.3">
      <c r="A2" s="1"/>
      <c r="B2" s="4"/>
      <c r="C2" s="4" t="s">
        <v>0</v>
      </c>
      <c r="D2" s="4"/>
      <c r="E2" s="4"/>
      <c r="F2" s="4"/>
      <c r="G2" s="5"/>
      <c r="H2" s="270"/>
      <c r="I2" s="270"/>
    </row>
    <row r="3" spans="1:11" ht="18" x14ac:dyDescent="0.25">
      <c r="A3" s="1"/>
      <c r="B3" s="6"/>
      <c r="C3" s="7" t="s">
        <v>1</v>
      </c>
      <c r="D3" s="7"/>
      <c r="E3" s="7"/>
      <c r="F3" s="7"/>
      <c r="G3" s="7"/>
      <c r="H3" s="271"/>
      <c r="I3" s="271"/>
      <c r="K3" s="267"/>
    </row>
    <row r="4" spans="1:11" ht="18" x14ac:dyDescent="0.25">
      <c r="A4" s="1"/>
      <c r="B4" s="8"/>
      <c r="C4" s="9" t="s">
        <v>2</v>
      </c>
      <c r="D4" s="8"/>
      <c r="E4" s="8"/>
      <c r="F4" s="8"/>
      <c r="G4" s="8"/>
      <c r="H4" s="272" t="s">
        <v>3</v>
      </c>
      <c r="I4" s="266">
        <f>ROUND((H5+I5+G5),2)</f>
        <v>742034.69</v>
      </c>
      <c r="K4" s="267"/>
    </row>
    <row r="5" spans="1:11" ht="15.75" x14ac:dyDescent="0.25">
      <c r="A5" s="1"/>
      <c r="B5" s="11"/>
      <c r="C5" s="343">
        <f>MAX(DIARIO_2024!$B$7:$B$1993)</f>
        <v>45506</v>
      </c>
      <c r="D5" s="330"/>
      <c r="E5" s="330"/>
      <c r="F5" s="10" t="s">
        <v>4</v>
      </c>
      <c r="G5" s="3">
        <f>SUBTOTAL(9,$G$7:$G$2001)</f>
        <v>0</v>
      </c>
      <c r="H5" s="273">
        <f>SUBTOTAL(9,$H$7:$H$3543)</f>
        <v>1350869.8299999998</v>
      </c>
      <c r="I5" s="273">
        <f>SUBTOTAL(9,$I$7:$I$3543)</f>
        <v>-608835.14</v>
      </c>
      <c r="K5" s="267"/>
    </row>
    <row r="6" spans="1:11" x14ac:dyDescent="0.2">
      <c r="A6" s="1"/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274" t="s">
        <v>11</v>
      </c>
      <c r="I6" s="274" t="s">
        <v>12</v>
      </c>
    </row>
    <row r="7" spans="1:11" x14ac:dyDescent="0.2">
      <c r="A7" s="1"/>
      <c r="B7" s="13">
        <v>45291</v>
      </c>
      <c r="C7" s="14" t="s">
        <v>13</v>
      </c>
      <c r="D7" s="14" t="s">
        <v>14</v>
      </c>
      <c r="E7" s="14" t="s">
        <v>13</v>
      </c>
      <c r="F7" s="14" t="s">
        <v>15</v>
      </c>
      <c r="G7" s="15"/>
      <c r="H7" s="275">
        <v>113563.1</v>
      </c>
      <c r="I7" s="275"/>
    </row>
    <row r="8" spans="1:11" x14ac:dyDescent="0.2">
      <c r="A8" s="1"/>
      <c r="B8" s="13">
        <v>45291</v>
      </c>
      <c r="C8" s="14" t="s">
        <v>16</v>
      </c>
      <c r="D8" s="14" t="s">
        <v>14</v>
      </c>
      <c r="E8" s="14" t="s">
        <v>16</v>
      </c>
      <c r="F8" s="14" t="s">
        <v>15</v>
      </c>
      <c r="G8" s="15"/>
      <c r="H8" s="275">
        <v>179144.9</v>
      </c>
      <c r="I8" s="275"/>
    </row>
    <row r="9" spans="1:11" x14ac:dyDescent="0.2">
      <c r="A9" s="1"/>
      <c r="B9" s="13">
        <v>45291</v>
      </c>
      <c r="C9" s="14" t="s">
        <v>17</v>
      </c>
      <c r="D9" s="14" t="s">
        <v>14</v>
      </c>
      <c r="E9" s="14" t="s">
        <v>17</v>
      </c>
      <c r="F9" s="14" t="s">
        <v>15</v>
      </c>
      <c r="G9" s="15"/>
      <c r="H9" s="275">
        <v>2200</v>
      </c>
      <c r="I9" s="275"/>
    </row>
    <row r="10" spans="1:11" x14ac:dyDescent="0.2">
      <c r="A10" s="1"/>
      <c r="B10" s="13">
        <v>45291</v>
      </c>
      <c r="C10" s="14" t="s">
        <v>18</v>
      </c>
      <c r="D10" s="14" t="s">
        <v>14</v>
      </c>
      <c r="E10" s="14" t="s">
        <v>18</v>
      </c>
      <c r="F10" s="14" t="s">
        <v>15</v>
      </c>
      <c r="G10" s="15"/>
      <c r="H10" s="275">
        <f>14785.5-825</f>
        <v>13960.5</v>
      </c>
      <c r="I10" s="275"/>
    </row>
    <row r="11" spans="1:11" x14ac:dyDescent="0.2">
      <c r="A11" s="1"/>
      <c r="B11" s="13">
        <v>45291</v>
      </c>
      <c r="C11" s="14" t="s">
        <v>19</v>
      </c>
      <c r="D11" s="14" t="s">
        <v>14</v>
      </c>
      <c r="E11" s="14" t="s">
        <v>19</v>
      </c>
      <c r="F11" s="14" t="s">
        <v>15</v>
      </c>
      <c r="G11" s="15"/>
      <c r="H11" s="275">
        <v>63292.78</v>
      </c>
      <c r="I11" s="275"/>
    </row>
    <row r="12" spans="1:11" x14ac:dyDescent="0.2">
      <c r="A12" s="1"/>
      <c r="B12" s="13">
        <v>45291</v>
      </c>
      <c r="C12" s="14" t="s">
        <v>20</v>
      </c>
      <c r="D12" s="14" t="s">
        <v>14</v>
      </c>
      <c r="E12" s="14" t="s">
        <v>20</v>
      </c>
      <c r="F12" s="14" t="s">
        <v>15</v>
      </c>
      <c r="G12" s="15"/>
      <c r="H12" s="275">
        <f>30459.83+100.64</f>
        <v>30560.47</v>
      </c>
      <c r="I12" s="275"/>
    </row>
    <row r="13" spans="1:11" x14ac:dyDescent="0.2">
      <c r="A13" s="1"/>
      <c r="B13" s="13">
        <v>45291</v>
      </c>
      <c r="C13" s="14" t="s">
        <v>21</v>
      </c>
      <c r="D13" s="14" t="s">
        <v>14</v>
      </c>
      <c r="E13" s="14" t="s">
        <v>21</v>
      </c>
      <c r="F13" s="14" t="s">
        <v>15</v>
      </c>
      <c r="G13" s="15"/>
      <c r="H13" s="275">
        <v>50000</v>
      </c>
      <c r="I13" s="275"/>
    </row>
    <row r="14" spans="1:11" x14ac:dyDescent="0.2">
      <c r="A14" s="1"/>
      <c r="B14" s="13">
        <v>45291</v>
      </c>
      <c r="C14" s="14" t="s">
        <v>22</v>
      </c>
      <c r="D14" s="14" t="s">
        <v>14</v>
      </c>
      <c r="E14" s="14" t="s">
        <v>22</v>
      </c>
      <c r="F14" s="14" t="s">
        <v>15</v>
      </c>
      <c r="G14" s="15"/>
      <c r="H14" s="275">
        <v>300000</v>
      </c>
      <c r="I14" s="275"/>
    </row>
    <row r="15" spans="1:11" x14ac:dyDescent="0.2">
      <c r="A15" s="1"/>
      <c r="B15" s="13">
        <v>45291</v>
      </c>
      <c r="C15" s="14" t="s">
        <v>23</v>
      </c>
      <c r="D15" s="14" t="s">
        <v>14</v>
      </c>
      <c r="E15" s="14" t="s">
        <v>23</v>
      </c>
      <c r="F15" s="14" t="s">
        <v>15</v>
      </c>
      <c r="G15" s="15"/>
      <c r="H15" s="275">
        <f>4844.8+9.15</f>
        <v>4853.95</v>
      </c>
      <c r="I15" s="275"/>
    </row>
    <row r="16" spans="1:11" x14ac:dyDescent="0.2">
      <c r="A16" s="1"/>
      <c r="B16" s="13">
        <v>45291</v>
      </c>
      <c r="C16" s="14" t="s">
        <v>24</v>
      </c>
      <c r="D16" s="14" t="s">
        <v>14</v>
      </c>
      <c r="E16" s="14" t="s">
        <v>24</v>
      </c>
      <c r="F16" s="14" t="s">
        <v>15</v>
      </c>
      <c r="G16" s="15"/>
      <c r="H16" s="275">
        <v>37375.78</v>
      </c>
      <c r="I16" s="275"/>
    </row>
    <row r="17" spans="1:9" x14ac:dyDescent="0.2">
      <c r="A17" s="1"/>
      <c r="B17" s="13">
        <v>45291</v>
      </c>
      <c r="C17" s="14" t="s">
        <v>25</v>
      </c>
      <c r="D17" s="14" t="s">
        <v>14</v>
      </c>
      <c r="E17" s="14" t="s">
        <v>25</v>
      </c>
      <c r="F17" s="14" t="s">
        <v>15</v>
      </c>
      <c r="G17" s="15"/>
      <c r="H17" s="275">
        <v>0</v>
      </c>
      <c r="I17" s="275"/>
    </row>
    <row r="18" spans="1:9" x14ac:dyDescent="0.2">
      <c r="A18" s="1"/>
      <c r="B18" s="13">
        <v>45292</v>
      </c>
      <c r="C18" s="14" t="s">
        <v>25</v>
      </c>
      <c r="D18" s="14" t="s">
        <v>14</v>
      </c>
      <c r="E18" s="14" t="s">
        <v>18</v>
      </c>
      <c r="F18" s="14" t="s">
        <v>10</v>
      </c>
      <c r="G18" s="15">
        <v>1310.5</v>
      </c>
      <c r="H18" s="275"/>
      <c r="I18" s="275"/>
    </row>
    <row r="19" spans="1:9" x14ac:dyDescent="0.2">
      <c r="A19" s="1"/>
      <c r="B19" s="13">
        <v>45292</v>
      </c>
      <c r="C19" s="14" t="s">
        <v>18</v>
      </c>
      <c r="D19" s="14" t="s">
        <v>14</v>
      </c>
      <c r="E19" s="14" t="s">
        <v>25</v>
      </c>
      <c r="F19" s="14" t="s">
        <v>10</v>
      </c>
      <c r="G19" s="15">
        <v>-1310.5</v>
      </c>
      <c r="H19" s="275"/>
      <c r="I19" s="275"/>
    </row>
    <row r="20" spans="1:9" x14ac:dyDescent="0.2">
      <c r="A20" s="1"/>
      <c r="B20" s="13">
        <v>45292</v>
      </c>
      <c r="C20" s="14" t="s">
        <v>18</v>
      </c>
      <c r="D20" s="14" t="s">
        <v>26</v>
      </c>
      <c r="E20" s="14" t="s">
        <v>27</v>
      </c>
      <c r="F20" s="14" t="s">
        <v>28</v>
      </c>
      <c r="G20" s="15"/>
      <c r="H20" s="275"/>
      <c r="I20" s="275">
        <v>-325</v>
      </c>
    </row>
    <row r="21" spans="1:9" x14ac:dyDescent="0.2">
      <c r="A21" s="1"/>
      <c r="B21" s="13">
        <v>45292</v>
      </c>
      <c r="C21" s="14" t="s">
        <v>18</v>
      </c>
      <c r="D21" s="14" t="s">
        <v>26</v>
      </c>
      <c r="E21" s="14" t="s">
        <v>29</v>
      </c>
      <c r="F21" s="14" t="s">
        <v>30</v>
      </c>
      <c r="G21" s="15"/>
      <c r="H21" s="275"/>
      <c r="I21" s="275">
        <v>-2700</v>
      </c>
    </row>
    <row r="22" spans="1:9" x14ac:dyDescent="0.2">
      <c r="A22" s="1"/>
      <c r="B22" s="13">
        <v>45292</v>
      </c>
      <c r="C22" s="14" t="s">
        <v>18</v>
      </c>
      <c r="D22" s="14" t="s">
        <v>26</v>
      </c>
      <c r="E22" s="14" t="s">
        <v>29</v>
      </c>
      <c r="F22" s="14" t="s">
        <v>28</v>
      </c>
      <c r="G22" s="15"/>
      <c r="H22" s="275"/>
      <c r="I22" s="275">
        <v>-325</v>
      </c>
    </row>
    <row r="23" spans="1:9" x14ac:dyDescent="0.2">
      <c r="A23" s="1"/>
      <c r="B23" s="13">
        <v>45292</v>
      </c>
      <c r="C23" s="14" t="s">
        <v>18</v>
      </c>
      <c r="D23" s="14" t="s">
        <v>31</v>
      </c>
      <c r="E23" s="14" t="s">
        <v>32</v>
      </c>
      <c r="F23" s="14" t="s">
        <v>28</v>
      </c>
      <c r="G23" s="15"/>
      <c r="H23" s="275"/>
      <c r="I23" s="275">
        <v>-2500</v>
      </c>
    </row>
    <row r="24" spans="1:9" x14ac:dyDescent="0.2">
      <c r="A24" s="1"/>
      <c r="B24" s="13">
        <v>45293</v>
      </c>
      <c r="C24" s="14" t="s">
        <v>25</v>
      </c>
      <c r="D24" s="14" t="s">
        <v>33</v>
      </c>
      <c r="E24" s="14" t="s">
        <v>34</v>
      </c>
      <c r="F24" s="14" t="s">
        <v>35</v>
      </c>
      <c r="G24" s="15"/>
      <c r="H24" s="275"/>
      <c r="I24" s="275">
        <v>-300</v>
      </c>
    </row>
    <row r="25" spans="1:9" x14ac:dyDescent="0.2">
      <c r="A25" s="1"/>
      <c r="B25" s="13">
        <v>45293</v>
      </c>
      <c r="C25" s="14" t="s">
        <v>18</v>
      </c>
      <c r="D25" s="14" t="s">
        <v>33</v>
      </c>
      <c r="E25" s="14" t="s">
        <v>36</v>
      </c>
      <c r="F25" s="14" t="s">
        <v>37</v>
      </c>
      <c r="G25" s="15"/>
      <c r="H25" s="275"/>
      <c r="I25" s="275">
        <v>-3700</v>
      </c>
    </row>
    <row r="26" spans="1:9" x14ac:dyDescent="0.2">
      <c r="A26" s="1"/>
      <c r="B26" s="13">
        <v>45293</v>
      </c>
      <c r="C26" s="14" t="s">
        <v>23</v>
      </c>
      <c r="D26" s="14" t="s">
        <v>14</v>
      </c>
      <c r="E26" s="14" t="s">
        <v>18</v>
      </c>
      <c r="F26" s="14" t="s">
        <v>10</v>
      </c>
      <c r="G26" s="15">
        <v>500</v>
      </c>
      <c r="H26" s="275"/>
      <c r="I26" s="275"/>
    </row>
    <row r="27" spans="1:9" x14ac:dyDescent="0.2">
      <c r="A27" s="1"/>
      <c r="B27" s="13">
        <v>45293</v>
      </c>
      <c r="C27" s="14" t="s">
        <v>18</v>
      </c>
      <c r="D27" s="14" t="s">
        <v>14</v>
      </c>
      <c r="E27" s="14" t="s">
        <v>23</v>
      </c>
      <c r="F27" s="14" t="s">
        <v>10</v>
      </c>
      <c r="G27" s="15">
        <v>-500</v>
      </c>
      <c r="H27" s="275"/>
      <c r="I27" s="275"/>
    </row>
    <row r="28" spans="1:9" x14ac:dyDescent="0.2">
      <c r="A28" s="1"/>
      <c r="B28" s="13">
        <v>45293</v>
      </c>
      <c r="C28" s="14" t="s">
        <v>25</v>
      </c>
      <c r="D28" s="14" t="s">
        <v>38</v>
      </c>
      <c r="E28" s="14" t="s">
        <v>39</v>
      </c>
      <c r="F28" s="14" t="s">
        <v>40</v>
      </c>
      <c r="G28" s="15"/>
      <c r="H28" s="275"/>
      <c r="I28" s="275">
        <v>-192</v>
      </c>
    </row>
    <row r="29" spans="1:9" x14ac:dyDescent="0.2">
      <c r="A29" s="1"/>
      <c r="B29" s="13">
        <v>45293</v>
      </c>
      <c r="C29" s="14" t="s">
        <v>24</v>
      </c>
      <c r="D29" s="14" t="s">
        <v>41</v>
      </c>
      <c r="E29" s="14" t="s">
        <v>42</v>
      </c>
      <c r="F29" s="14" t="s">
        <v>40</v>
      </c>
      <c r="G29" s="15"/>
      <c r="H29" s="275">
        <v>21387.03</v>
      </c>
      <c r="I29" s="275"/>
    </row>
    <row r="30" spans="1:9" x14ac:dyDescent="0.2">
      <c r="A30" s="1"/>
      <c r="B30" s="13">
        <v>45293</v>
      </c>
      <c r="C30" s="14" t="s">
        <v>25</v>
      </c>
      <c r="D30" s="14" t="s">
        <v>43</v>
      </c>
      <c r="E30" s="14" t="s">
        <v>44</v>
      </c>
      <c r="F30" s="14" t="s">
        <v>40</v>
      </c>
      <c r="G30" s="15"/>
      <c r="H30" s="275"/>
      <c r="I30" s="275">
        <v>-23</v>
      </c>
    </row>
    <row r="31" spans="1:9" x14ac:dyDescent="0.2">
      <c r="A31" s="1"/>
      <c r="B31" s="13">
        <v>45294</v>
      </c>
      <c r="C31" s="14" t="s">
        <v>18</v>
      </c>
      <c r="D31" s="14" t="s">
        <v>14</v>
      </c>
      <c r="E31" s="14" t="s">
        <v>17</v>
      </c>
      <c r="F31" s="14" t="s">
        <v>10</v>
      </c>
      <c r="G31" s="15">
        <v>1000</v>
      </c>
      <c r="H31" s="275"/>
      <c r="I31" s="275"/>
    </row>
    <row r="32" spans="1:9" x14ac:dyDescent="0.2">
      <c r="A32" s="1"/>
      <c r="B32" s="13">
        <v>45294</v>
      </c>
      <c r="C32" s="14" t="s">
        <v>17</v>
      </c>
      <c r="D32" s="14" t="s">
        <v>14</v>
      </c>
      <c r="E32" s="14" t="s">
        <v>18</v>
      </c>
      <c r="F32" s="14" t="s">
        <v>10</v>
      </c>
      <c r="G32" s="15">
        <v>-1000</v>
      </c>
      <c r="H32" s="275"/>
      <c r="I32" s="275"/>
    </row>
    <row r="33" spans="1:9" x14ac:dyDescent="0.2">
      <c r="A33" s="1"/>
      <c r="B33" s="13">
        <v>45294</v>
      </c>
      <c r="C33" s="14" t="s">
        <v>17</v>
      </c>
      <c r="D33" s="14" t="s">
        <v>41</v>
      </c>
      <c r="E33" s="14" t="s">
        <v>45</v>
      </c>
      <c r="F33" s="14" t="s">
        <v>40</v>
      </c>
      <c r="G33" s="15"/>
      <c r="H33" s="275">
        <v>9000</v>
      </c>
      <c r="I33" s="275"/>
    </row>
    <row r="34" spans="1:9" x14ac:dyDescent="0.2">
      <c r="A34" s="1"/>
      <c r="B34" s="13">
        <v>45295</v>
      </c>
      <c r="C34" s="14" t="s">
        <v>24</v>
      </c>
      <c r="D34" s="14" t="s">
        <v>41</v>
      </c>
      <c r="E34" s="14" t="s">
        <v>46</v>
      </c>
      <c r="F34" s="14" t="s">
        <v>40</v>
      </c>
      <c r="G34" s="15"/>
      <c r="H34" s="275">
        <v>2383.33</v>
      </c>
      <c r="I34" s="275"/>
    </row>
    <row r="35" spans="1:9" x14ac:dyDescent="0.2">
      <c r="A35" s="1"/>
      <c r="B35" s="13">
        <v>45296</v>
      </c>
      <c r="C35" s="14" t="s">
        <v>24</v>
      </c>
      <c r="D35" s="14" t="s">
        <v>14</v>
      </c>
      <c r="E35" s="14" t="s">
        <v>18</v>
      </c>
      <c r="F35" s="14" t="s">
        <v>10</v>
      </c>
      <c r="G35" s="15">
        <v>-5800</v>
      </c>
      <c r="H35" s="275"/>
      <c r="I35" s="275"/>
    </row>
    <row r="36" spans="1:9" x14ac:dyDescent="0.2">
      <c r="A36" s="1"/>
      <c r="B36" s="13">
        <v>45296</v>
      </c>
      <c r="C36" s="14" t="s">
        <v>18</v>
      </c>
      <c r="D36" s="14" t="s">
        <v>14</v>
      </c>
      <c r="E36" s="14" t="s">
        <v>24</v>
      </c>
      <c r="F36" s="14" t="s">
        <v>10</v>
      </c>
      <c r="G36" s="15">
        <v>5800</v>
      </c>
      <c r="H36" s="275"/>
      <c r="I36" s="275"/>
    </row>
    <row r="37" spans="1:9" x14ac:dyDescent="0.2">
      <c r="A37" s="1"/>
      <c r="B37" s="13">
        <v>45296</v>
      </c>
      <c r="C37" s="14" t="s">
        <v>16</v>
      </c>
      <c r="D37" s="14" t="s">
        <v>41</v>
      </c>
      <c r="E37" s="14" t="s">
        <v>47</v>
      </c>
      <c r="F37" s="14" t="s">
        <v>48</v>
      </c>
      <c r="G37" s="15"/>
      <c r="H37" s="275">
        <f>7000+7000</f>
        <v>14000</v>
      </c>
      <c r="I37" s="275"/>
    </row>
    <row r="38" spans="1:9" x14ac:dyDescent="0.2">
      <c r="A38" s="1"/>
      <c r="B38" s="13">
        <v>45296</v>
      </c>
      <c r="C38" s="14" t="s">
        <v>25</v>
      </c>
      <c r="D38" s="14" t="s">
        <v>31</v>
      </c>
      <c r="E38" s="14" t="s">
        <v>49</v>
      </c>
      <c r="F38" s="14" t="s">
        <v>50</v>
      </c>
      <c r="G38" s="15"/>
      <c r="H38" s="275"/>
      <c r="I38" s="275">
        <v>-15</v>
      </c>
    </row>
    <row r="39" spans="1:9" x14ac:dyDescent="0.2">
      <c r="A39" s="1"/>
      <c r="B39" s="13">
        <v>45296</v>
      </c>
      <c r="C39" s="14" t="s">
        <v>25</v>
      </c>
      <c r="D39" s="14" t="s">
        <v>43</v>
      </c>
      <c r="E39" s="14" t="s">
        <v>51</v>
      </c>
      <c r="F39" s="14" t="s">
        <v>52</v>
      </c>
      <c r="G39" s="15"/>
      <c r="H39" s="275"/>
      <c r="I39" s="275">
        <v>-50</v>
      </c>
    </row>
    <row r="40" spans="1:9" x14ac:dyDescent="0.2">
      <c r="A40" s="1"/>
      <c r="B40" s="13">
        <v>45296</v>
      </c>
      <c r="C40" s="14" t="s">
        <v>18</v>
      </c>
      <c r="D40" s="14" t="s">
        <v>43</v>
      </c>
      <c r="E40" s="14" t="s">
        <v>53</v>
      </c>
      <c r="F40" s="14" t="s">
        <v>54</v>
      </c>
      <c r="G40" s="15"/>
      <c r="H40" s="275"/>
      <c r="I40" s="275">
        <v>-875</v>
      </c>
    </row>
    <row r="41" spans="1:9" x14ac:dyDescent="0.2">
      <c r="A41" s="1"/>
      <c r="B41" s="13">
        <v>45296</v>
      </c>
      <c r="C41" s="14" t="s">
        <v>18</v>
      </c>
      <c r="D41" s="14" t="s">
        <v>43</v>
      </c>
      <c r="E41" s="14" t="s">
        <v>55</v>
      </c>
      <c r="F41" s="14" t="s">
        <v>54</v>
      </c>
      <c r="G41" s="15"/>
      <c r="H41" s="275"/>
      <c r="I41" s="275">
        <v>-875</v>
      </c>
    </row>
    <row r="42" spans="1:9" x14ac:dyDescent="0.2">
      <c r="A42" s="1"/>
      <c r="B42" s="13">
        <v>45297</v>
      </c>
      <c r="C42" s="14" t="s">
        <v>25</v>
      </c>
      <c r="D42" s="14" t="s">
        <v>31</v>
      </c>
      <c r="E42" s="14" t="s">
        <v>56</v>
      </c>
      <c r="F42" s="14" t="s">
        <v>57</v>
      </c>
      <c r="G42" s="15"/>
      <c r="H42" s="275"/>
      <c r="I42" s="275">
        <v>-30</v>
      </c>
    </row>
    <row r="43" spans="1:9" x14ac:dyDescent="0.2">
      <c r="A43" s="1"/>
      <c r="B43" s="13">
        <v>45297</v>
      </c>
      <c r="C43" s="14" t="s">
        <v>25</v>
      </c>
      <c r="D43" s="14" t="s">
        <v>31</v>
      </c>
      <c r="E43" s="14" t="s">
        <v>56</v>
      </c>
      <c r="F43" s="14" t="s">
        <v>58</v>
      </c>
      <c r="G43" s="15"/>
      <c r="H43" s="275"/>
      <c r="I43" s="275">
        <v>-175</v>
      </c>
    </row>
    <row r="44" spans="1:9" x14ac:dyDescent="0.2">
      <c r="A44" s="1"/>
      <c r="B44" s="13">
        <v>45297</v>
      </c>
      <c r="C44" s="14" t="s">
        <v>25</v>
      </c>
      <c r="D44" s="14" t="s">
        <v>31</v>
      </c>
      <c r="E44" s="14" t="s">
        <v>56</v>
      </c>
      <c r="F44" s="14" t="s">
        <v>59</v>
      </c>
      <c r="G44" s="15"/>
      <c r="H44" s="275"/>
      <c r="I44" s="275">
        <v>-80</v>
      </c>
    </row>
    <row r="45" spans="1:9" x14ac:dyDescent="0.2">
      <c r="A45" s="1"/>
      <c r="B45" s="13">
        <v>45298</v>
      </c>
      <c r="C45" s="14" t="s">
        <v>16</v>
      </c>
      <c r="D45" s="14" t="s">
        <v>14</v>
      </c>
      <c r="E45" s="14" t="s">
        <v>16</v>
      </c>
      <c r="F45" s="14" t="s">
        <v>60</v>
      </c>
      <c r="G45" s="15"/>
      <c r="H45" s="275">
        <v>1.43</v>
      </c>
      <c r="I45" s="275"/>
    </row>
    <row r="46" spans="1:9" x14ac:dyDescent="0.2">
      <c r="A46" s="1"/>
      <c r="B46" s="13">
        <v>45298</v>
      </c>
      <c r="C46" s="14" t="s">
        <v>25</v>
      </c>
      <c r="D46" s="14" t="s">
        <v>31</v>
      </c>
      <c r="E46" s="14" t="s">
        <v>56</v>
      </c>
      <c r="F46" s="14" t="s">
        <v>61</v>
      </c>
      <c r="G46" s="15"/>
      <c r="H46" s="275"/>
      <c r="I46" s="275">
        <v>-55.5</v>
      </c>
    </row>
    <row r="47" spans="1:9" x14ac:dyDescent="0.2">
      <c r="A47" s="1"/>
      <c r="B47" s="13">
        <v>45298</v>
      </c>
      <c r="C47" s="14" t="s">
        <v>25</v>
      </c>
      <c r="D47" s="14" t="s">
        <v>31</v>
      </c>
      <c r="E47" s="14" t="s">
        <v>56</v>
      </c>
      <c r="F47" s="14" t="s">
        <v>62</v>
      </c>
      <c r="G47" s="15"/>
      <c r="H47" s="275"/>
      <c r="I47" s="275">
        <v>-11</v>
      </c>
    </row>
    <row r="48" spans="1:9" x14ac:dyDescent="0.2">
      <c r="A48" s="1"/>
      <c r="B48" s="13">
        <v>45298</v>
      </c>
      <c r="C48" s="14" t="s">
        <v>25</v>
      </c>
      <c r="D48" s="14" t="s">
        <v>31</v>
      </c>
      <c r="E48" s="14" t="s">
        <v>56</v>
      </c>
      <c r="F48" s="14" t="s">
        <v>63</v>
      </c>
      <c r="G48" s="15"/>
      <c r="H48" s="275"/>
      <c r="I48" s="275">
        <v>-44</v>
      </c>
    </row>
    <row r="49" spans="1:9" x14ac:dyDescent="0.2">
      <c r="A49" s="1"/>
      <c r="B49" s="13">
        <v>45299</v>
      </c>
      <c r="C49" s="14" t="s">
        <v>25</v>
      </c>
      <c r="D49" s="14" t="s">
        <v>14</v>
      </c>
      <c r="E49" s="14" t="s">
        <v>18</v>
      </c>
      <c r="F49" s="14" t="s">
        <v>10</v>
      </c>
      <c r="G49" s="15">
        <v>655</v>
      </c>
      <c r="H49" s="275"/>
      <c r="I49" s="275"/>
    </row>
    <row r="50" spans="1:9" x14ac:dyDescent="0.2">
      <c r="A50" s="1"/>
      <c r="B50" s="13">
        <v>45299</v>
      </c>
      <c r="C50" s="14" t="s">
        <v>18</v>
      </c>
      <c r="D50" s="14" t="s">
        <v>14</v>
      </c>
      <c r="E50" s="14" t="s">
        <v>25</v>
      </c>
      <c r="F50" s="14" t="s">
        <v>10</v>
      </c>
      <c r="G50" s="15">
        <v>-655</v>
      </c>
      <c r="H50" s="275"/>
      <c r="I50" s="275"/>
    </row>
    <row r="51" spans="1:9" x14ac:dyDescent="0.2">
      <c r="A51" s="1"/>
      <c r="B51" s="13">
        <v>45299</v>
      </c>
      <c r="C51" s="14" t="s">
        <v>16</v>
      </c>
      <c r="D51" s="14" t="s">
        <v>41</v>
      </c>
      <c r="E51" s="14" t="s">
        <v>47</v>
      </c>
      <c r="F51" s="14" t="s">
        <v>64</v>
      </c>
      <c r="G51" s="15"/>
      <c r="H51" s="275">
        <v>6520</v>
      </c>
      <c r="I51" s="275"/>
    </row>
    <row r="52" spans="1:9" x14ac:dyDescent="0.2">
      <c r="A52" s="1"/>
      <c r="B52" s="13">
        <v>45299</v>
      </c>
      <c r="C52" s="14" t="s">
        <v>25</v>
      </c>
      <c r="D52" s="14" t="s">
        <v>26</v>
      </c>
      <c r="E52" s="14" t="s">
        <v>27</v>
      </c>
      <c r="F52" s="14" t="s">
        <v>65</v>
      </c>
      <c r="G52" s="15"/>
      <c r="H52" s="275"/>
      <c r="I52" s="275">
        <v>-325</v>
      </c>
    </row>
    <row r="53" spans="1:9" x14ac:dyDescent="0.2">
      <c r="A53" s="1"/>
      <c r="B53" s="13">
        <v>45299</v>
      </c>
      <c r="C53" s="14" t="s">
        <v>18</v>
      </c>
      <c r="D53" s="14" t="s">
        <v>26</v>
      </c>
      <c r="E53" s="14" t="s">
        <v>29</v>
      </c>
      <c r="F53" s="14" t="s">
        <v>65</v>
      </c>
      <c r="G53" s="15"/>
      <c r="H53" s="275"/>
      <c r="I53" s="275">
        <v>-325</v>
      </c>
    </row>
    <row r="54" spans="1:9" x14ac:dyDescent="0.2">
      <c r="A54" s="1"/>
      <c r="B54" s="13">
        <v>45299</v>
      </c>
      <c r="C54" s="14" t="s">
        <v>18</v>
      </c>
      <c r="D54" s="14" t="s">
        <v>31</v>
      </c>
      <c r="E54" s="14" t="s">
        <v>32</v>
      </c>
      <c r="F54" s="14" t="s">
        <v>65</v>
      </c>
      <c r="G54" s="15"/>
      <c r="H54" s="275"/>
      <c r="I54" s="275">
        <v>-2500</v>
      </c>
    </row>
    <row r="55" spans="1:9" x14ac:dyDescent="0.2">
      <c r="A55" s="1"/>
      <c r="B55" s="13">
        <v>45300</v>
      </c>
      <c r="C55" s="14" t="s">
        <v>18</v>
      </c>
      <c r="D55" s="14" t="s">
        <v>31</v>
      </c>
      <c r="E55" s="14" t="s">
        <v>49</v>
      </c>
      <c r="F55" s="14" t="s">
        <v>30</v>
      </c>
      <c r="G55" s="15"/>
      <c r="H55" s="275"/>
      <c r="I55" s="275">
        <v>-800</v>
      </c>
    </row>
    <row r="56" spans="1:9" x14ac:dyDescent="0.2">
      <c r="A56" s="1"/>
      <c r="B56" s="13">
        <v>45300</v>
      </c>
      <c r="C56" s="14" t="s">
        <v>25</v>
      </c>
      <c r="D56" s="14" t="s">
        <v>31</v>
      </c>
      <c r="E56" s="14" t="s">
        <v>49</v>
      </c>
      <c r="F56" s="14" t="s">
        <v>66</v>
      </c>
      <c r="G56" s="15"/>
      <c r="H56" s="275"/>
      <c r="I56" s="275">
        <v>-55</v>
      </c>
    </row>
    <row r="57" spans="1:9" x14ac:dyDescent="0.2">
      <c r="A57" s="1"/>
      <c r="B57" s="13">
        <v>45302</v>
      </c>
      <c r="C57" s="14" t="s">
        <v>18</v>
      </c>
      <c r="D57" s="14" t="s">
        <v>33</v>
      </c>
      <c r="E57" s="14" t="s">
        <v>67</v>
      </c>
      <c r="F57" s="14" t="s">
        <v>54</v>
      </c>
      <c r="G57" s="15"/>
      <c r="H57" s="275"/>
      <c r="I57" s="275">
        <v>-756</v>
      </c>
    </row>
    <row r="58" spans="1:9" x14ac:dyDescent="0.2">
      <c r="A58" s="1"/>
      <c r="B58" s="13">
        <v>45302</v>
      </c>
      <c r="C58" s="14" t="s">
        <v>20</v>
      </c>
      <c r="D58" s="14" t="s">
        <v>14</v>
      </c>
      <c r="E58" s="14" t="s">
        <v>20</v>
      </c>
      <c r="F58" s="14" t="s">
        <v>68</v>
      </c>
      <c r="G58" s="15"/>
      <c r="H58" s="275">
        <v>33.53</v>
      </c>
      <c r="I58" s="275"/>
    </row>
    <row r="59" spans="1:9" x14ac:dyDescent="0.2">
      <c r="A59" s="1"/>
      <c r="B59" s="13">
        <v>45302</v>
      </c>
      <c r="C59" s="14" t="s">
        <v>25</v>
      </c>
      <c r="D59" s="14" t="s">
        <v>31</v>
      </c>
      <c r="E59" s="14" t="s">
        <v>49</v>
      </c>
      <c r="F59" s="14" t="s">
        <v>69</v>
      </c>
      <c r="G59" s="15"/>
      <c r="H59" s="275"/>
      <c r="I59" s="275">
        <v>-150</v>
      </c>
    </row>
    <row r="60" spans="1:9" x14ac:dyDescent="0.2">
      <c r="A60" s="1"/>
      <c r="B60" s="13">
        <v>45302</v>
      </c>
      <c r="C60" s="14" t="s">
        <v>16</v>
      </c>
      <c r="D60" s="14" t="s">
        <v>43</v>
      </c>
      <c r="E60" s="14" t="s">
        <v>70</v>
      </c>
      <c r="F60" s="14" t="s">
        <v>71</v>
      </c>
      <c r="G60" s="15"/>
      <c r="H60" s="275"/>
      <c r="I60" s="275">
        <v>-200</v>
      </c>
    </row>
    <row r="61" spans="1:9" x14ac:dyDescent="0.2">
      <c r="A61" s="1"/>
      <c r="B61" s="13">
        <v>45302</v>
      </c>
      <c r="C61" s="14" t="s">
        <v>18</v>
      </c>
      <c r="D61" s="14" t="s">
        <v>43</v>
      </c>
      <c r="E61" s="14" t="s">
        <v>72</v>
      </c>
      <c r="F61" s="14" t="s">
        <v>71</v>
      </c>
      <c r="G61" s="15"/>
      <c r="H61" s="275"/>
      <c r="I61" s="275">
        <v>-134</v>
      </c>
    </row>
    <row r="62" spans="1:9" x14ac:dyDescent="0.2">
      <c r="A62" s="1"/>
      <c r="B62" s="13">
        <v>45302</v>
      </c>
      <c r="C62" s="14" t="s">
        <v>18</v>
      </c>
      <c r="D62" s="14" t="s">
        <v>43</v>
      </c>
      <c r="E62" s="14" t="s">
        <v>73</v>
      </c>
      <c r="F62" s="14" t="s">
        <v>40</v>
      </c>
      <c r="G62" s="15"/>
      <c r="H62" s="275"/>
      <c r="I62" s="275">
        <v>-1600</v>
      </c>
    </row>
    <row r="63" spans="1:9" x14ac:dyDescent="0.2">
      <c r="A63" s="1"/>
      <c r="B63" s="13">
        <v>45303</v>
      </c>
      <c r="C63" s="14" t="s">
        <v>24</v>
      </c>
      <c r="D63" s="14" t="s">
        <v>14</v>
      </c>
      <c r="E63" s="14" t="s">
        <v>18</v>
      </c>
      <c r="F63" s="14" t="s">
        <v>10</v>
      </c>
      <c r="G63" s="15">
        <v>-3800</v>
      </c>
      <c r="H63" s="275"/>
      <c r="I63" s="275"/>
    </row>
    <row r="64" spans="1:9" x14ac:dyDescent="0.2">
      <c r="A64" s="1"/>
      <c r="B64" s="13">
        <v>45303</v>
      </c>
      <c r="C64" s="14" t="s">
        <v>18</v>
      </c>
      <c r="D64" s="14" t="s">
        <v>14</v>
      </c>
      <c r="E64" s="14" t="s">
        <v>24</v>
      </c>
      <c r="F64" s="14" t="s">
        <v>10</v>
      </c>
      <c r="G64" s="15">
        <v>3800</v>
      </c>
      <c r="H64" s="275"/>
      <c r="I64" s="275"/>
    </row>
    <row r="65" spans="1:9" x14ac:dyDescent="0.2">
      <c r="A65" s="1"/>
      <c r="B65" s="13">
        <v>45303</v>
      </c>
      <c r="C65" s="14" t="s">
        <v>18</v>
      </c>
      <c r="D65" s="14" t="s">
        <v>26</v>
      </c>
      <c r="E65" s="14" t="s">
        <v>29</v>
      </c>
      <c r="F65" s="14" t="s">
        <v>74</v>
      </c>
      <c r="G65" s="15"/>
      <c r="H65" s="275"/>
      <c r="I65" s="275">
        <v>-500</v>
      </c>
    </row>
    <row r="66" spans="1:9" x14ac:dyDescent="0.2">
      <c r="A66" s="1"/>
      <c r="B66" s="13">
        <v>45303</v>
      </c>
      <c r="C66" s="14" t="s">
        <v>25</v>
      </c>
      <c r="D66" s="14" t="s">
        <v>31</v>
      </c>
      <c r="E66" s="14" t="s">
        <v>49</v>
      </c>
      <c r="F66" s="14" t="s">
        <v>75</v>
      </c>
      <c r="G66" s="15"/>
      <c r="H66" s="275"/>
      <c r="I66" s="275">
        <v>-13</v>
      </c>
    </row>
    <row r="67" spans="1:9" x14ac:dyDescent="0.2">
      <c r="A67" s="1"/>
      <c r="B67" s="13">
        <v>45303</v>
      </c>
      <c r="C67" s="14" t="s">
        <v>25</v>
      </c>
      <c r="D67" s="14" t="s">
        <v>31</v>
      </c>
      <c r="E67" s="14" t="s">
        <v>49</v>
      </c>
      <c r="F67" s="14" t="s">
        <v>76</v>
      </c>
      <c r="G67" s="15"/>
      <c r="H67" s="275"/>
      <c r="I67" s="275">
        <v>-172</v>
      </c>
    </row>
    <row r="68" spans="1:9" x14ac:dyDescent="0.2">
      <c r="A68" s="1"/>
      <c r="B68" s="13">
        <v>45303</v>
      </c>
      <c r="C68" s="14" t="s">
        <v>25</v>
      </c>
      <c r="D68" s="14" t="s">
        <v>31</v>
      </c>
      <c r="E68" s="14" t="s">
        <v>49</v>
      </c>
      <c r="F68" s="14" t="s">
        <v>77</v>
      </c>
      <c r="G68" s="15"/>
      <c r="H68" s="275"/>
      <c r="I68" s="275">
        <v>-20</v>
      </c>
    </row>
    <row r="69" spans="1:9" x14ac:dyDescent="0.2">
      <c r="A69" s="1"/>
      <c r="B69" s="13">
        <v>45303</v>
      </c>
      <c r="C69" s="14" t="s">
        <v>25</v>
      </c>
      <c r="D69" s="14" t="s">
        <v>31</v>
      </c>
      <c r="E69" s="14" t="s">
        <v>49</v>
      </c>
      <c r="F69" s="14" t="s">
        <v>78</v>
      </c>
      <c r="G69" s="15"/>
      <c r="H69" s="275"/>
      <c r="I69" s="275">
        <v>-40</v>
      </c>
    </row>
    <row r="70" spans="1:9" x14ac:dyDescent="0.2">
      <c r="A70" s="1"/>
      <c r="B70" s="13">
        <v>45303</v>
      </c>
      <c r="C70" s="14" t="s">
        <v>16</v>
      </c>
      <c r="D70" s="14" t="s">
        <v>43</v>
      </c>
      <c r="E70" s="14" t="s">
        <v>771</v>
      </c>
      <c r="F70" s="14" t="s">
        <v>40</v>
      </c>
      <c r="G70" s="15"/>
      <c r="H70" s="275"/>
      <c r="I70" s="275">
        <v>-389</v>
      </c>
    </row>
    <row r="71" spans="1:9" x14ac:dyDescent="0.2">
      <c r="A71" s="1"/>
      <c r="B71" s="13">
        <v>45304</v>
      </c>
      <c r="C71" s="14" t="s">
        <v>25</v>
      </c>
      <c r="D71" s="14" t="s">
        <v>31</v>
      </c>
      <c r="E71" s="14" t="s">
        <v>56</v>
      </c>
      <c r="F71" s="14" t="s">
        <v>79</v>
      </c>
      <c r="G71" s="15"/>
      <c r="H71" s="275"/>
      <c r="I71" s="275">
        <v>-150</v>
      </c>
    </row>
    <row r="72" spans="1:9" x14ac:dyDescent="0.2">
      <c r="A72" s="1"/>
      <c r="B72" s="13">
        <v>45304</v>
      </c>
      <c r="C72" s="14" t="s">
        <v>18</v>
      </c>
      <c r="D72" s="14" t="s">
        <v>31</v>
      </c>
      <c r="E72" s="14" t="s">
        <v>56</v>
      </c>
      <c r="F72" s="14" t="s">
        <v>80</v>
      </c>
      <c r="G72" s="15"/>
      <c r="H72" s="275"/>
      <c r="I72" s="275">
        <v>-345</v>
      </c>
    </row>
    <row r="73" spans="1:9" x14ac:dyDescent="0.2">
      <c r="A73" s="1"/>
      <c r="B73" s="13">
        <v>45305</v>
      </c>
      <c r="C73" s="14" t="s">
        <v>25</v>
      </c>
      <c r="D73" s="14" t="s">
        <v>31</v>
      </c>
      <c r="E73" s="14" t="s">
        <v>56</v>
      </c>
      <c r="F73" s="14" t="s">
        <v>81</v>
      </c>
      <c r="G73" s="15"/>
      <c r="H73" s="275"/>
      <c r="I73" s="275">
        <v>-50</v>
      </c>
    </row>
    <row r="74" spans="1:9" x14ac:dyDescent="0.2">
      <c r="A74" s="1"/>
      <c r="B74" s="13">
        <v>45305</v>
      </c>
      <c r="C74" s="14" t="s">
        <v>18</v>
      </c>
      <c r="D74" s="14" t="s">
        <v>31</v>
      </c>
      <c r="E74" s="14" t="s">
        <v>56</v>
      </c>
      <c r="F74" s="14" t="s">
        <v>82</v>
      </c>
      <c r="G74" s="15"/>
      <c r="H74" s="275"/>
      <c r="I74" s="275">
        <v>-120</v>
      </c>
    </row>
    <row r="75" spans="1:9" x14ac:dyDescent="0.2">
      <c r="A75" s="1"/>
      <c r="B75" s="13">
        <v>45306</v>
      </c>
      <c r="C75" s="14" t="s">
        <v>16</v>
      </c>
      <c r="D75" s="14" t="s">
        <v>38</v>
      </c>
      <c r="E75" s="14" t="s">
        <v>83</v>
      </c>
      <c r="F75" s="14" t="s">
        <v>40</v>
      </c>
      <c r="G75" s="15"/>
      <c r="H75" s="275"/>
      <c r="I75" s="275">
        <v>-300</v>
      </c>
    </row>
    <row r="76" spans="1:9" x14ac:dyDescent="0.2">
      <c r="A76" s="1"/>
      <c r="B76" s="13">
        <v>45306</v>
      </c>
      <c r="C76" s="14" t="s">
        <v>18</v>
      </c>
      <c r="D76" s="14" t="s">
        <v>26</v>
      </c>
      <c r="E76" s="14" t="s">
        <v>27</v>
      </c>
      <c r="F76" s="14" t="s">
        <v>84</v>
      </c>
      <c r="G76" s="15"/>
      <c r="H76" s="275"/>
      <c r="I76" s="275">
        <v>-325</v>
      </c>
    </row>
    <row r="77" spans="1:9" x14ac:dyDescent="0.2">
      <c r="A77" s="1"/>
      <c r="B77" s="13">
        <v>45306</v>
      </c>
      <c r="C77" s="14" t="s">
        <v>18</v>
      </c>
      <c r="D77" s="14" t="s">
        <v>26</v>
      </c>
      <c r="E77" s="14" t="s">
        <v>29</v>
      </c>
      <c r="F77" s="14" t="s">
        <v>85</v>
      </c>
      <c r="G77" s="15"/>
      <c r="H77" s="275"/>
      <c r="I77" s="275">
        <v>-2780</v>
      </c>
    </row>
    <row r="78" spans="1:9" x14ac:dyDescent="0.2">
      <c r="A78" s="1"/>
      <c r="B78" s="13">
        <v>45306</v>
      </c>
      <c r="C78" s="14" t="s">
        <v>18</v>
      </c>
      <c r="D78" s="14" t="s">
        <v>31</v>
      </c>
      <c r="E78" s="14" t="s">
        <v>32</v>
      </c>
      <c r="F78" s="14" t="s">
        <v>84</v>
      </c>
      <c r="G78" s="15"/>
      <c r="H78" s="275"/>
      <c r="I78" s="275">
        <v>-2500</v>
      </c>
    </row>
    <row r="79" spans="1:9" x14ac:dyDescent="0.2">
      <c r="A79" s="1"/>
      <c r="B79" s="13">
        <v>45306</v>
      </c>
      <c r="C79" s="14" t="s">
        <v>16</v>
      </c>
      <c r="D79" s="14" t="s">
        <v>43</v>
      </c>
      <c r="E79" s="14" t="s">
        <v>86</v>
      </c>
      <c r="F79" s="14" t="s">
        <v>40</v>
      </c>
      <c r="G79" s="15"/>
      <c r="H79" s="275"/>
      <c r="I79" s="275">
        <v>-285</v>
      </c>
    </row>
    <row r="80" spans="1:9" x14ac:dyDescent="0.2">
      <c r="A80" s="1"/>
      <c r="B80" s="13">
        <v>45307</v>
      </c>
      <c r="C80" s="14" t="s">
        <v>16</v>
      </c>
      <c r="D80" s="14" t="s">
        <v>38</v>
      </c>
      <c r="E80" s="14" t="s">
        <v>87</v>
      </c>
      <c r="F80" s="14" t="s">
        <v>40</v>
      </c>
      <c r="G80" s="15"/>
      <c r="H80" s="275"/>
      <c r="I80" s="275">
        <v>-719</v>
      </c>
    </row>
    <row r="81" spans="1:9" x14ac:dyDescent="0.2">
      <c r="A81" s="1"/>
      <c r="B81" s="13">
        <v>45308</v>
      </c>
      <c r="C81" s="14" t="s">
        <v>18</v>
      </c>
      <c r="D81" s="14" t="s">
        <v>33</v>
      </c>
      <c r="E81" s="14" t="s">
        <v>34</v>
      </c>
      <c r="F81" s="14" t="s">
        <v>88</v>
      </c>
      <c r="G81" s="15"/>
      <c r="H81" s="275"/>
      <c r="I81" s="275">
        <v>-500</v>
      </c>
    </row>
    <row r="82" spans="1:9" x14ac:dyDescent="0.2">
      <c r="A82" s="1"/>
      <c r="B82" s="13">
        <v>45309</v>
      </c>
      <c r="C82" s="14" t="s">
        <v>25</v>
      </c>
      <c r="D82" s="14" t="s">
        <v>31</v>
      </c>
      <c r="E82" s="14" t="s">
        <v>49</v>
      </c>
      <c r="F82" s="14" t="s">
        <v>89</v>
      </c>
      <c r="G82" s="15"/>
      <c r="H82" s="275"/>
      <c r="I82" s="275">
        <v>-20</v>
      </c>
    </row>
    <row r="83" spans="1:9" x14ac:dyDescent="0.2">
      <c r="A83" s="1"/>
      <c r="B83" s="13">
        <v>45311</v>
      </c>
      <c r="C83" s="14" t="s">
        <v>24</v>
      </c>
      <c r="D83" s="14" t="s">
        <v>14</v>
      </c>
      <c r="E83" s="14" t="s">
        <v>18</v>
      </c>
      <c r="F83" s="14" t="s">
        <v>10</v>
      </c>
      <c r="G83" s="15">
        <v>-3800</v>
      </c>
      <c r="H83" s="275"/>
      <c r="I83" s="275"/>
    </row>
    <row r="84" spans="1:9" x14ac:dyDescent="0.2">
      <c r="A84" s="1"/>
      <c r="B84" s="13">
        <v>45311</v>
      </c>
      <c r="C84" s="14" t="s">
        <v>18</v>
      </c>
      <c r="D84" s="14" t="s">
        <v>14</v>
      </c>
      <c r="E84" s="14" t="s">
        <v>24</v>
      </c>
      <c r="F84" s="14" t="s">
        <v>10</v>
      </c>
      <c r="G84" s="15">
        <v>3800</v>
      </c>
      <c r="H84" s="275"/>
      <c r="I84" s="275"/>
    </row>
    <row r="85" spans="1:9" x14ac:dyDescent="0.2">
      <c r="A85" s="1"/>
      <c r="B85" s="13">
        <v>45311</v>
      </c>
      <c r="C85" s="14" t="s">
        <v>18</v>
      </c>
      <c r="D85" s="14" t="s">
        <v>31</v>
      </c>
      <c r="E85" s="14" t="s">
        <v>56</v>
      </c>
      <c r="F85" s="14" t="s">
        <v>90</v>
      </c>
      <c r="G85" s="15"/>
      <c r="H85" s="275"/>
      <c r="I85" s="275">
        <v>-45</v>
      </c>
    </row>
    <row r="86" spans="1:9" x14ac:dyDescent="0.2">
      <c r="A86" s="1"/>
      <c r="B86" s="13">
        <v>45311</v>
      </c>
      <c r="C86" s="14" t="s">
        <v>18</v>
      </c>
      <c r="D86" s="14" t="s">
        <v>31</v>
      </c>
      <c r="E86" s="14" t="s">
        <v>56</v>
      </c>
      <c r="F86" s="14" t="s">
        <v>91</v>
      </c>
      <c r="G86" s="15"/>
      <c r="H86" s="275"/>
      <c r="I86" s="275">
        <f>-395-35</f>
        <v>-430</v>
      </c>
    </row>
    <row r="87" spans="1:9" x14ac:dyDescent="0.2">
      <c r="A87" s="1"/>
      <c r="B87" s="13">
        <v>45311</v>
      </c>
      <c r="C87" s="14" t="s">
        <v>18</v>
      </c>
      <c r="D87" s="14" t="s">
        <v>31</v>
      </c>
      <c r="E87" s="14" t="s">
        <v>56</v>
      </c>
      <c r="F87" s="14" t="s">
        <v>92</v>
      </c>
      <c r="G87" s="15"/>
      <c r="H87" s="275"/>
      <c r="I87" s="275">
        <v>-30</v>
      </c>
    </row>
    <row r="88" spans="1:9" x14ac:dyDescent="0.2">
      <c r="A88" s="1"/>
      <c r="B88" s="13">
        <v>45311</v>
      </c>
      <c r="C88" s="14" t="s">
        <v>18</v>
      </c>
      <c r="D88" s="14" t="s">
        <v>31</v>
      </c>
      <c r="E88" s="14" t="s">
        <v>56</v>
      </c>
      <c r="F88" s="14" t="s">
        <v>93</v>
      </c>
      <c r="G88" s="15"/>
      <c r="H88" s="275"/>
      <c r="I88" s="275">
        <v>-70</v>
      </c>
    </row>
    <row r="89" spans="1:9" x14ac:dyDescent="0.2">
      <c r="A89" s="1"/>
      <c r="B89" s="13">
        <v>45311</v>
      </c>
      <c r="C89" s="14" t="s">
        <v>25</v>
      </c>
      <c r="D89" s="14" t="s">
        <v>31</v>
      </c>
      <c r="E89" s="14" t="s">
        <v>49</v>
      </c>
      <c r="F89" s="14" t="s">
        <v>94</v>
      </c>
      <c r="G89" s="15"/>
      <c r="H89" s="275"/>
      <c r="I89" s="275">
        <v>-25</v>
      </c>
    </row>
    <row r="90" spans="1:9" x14ac:dyDescent="0.2">
      <c r="A90" s="1"/>
      <c r="B90" s="13">
        <v>45312</v>
      </c>
      <c r="C90" s="14" t="s">
        <v>18</v>
      </c>
      <c r="D90" s="14" t="s">
        <v>14</v>
      </c>
      <c r="E90" s="14" t="s">
        <v>17</v>
      </c>
      <c r="F90" s="14" t="s">
        <v>10</v>
      </c>
      <c r="G90" s="15">
        <v>5000</v>
      </c>
      <c r="H90" s="275"/>
      <c r="I90" s="275"/>
    </row>
    <row r="91" spans="1:9" x14ac:dyDescent="0.2">
      <c r="A91" s="1"/>
      <c r="B91" s="13">
        <v>45312</v>
      </c>
      <c r="C91" s="14" t="s">
        <v>17</v>
      </c>
      <c r="D91" s="14" t="s">
        <v>14</v>
      </c>
      <c r="E91" s="14" t="s">
        <v>18</v>
      </c>
      <c r="F91" s="14" t="s">
        <v>10</v>
      </c>
      <c r="G91" s="15">
        <v>-5000</v>
      </c>
      <c r="H91" s="275"/>
      <c r="I91" s="275"/>
    </row>
    <row r="92" spans="1:9" x14ac:dyDescent="0.2">
      <c r="A92" s="1"/>
      <c r="B92" s="13">
        <v>45312</v>
      </c>
      <c r="C92" s="14" t="s">
        <v>25</v>
      </c>
      <c r="D92" s="14" t="s">
        <v>14</v>
      </c>
      <c r="E92" s="14" t="s">
        <v>18</v>
      </c>
      <c r="F92" s="14" t="s">
        <v>10</v>
      </c>
      <c r="G92" s="15">
        <f>3507-2700</f>
        <v>807</v>
      </c>
      <c r="H92" s="275"/>
      <c r="I92" s="275"/>
    </row>
    <row r="93" spans="1:9" x14ac:dyDescent="0.2">
      <c r="A93" s="1"/>
      <c r="B93" s="13">
        <v>45312</v>
      </c>
      <c r="C93" s="14" t="s">
        <v>18</v>
      </c>
      <c r="D93" s="14" t="s">
        <v>14</v>
      </c>
      <c r="E93" s="14" t="s">
        <v>25</v>
      </c>
      <c r="F93" s="14" t="s">
        <v>10</v>
      </c>
      <c r="G93" s="15">
        <f>-3507+2700</f>
        <v>-807</v>
      </c>
      <c r="H93" s="275"/>
      <c r="I93" s="275"/>
    </row>
    <row r="94" spans="1:9" x14ac:dyDescent="0.2">
      <c r="A94" s="1"/>
      <c r="B94" s="13">
        <v>45312</v>
      </c>
      <c r="C94" s="14" t="s">
        <v>18</v>
      </c>
      <c r="D94" s="14" t="s">
        <v>31</v>
      </c>
      <c r="E94" s="14" t="s">
        <v>56</v>
      </c>
      <c r="F94" s="14" t="s">
        <v>95</v>
      </c>
      <c r="G94" s="15"/>
      <c r="H94" s="275"/>
      <c r="I94" s="275">
        <v>-136</v>
      </c>
    </row>
    <row r="95" spans="1:9" x14ac:dyDescent="0.2">
      <c r="A95" s="1"/>
      <c r="B95" s="13">
        <v>45312</v>
      </c>
      <c r="C95" s="14" t="s">
        <v>18</v>
      </c>
      <c r="D95" s="14" t="s">
        <v>31</v>
      </c>
      <c r="E95" s="14" t="s">
        <v>56</v>
      </c>
      <c r="F95" s="14" t="s">
        <v>63</v>
      </c>
      <c r="G95" s="15"/>
      <c r="H95" s="275"/>
      <c r="I95" s="275">
        <v>-44</v>
      </c>
    </row>
    <row r="96" spans="1:9" x14ac:dyDescent="0.2">
      <c r="A96" s="1"/>
      <c r="B96" s="13">
        <v>45312</v>
      </c>
      <c r="C96" s="14" t="s">
        <v>18</v>
      </c>
      <c r="D96" s="14" t="s">
        <v>31</v>
      </c>
      <c r="E96" s="14" t="s">
        <v>56</v>
      </c>
      <c r="F96" s="14" t="s">
        <v>80</v>
      </c>
      <c r="G96" s="15"/>
      <c r="H96" s="275"/>
      <c r="I96" s="275">
        <v>-148</v>
      </c>
    </row>
    <row r="97" spans="1:9" x14ac:dyDescent="0.2">
      <c r="A97" s="1"/>
      <c r="B97" s="13">
        <v>45313</v>
      </c>
      <c r="C97" s="14" t="s">
        <v>16</v>
      </c>
      <c r="D97" s="14" t="s">
        <v>38</v>
      </c>
      <c r="E97" s="14" t="s">
        <v>96</v>
      </c>
      <c r="F97" s="14" t="s">
        <v>97</v>
      </c>
      <c r="G97" s="15"/>
      <c r="H97" s="275"/>
      <c r="I97" s="275">
        <v>-1600</v>
      </c>
    </row>
    <row r="98" spans="1:9" x14ac:dyDescent="0.2">
      <c r="A98" s="1"/>
      <c r="B98" s="13">
        <v>45313</v>
      </c>
      <c r="C98" s="14" t="s">
        <v>25</v>
      </c>
      <c r="D98" s="14" t="s">
        <v>26</v>
      </c>
      <c r="E98" s="14" t="s">
        <v>27</v>
      </c>
      <c r="F98" s="14" t="s">
        <v>98</v>
      </c>
      <c r="G98" s="15"/>
      <c r="H98" s="275"/>
      <c r="I98" s="275">
        <v>-325</v>
      </c>
    </row>
    <row r="99" spans="1:9" x14ac:dyDescent="0.2">
      <c r="A99" s="1"/>
      <c r="B99" s="13">
        <v>45313</v>
      </c>
      <c r="C99" s="14" t="s">
        <v>18</v>
      </c>
      <c r="D99" s="14" t="s">
        <v>31</v>
      </c>
      <c r="E99" s="14" t="s">
        <v>32</v>
      </c>
      <c r="F99" s="14" t="s">
        <v>98</v>
      </c>
      <c r="G99" s="15"/>
      <c r="H99" s="275"/>
      <c r="I99" s="275">
        <v>-2500</v>
      </c>
    </row>
    <row r="100" spans="1:9" x14ac:dyDescent="0.2">
      <c r="A100" s="1"/>
      <c r="B100" s="13">
        <v>45313</v>
      </c>
      <c r="C100" s="14" t="s">
        <v>25</v>
      </c>
      <c r="D100" s="14" t="s">
        <v>31</v>
      </c>
      <c r="E100" s="14" t="s">
        <v>56</v>
      </c>
      <c r="F100" s="14" t="s">
        <v>99</v>
      </c>
      <c r="G100" s="15"/>
      <c r="H100" s="275">
        <v>363</v>
      </c>
      <c r="I100" s="275"/>
    </row>
    <row r="101" spans="1:9" x14ac:dyDescent="0.2">
      <c r="A101" s="1"/>
      <c r="B101" s="13">
        <v>45313</v>
      </c>
      <c r="C101" s="14" t="s">
        <v>25</v>
      </c>
      <c r="D101" s="14" t="s">
        <v>31</v>
      </c>
      <c r="E101" s="14" t="s">
        <v>49</v>
      </c>
      <c r="F101" s="14" t="s">
        <v>100</v>
      </c>
      <c r="G101" s="15"/>
      <c r="H101" s="275"/>
      <c r="I101" s="275">
        <v>-60</v>
      </c>
    </row>
    <row r="102" spans="1:9" x14ac:dyDescent="0.2">
      <c r="A102" s="1"/>
      <c r="B102" s="13">
        <v>45313</v>
      </c>
      <c r="C102" s="14" t="s">
        <v>25</v>
      </c>
      <c r="D102" s="14" t="s">
        <v>31</v>
      </c>
      <c r="E102" s="14" t="s">
        <v>49</v>
      </c>
      <c r="F102" s="14" t="s">
        <v>101</v>
      </c>
      <c r="G102" s="15"/>
      <c r="H102" s="275"/>
      <c r="I102" s="275">
        <f>-37-5</f>
        <v>-42</v>
      </c>
    </row>
    <row r="103" spans="1:9" x14ac:dyDescent="0.2">
      <c r="A103" s="1"/>
      <c r="B103" s="13">
        <v>45314</v>
      </c>
      <c r="C103" s="14" t="s">
        <v>16</v>
      </c>
      <c r="D103" s="14" t="s">
        <v>38</v>
      </c>
      <c r="E103" s="14" t="s">
        <v>102</v>
      </c>
      <c r="F103" s="14" t="s">
        <v>103</v>
      </c>
      <c r="G103" s="15"/>
      <c r="H103" s="275">
        <v>2000</v>
      </c>
      <c r="I103" s="275"/>
    </row>
    <row r="104" spans="1:9" x14ac:dyDescent="0.2">
      <c r="A104" s="1"/>
      <c r="B104" s="13">
        <v>45315</v>
      </c>
      <c r="C104" s="14" t="s">
        <v>25</v>
      </c>
      <c r="D104" s="14" t="s">
        <v>31</v>
      </c>
      <c r="E104" s="14" t="s">
        <v>49</v>
      </c>
      <c r="F104" s="14" t="s">
        <v>104</v>
      </c>
      <c r="G104" s="15"/>
      <c r="H104" s="275"/>
      <c r="I104" s="275">
        <v>-35</v>
      </c>
    </row>
    <row r="105" spans="1:9" x14ac:dyDescent="0.2">
      <c r="A105" s="1"/>
      <c r="B105" s="13">
        <v>45315</v>
      </c>
      <c r="C105" s="14" t="s">
        <v>25</v>
      </c>
      <c r="D105" s="14" t="s">
        <v>31</v>
      </c>
      <c r="E105" s="14" t="s">
        <v>49</v>
      </c>
      <c r="F105" s="14" t="s">
        <v>78</v>
      </c>
      <c r="G105" s="15"/>
      <c r="H105" s="275"/>
      <c r="I105" s="275">
        <v>-50</v>
      </c>
    </row>
    <row r="106" spans="1:9" x14ac:dyDescent="0.2">
      <c r="A106" s="1"/>
      <c r="B106" s="13">
        <v>45315</v>
      </c>
      <c r="C106" s="14" t="s">
        <v>25</v>
      </c>
      <c r="D106" s="14" t="s">
        <v>31</v>
      </c>
      <c r="E106" s="14" t="s">
        <v>49</v>
      </c>
      <c r="F106" s="14" t="s">
        <v>105</v>
      </c>
      <c r="G106" s="15"/>
      <c r="H106" s="275"/>
      <c r="I106" s="275">
        <v>-20</v>
      </c>
    </row>
    <row r="107" spans="1:9" x14ac:dyDescent="0.2">
      <c r="A107" s="1"/>
      <c r="B107" s="13">
        <v>45316</v>
      </c>
      <c r="C107" s="14" t="s">
        <v>16</v>
      </c>
      <c r="D107" s="14" t="s">
        <v>41</v>
      </c>
      <c r="E107" s="14" t="s">
        <v>47</v>
      </c>
      <c r="F107" s="14" t="s">
        <v>106</v>
      </c>
      <c r="G107" s="15"/>
      <c r="H107" s="275">
        <v>6520</v>
      </c>
      <c r="I107" s="275"/>
    </row>
    <row r="108" spans="1:9" x14ac:dyDescent="0.2">
      <c r="A108" s="1"/>
      <c r="B108" s="13">
        <v>45317</v>
      </c>
      <c r="C108" s="14" t="s">
        <v>16</v>
      </c>
      <c r="D108" s="14" t="s">
        <v>33</v>
      </c>
      <c r="E108" s="14" t="s">
        <v>107</v>
      </c>
      <c r="F108" s="14" t="s">
        <v>108</v>
      </c>
      <c r="G108" s="15"/>
      <c r="H108" s="275"/>
      <c r="I108" s="275">
        <v>-1000</v>
      </c>
    </row>
    <row r="109" spans="1:9" x14ac:dyDescent="0.2">
      <c r="A109" s="1"/>
      <c r="B109" s="13">
        <v>45318</v>
      </c>
      <c r="C109" s="14" t="s">
        <v>25</v>
      </c>
      <c r="D109" s="14" t="s">
        <v>14</v>
      </c>
      <c r="E109" s="14" t="s">
        <v>18</v>
      </c>
      <c r="F109" s="14" t="s">
        <v>10</v>
      </c>
      <c r="G109" s="15">
        <v>724.5</v>
      </c>
      <c r="H109" s="275"/>
      <c r="I109" s="275"/>
    </row>
    <row r="110" spans="1:9" x14ac:dyDescent="0.2">
      <c r="A110" s="1"/>
      <c r="B110" s="13">
        <v>45318</v>
      </c>
      <c r="C110" s="14" t="s">
        <v>18</v>
      </c>
      <c r="D110" s="14" t="s">
        <v>14</v>
      </c>
      <c r="E110" s="14" t="s">
        <v>25</v>
      </c>
      <c r="F110" s="14" t="s">
        <v>10</v>
      </c>
      <c r="G110" s="15">
        <v>-724.5</v>
      </c>
      <c r="H110" s="275"/>
      <c r="I110" s="275"/>
    </row>
    <row r="111" spans="1:9" x14ac:dyDescent="0.2">
      <c r="A111" s="1"/>
      <c r="B111" s="13">
        <v>45318</v>
      </c>
      <c r="C111" s="14" t="s">
        <v>25</v>
      </c>
      <c r="D111" s="14" t="s">
        <v>31</v>
      </c>
      <c r="E111" s="14" t="s">
        <v>56</v>
      </c>
      <c r="F111" s="14" t="s">
        <v>109</v>
      </c>
      <c r="G111" s="15"/>
      <c r="H111" s="275"/>
      <c r="I111" s="275">
        <v>-114</v>
      </c>
    </row>
    <row r="112" spans="1:9" x14ac:dyDescent="0.2">
      <c r="A112" s="1"/>
      <c r="B112" s="13">
        <v>45318</v>
      </c>
      <c r="C112" s="14" t="s">
        <v>25</v>
      </c>
      <c r="D112" s="14" t="s">
        <v>31</v>
      </c>
      <c r="E112" s="14" t="s">
        <v>56</v>
      </c>
      <c r="F112" s="14" t="s">
        <v>110</v>
      </c>
      <c r="G112" s="15"/>
      <c r="H112" s="275"/>
      <c r="I112" s="275">
        <v>-101</v>
      </c>
    </row>
    <row r="113" spans="1:9" x14ac:dyDescent="0.2">
      <c r="A113" s="1"/>
      <c r="B113" s="13">
        <v>45318</v>
      </c>
      <c r="C113" s="14" t="s">
        <v>25</v>
      </c>
      <c r="D113" s="14" t="s">
        <v>31</v>
      </c>
      <c r="E113" s="14" t="s">
        <v>56</v>
      </c>
      <c r="F113" s="14" t="s">
        <v>80</v>
      </c>
      <c r="G113" s="15"/>
      <c r="H113" s="275"/>
      <c r="I113" s="275">
        <v>-423</v>
      </c>
    </row>
    <row r="114" spans="1:9" x14ac:dyDescent="0.2">
      <c r="A114" s="1"/>
      <c r="B114" s="13">
        <v>45318</v>
      </c>
      <c r="C114" s="14" t="s">
        <v>18</v>
      </c>
      <c r="D114" s="14" t="s">
        <v>31</v>
      </c>
      <c r="E114" s="14" t="s">
        <v>56</v>
      </c>
      <c r="F114" s="14" t="s">
        <v>99</v>
      </c>
      <c r="G114" s="15"/>
      <c r="H114" s="275"/>
      <c r="I114" s="275">
        <f>-35.5-11.5</f>
        <v>-47</v>
      </c>
    </row>
    <row r="115" spans="1:9" x14ac:dyDescent="0.2">
      <c r="A115" s="1"/>
      <c r="B115" s="13">
        <v>45318</v>
      </c>
      <c r="C115" s="14" t="s">
        <v>25</v>
      </c>
      <c r="D115" s="14" t="s">
        <v>31</v>
      </c>
      <c r="E115" s="14" t="s">
        <v>56</v>
      </c>
      <c r="F115" s="14" t="s">
        <v>111</v>
      </c>
      <c r="G115" s="15"/>
      <c r="H115" s="275"/>
      <c r="I115" s="275">
        <v>-87</v>
      </c>
    </row>
    <row r="116" spans="1:9" x14ac:dyDescent="0.2">
      <c r="A116" s="1"/>
      <c r="B116" s="13">
        <v>45319</v>
      </c>
      <c r="C116" s="14" t="s">
        <v>24</v>
      </c>
      <c r="D116" s="14" t="s">
        <v>14</v>
      </c>
      <c r="E116" s="14" t="s">
        <v>18</v>
      </c>
      <c r="F116" s="14" t="s">
        <v>10</v>
      </c>
      <c r="G116" s="15">
        <v>-5800</v>
      </c>
      <c r="H116" s="275"/>
      <c r="I116" s="275"/>
    </row>
    <row r="117" spans="1:9" x14ac:dyDescent="0.2">
      <c r="A117" s="1"/>
      <c r="B117" s="13">
        <v>45319</v>
      </c>
      <c r="C117" s="14" t="s">
        <v>18</v>
      </c>
      <c r="D117" s="14" t="s">
        <v>14</v>
      </c>
      <c r="E117" s="14" t="s">
        <v>24</v>
      </c>
      <c r="F117" s="14" t="s">
        <v>10</v>
      </c>
      <c r="G117" s="15">
        <v>5800</v>
      </c>
      <c r="H117" s="275"/>
      <c r="I117" s="275"/>
    </row>
    <row r="118" spans="1:9" x14ac:dyDescent="0.2">
      <c r="A118" s="1"/>
      <c r="B118" s="13">
        <v>45319</v>
      </c>
      <c r="C118" s="14" t="s">
        <v>25</v>
      </c>
      <c r="D118" s="14" t="s">
        <v>31</v>
      </c>
      <c r="E118" s="14" t="s">
        <v>56</v>
      </c>
      <c r="F118" s="14" t="s">
        <v>95</v>
      </c>
      <c r="G118" s="15"/>
      <c r="H118" s="275"/>
      <c r="I118" s="275">
        <v>-161</v>
      </c>
    </row>
    <row r="119" spans="1:9" x14ac:dyDescent="0.2">
      <c r="A119" s="1"/>
      <c r="B119" s="13">
        <v>45319</v>
      </c>
      <c r="C119" s="14" t="s">
        <v>25</v>
      </c>
      <c r="D119" s="14" t="s">
        <v>31</v>
      </c>
      <c r="E119" s="14" t="s">
        <v>56</v>
      </c>
      <c r="F119" s="14" t="s">
        <v>112</v>
      </c>
      <c r="G119" s="15"/>
      <c r="H119" s="275"/>
      <c r="I119" s="275">
        <v>-139</v>
      </c>
    </row>
    <row r="120" spans="1:9" x14ac:dyDescent="0.2">
      <c r="A120" s="1"/>
      <c r="B120" s="13">
        <v>45320</v>
      </c>
      <c r="C120" s="14" t="s">
        <v>18</v>
      </c>
      <c r="D120" s="14" t="s">
        <v>14</v>
      </c>
      <c r="E120" s="14" t="s">
        <v>16</v>
      </c>
      <c r="F120" s="14" t="s">
        <v>10</v>
      </c>
      <c r="G120" s="15">
        <v>7000</v>
      </c>
      <c r="H120" s="275"/>
      <c r="I120" s="275"/>
    </row>
    <row r="121" spans="1:9" x14ac:dyDescent="0.2">
      <c r="A121" s="1"/>
      <c r="B121" s="13">
        <v>45320</v>
      </c>
      <c r="C121" s="14" t="s">
        <v>17</v>
      </c>
      <c r="D121" s="14" t="s">
        <v>14</v>
      </c>
      <c r="E121" s="14" t="s">
        <v>16</v>
      </c>
      <c r="F121" s="14" t="s">
        <v>10</v>
      </c>
      <c r="G121" s="15">
        <v>3000</v>
      </c>
      <c r="H121" s="275"/>
      <c r="I121" s="275"/>
    </row>
    <row r="122" spans="1:9" x14ac:dyDescent="0.2">
      <c r="A122" s="1"/>
      <c r="B122" s="13">
        <v>45320</v>
      </c>
      <c r="C122" s="14" t="s">
        <v>16</v>
      </c>
      <c r="D122" s="14" t="s">
        <v>14</v>
      </c>
      <c r="E122" s="14" t="s">
        <v>18</v>
      </c>
      <c r="F122" s="14" t="s">
        <v>10</v>
      </c>
      <c r="G122" s="15">
        <v>-10000</v>
      </c>
      <c r="H122" s="275"/>
      <c r="I122" s="275"/>
    </row>
    <row r="123" spans="1:9" x14ac:dyDescent="0.2">
      <c r="A123" s="1"/>
      <c r="B123" s="13">
        <v>45320</v>
      </c>
      <c r="C123" s="14" t="s">
        <v>25</v>
      </c>
      <c r="D123" s="14" t="s">
        <v>14</v>
      </c>
      <c r="E123" s="14" t="s">
        <v>18</v>
      </c>
      <c r="F123" s="14" t="s">
        <v>10</v>
      </c>
      <c r="G123" s="15">
        <v>98.5</v>
      </c>
      <c r="H123" s="275"/>
      <c r="I123" s="275"/>
    </row>
    <row r="124" spans="1:9" x14ac:dyDescent="0.2">
      <c r="A124" s="1"/>
      <c r="B124" s="13">
        <v>45320</v>
      </c>
      <c r="C124" s="14" t="s">
        <v>18</v>
      </c>
      <c r="D124" s="14" t="s">
        <v>14</v>
      </c>
      <c r="E124" s="14" t="s">
        <v>25</v>
      </c>
      <c r="F124" s="14" t="s">
        <v>10</v>
      </c>
      <c r="G124" s="15">
        <v>-98.5</v>
      </c>
      <c r="H124" s="275"/>
      <c r="I124" s="275"/>
    </row>
    <row r="125" spans="1:9" x14ac:dyDescent="0.2">
      <c r="A125" s="1"/>
      <c r="B125" s="13">
        <v>45320</v>
      </c>
      <c r="C125" s="14" t="s">
        <v>16</v>
      </c>
      <c r="D125" s="14" t="s">
        <v>38</v>
      </c>
      <c r="E125" s="14" t="s">
        <v>113</v>
      </c>
      <c r="F125" s="14" t="s">
        <v>114</v>
      </c>
      <c r="G125" s="15"/>
      <c r="H125" s="275"/>
      <c r="I125" s="275">
        <v>-735</v>
      </c>
    </row>
    <row r="126" spans="1:9" x14ac:dyDescent="0.2">
      <c r="A126" s="1"/>
      <c r="B126" s="13">
        <v>45320</v>
      </c>
      <c r="C126" s="14" t="s">
        <v>18</v>
      </c>
      <c r="D126" s="14" t="s">
        <v>31</v>
      </c>
      <c r="E126" s="14" t="s">
        <v>32</v>
      </c>
      <c r="F126" s="14" t="s">
        <v>115</v>
      </c>
      <c r="G126" s="15"/>
      <c r="H126" s="275"/>
      <c r="I126" s="275">
        <v>-2500</v>
      </c>
    </row>
    <row r="127" spans="1:9" x14ac:dyDescent="0.2">
      <c r="A127" s="1"/>
      <c r="B127" s="13">
        <v>45322</v>
      </c>
      <c r="C127" s="14" t="s">
        <v>20</v>
      </c>
      <c r="D127" s="14" t="s">
        <v>14</v>
      </c>
      <c r="E127" s="14" t="s">
        <v>20</v>
      </c>
      <c r="F127" s="14" t="s">
        <v>60</v>
      </c>
      <c r="G127" s="15"/>
      <c r="H127" s="275">
        <v>0</v>
      </c>
      <c r="I127" s="275"/>
    </row>
    <row r="128" spans="1:9" x14ac:dyDescent="0.2">
      <c r="A128" s="1"/>
      <c r="B128" s="13">
        <v>45322</v>
      </c>
      <c r="C128" s="14" t="s">
        <v>21</v>
      </c>
      <c r="D128" s="14" t="s">
        <v>14</v>
      </c>
      <c r="E128" s="14" t="s">
        <v>21</v>
      </c>
      <c r="F128" s="14" t="s">
        <v>116</v>
      </c>
      <c r="G128" s="15"/>
      <c r="H128" s="275">
        <v>638.67999999999995</v>
      </c>
      <c r="I128" s="275"/>
    </row>
    <row r="129" spans="1:9" x14ac:dyDescent="0.2">
      <c r="A129" s="1"/>
      <c r="B129" s="13">
        <v>45322</v>
      </c>
      <c r="C129" s="14" t="s">
        <v>23</v>
      </c>
      <c r="D129" s="14" t="s">
        <v>14</v>
      </c>
      <c r="E129" s="14" t="s">
        <v>23</v>
      </c>
      <c r="F129" s="14" t="s">
        <v>60</v>
      </c>
      <c r="G129" s="15"/>
      <c r="H129" s="275">
        <v>9.65</v>
      </c>
      <c r="I129" s="275"/>
    </row>
    <row r="130" spans="1:9" x14ac:dyDescent="0.2">
      <c r="A130" s="1"/>
      <c r="B130" s="13">
        <v>45322</v>
      </c>
      <c r="C130" s="14" t="s">
        <v>18</v>
      </c>
      <c r="D130" s="14" t="s">
        <v>41</v>
      </c>
      <c r="E130" s="14" t="s">
        <v>45</v>
      </c>
      <c r="F130" s="14" t="s">
        <v>40</v>
      </c>
      <c r="G130" s="15"/>
      <c r="H130" s="275">
        <v>9000</v>
      </c>
      <c r="I130" s="275"/>
    </row>
    <row r="131" spans="1:9" x14ac:dyDescent="0.2">
      <c r="A131" s="1"/>
      <c r="B131" s="13">
        <v>45322</v>
      </c>
      <c r="C131" s="14" t="s">
        <v>16</v>
      </c>
      <c r="D131" s="14" t="s">
        <v>41</v>
      </c>
      <c r="E131" s="14" t="s">
        <v>47</v>
      </c>
      <c r="F131" s="14" t="s">
        <v>117</v>
      </c>
      <c r="G131" s="15"/>
      <c r="H131" s="275">
        <v>6760</v>
      </c>
      <c r="I131" s="275"/>
    </row>
    <row r="132" spans="1:9" x14ac:dyDescent="0.2">
      <c r="A132" s="1"/>
      <c r="B132" s="13">
        <v>45322</v>
      </c>
      <c r="C132" s="14" t="s">
        <v>25</v>
      </c>
      <c r="D132" s="14" t="s">
        <v>31</v>
      </c>
      <c r="E132" s="14" t="s">
        <v>49</v>
      </c>
      <c r="F132" s="14" t="s">
        <v>78</v>
      </c>
      <c r="G132" s="15"/>
      <c r="H132" s="275"/>
      <c r="I132" s="275">
        <v>-20</v>
      </c>
    </row>
    <row r="133" spans="1:9" x14ac:dyDescent="0.2">
      <c r="A133" s="1"/>
      <c r="B133" s="13">
        <v>45322</v>
      </c>
      <c r="C133" s="14" t="s">
        <v>25</v>
      </c>
      <c r="D133" s="14" t="s">
        <v>31</v>
      </c>
      <c r="E133" s="14" t="s">
        <v>49</v>
      </c>
      <c r="F133" s="14" t="s">
        <v>105</v>
      </c>
      <c r="G133" s="15"/>
      <c r="H133" s="275"/>
      <c r="I133" s="275">
        <v>-20</v>
      </c>
    </row>
    <row r="134" spans="1:9" x14ac:dyDescent="0.2">
      <c r="A134" s="1"/>
      <c r="B134" s="13">
        <v>45322</v>
      </c>
      <c r="C134" s="14" t="s">
        <v>25</v>
      </c>
      <c r="D134" s="14" t="s">
        <v>31</v>
      </c>
      <c r="E134" s="14" t="s">
        <v>49</v>
      </c>
      <c r="F134" s="14" t="s">
        <v>104</v>
      </c>
      <c r="G134" s="15"/>
      <c r="H134" s="275"/>
      <c r="I134" s="275">
        <v>-35</v>
      </c>
    </row>
    <row r="135" spans="1:9" x14ac:dyDescent="0.2">
      <c r="A135" s="1"/>
      <c r="B135" s="13">
        <v>45322</v>
      </c>
      <c r="C135" s="14" t="s">
        <v>16</v>
      </c>
      <c r="D135" s="14" t="s">
        <v>43</v>
      </c>
      <c r="E135" s="14" t="s">
        <v>118</v>
      </c>
      <c r="F135" s="14" t="s">
        <v>114</v>
      </c>
      <c r="G135" s="15"/>
      <c r="H135" s="275"/>
      <c r="I135" s="275">
        <v>-215</v>
      </c>
    </row>
    <row r="136" spans="1:9" x14ac:dyDescent="0.2">
      <c r="A136" s="1"/>
      <c r="B136" s="13">
        <v>45323</v>
      </c>
      <c r="C136" s="14" t="s">
        <v>24</v>
      </c>
      <c r="D136" s="14" t="s">
        <v>41</v>
      </c>
      <c r="E136" s="14" t="s">
        <v>42</v>
      </c>
      <c r="F136" s="14" t="s">
        <v>119</v>
      </c>
      <c r="G136" s="15"/>
      <c r="H136" s="275">
        <v>22383.67</v>
      </c>
      <c r="I136" s="275"/>
    </row>
    <row r="137" spans="1:9" x14ac:dyDescent="0.2">
      <c r="A137" s="1"/>
      <c r="B137" s="13">
        <v>45324</v>
      </c>
      <c r="C137" s="14" t="s">
        <v>18</v>
      </c>
      <c r="D137" s="14" t="s">
        <v>33</v>
      </c>
      <c r="E137" s="14" t="s">
        <v>36</v>
      </c>
      <c r="F137" s="14" t="s">
        <v>119</v>
      </c>
      <c r="G137" s="15"/>
      <c r="H137" s="275"/>
      <c r="I137" s="275">
        <v>-6000</v>
      </c>
    </row>
    <row r="138" spans="1:9" x14ac:dyDescent="0.2">
      <c r="A138" s="1"/>
      <c r="B138" s="13">
        <v>45324</v>
      </c>
      <c r="C138" s="14" t="s">
        <v>24</v>
      </c>
      <c r="D138" s="14" t="s">
        <v>14</v>
      </c>
      <c r="E138" s="14" t="s">
        <v>17</v>
      </c>
      <c r="F138" s="14" t="s">
        <v>10</v>
      </c>
      <c r="G138" s="15">
        <v>-10000</v>
      </c>
      <c r="H138" s="275"/>
      <c r="I138" s="275"/>
    </row>
    <row r="139" spans="1:9" x14ac:dyDescent="0.2">
      <c r="A139" s="1"/>
      <c r="B139" s="13">
        <v>45324</v>
      </c>
      <c r="C139" s="14" t="s">
        <v>23</v>
      </c>
      <c r="D139" s="14" t="s">
        <v>14</v>
      </c>
      <c r="E139" s="14" t="s">
        <v>18</v>
      </c>
      <c r="F139" s="14" t="s">
        <v>10</v>
      </c>
      <c r="G139" s="15">
        <v>1000</v>
      </c>
      <c r="H139" s="275"/>
      <c r="I139" s="275"/>
    </row>
    <row r="140" spans="1:9" x14ac:dyDescent="0.2">
      <c r="A140" s="1"/>
      <c r="B140" s="13">
        <v>45324</v>
      </c>
      <c r="C140" s="14" t="s">
        <v>18</v>
      </c>
      <c r="D140" s="14" t="s">
        <v>14</v>
      </c>
      <c r="E140" s="14" t="s">
        <v>23</v>
      </c>
      <c r="F140" s="14" t="s">
        <v>10</v>
      </c>
      <c r="G140" s="15">
        <v>-1000</v>
      </c>
      <c r="H140" s="275"/>
      <c r="I140" s="275"/>
    </row>
    <row r="141" spans="1:9" x14ac:dyDescent="0.2">
      <c r="A141" s="1"/>
      <c r="B141" s="13">
        <v>45324</v>
      </c>
      <c r="C141" s="14" t="s">
        <v>17</v>
      </c>
      <c r="D141" s="14" t="s">
        <v>14</v>
      </c>
      <c r="E141" s="14" t="s">
        <v>24</v>
      </c>
      <c r="F141" s="14" t="s">
        <v>10</v>
      </c>
      <c r="G141" s="15">
        <v>10000</v>
      </c>
      <c r="H141" s="275"/>
      <c r="I141" s="275"/>
    </row>
    <row r="142" spans="1:9" x14ac:dyDescent="0.2">
      <c r="A142" s="1"/>
      <c r="B142" s="13">
        <v>45324</v>
      </c>
      <c r="C142" s="14" t="s">
        <v>25</v>
      </c>
      <c r="D142" s="14" t="s">
        <v>26</v>
      </c>
      <c r="E142" s="14" t="s">
        <v>27</v>
      </c>
      <c r="F142" s="14" t="s">
        <v>120</v>
      </c>
      <c r="G142" s="15"/>
      <c r="H142" s="275"/>
      <c r="I142" s="275">
        <v>-100</v>
      </c>
    </row>
    <row r="143" spans="1:9" x14ac:dyDescent="0.2">
      <c r="A143" s="1"/>
      <c r="B143" s="13">
        <v>45324</v>
      </c>
      <c r="C143" s="14" t="s">
        <v>25</v>
      </c>
      <c r="D143" s="14" t="s">
        <v>31</v>
      </c>
      <c r="E143" s="14" t="s">
        <v>49</v>
      </c>
      <c r="F143" s="14" t="s">
        <v>109</v>
      </c>
      <c r="G143" s="15"/>
      <c r="H143" s="275"/>
      <c r="I143" s="275">
        <v>-133</v>
      </c>
    </row>
    <row r="144" spans="1:9" x14ac:dyDescent="0.2">
      <c r="A144" s="1"/>
      <c r="B144" s="13">
        <v>45324</v>
      </c>
      <c r="C144" s="14" t="s">
        <v>25</v>
      </c>
      <c r="D144" s="14" t="s">
        <v>31</v>
      </c>
      <c r="E144" s="14" t="s">
        <v>49</v>
      </c>
      <c r="F144" s="14" t="s">
        <v>121</v>
      </c>
      <c r="G144" s="15"/>
      <c r="H144" s="275"/>
      <c r="I144" s="275">
        <v>-20</v>
      </c>
    </row>
    <row r="145" spans="1:9" x14ac:dyDescent="0.2">
      <c r="A145" s="1"/>
      <c r="B145" s="13">
        <v>45324</v>
      </c>
      <c r="C145" s="14" t="s">
        <v>25</v>
      </c>
      <c r="D145" s="14" t="s">
        <v>31</v>
      </c>
      <c r="E145" s="14" t="s">
        <v>49</v>
      </c>
      <c r="F145" s="14" t="s">
        <v>122</v>
      </c>
      <c r="G145" s="15"/>
      <c r="H145" s="275"/>
      <c r="I145" s="275">
        <v>-60</v>
      </c>
    </row>
    <row r="146" spans="1:9" x14ac:dyDescent="0.2">
      <c r="A146" s="1"/>
      <c r="B146" s="13">
        <v>45325</v>
      </c>
      <c r="C146" s="14" t="s">
        <v>18</v>
      </c>
      <c r="D146" s="14" t="s">
        <v>14</v>
      </c>
      <c r="E146" s="14" t="s">
        <v>17</v>
      </c>
      <c r="F146" s="14" t="s">
        <v>10</v>
      </c>
      <c r="G146" s="15">
        <v>-4000</v>
      </c>
      <c r="H146" s="275"/>
      <c r="I146" s="275"/>
    </row>
    <row r="147" spans="1:9" x14ac:dyDescent="0.2">
      <c r="A147" s="1"/>
      <c r="B147" s="13">
        <v>45325</v>
      </c>
      <c r="C147" s="14" t="s">
        <v>17</v>
      </c>
      <c r="D147" s="14" t="s">
        <v>14</v>
      </c>
      <c r="E147" s="14" t="s">
        <v>18</v>
      </c>
      <c r="F147" s="14" t="s">
        <v>10</v>
      </c>
      <c r="G147" s="15">
        <v>4000</v>
      </c>
      <c r="H147" s="275"/>
      <c r="I147" s="275"/>
    </row>
    <row r="148" spans="1:9" x14ac:dyDescent="0.2">
      <c r="A148" s="1"/>
      <c r="B148" s="13">
        <v>45325</v>
      </c>
      <c r="C148" s="14" t="s">
        <v>25</v>
      </c>
      <c r="D148" s="14" t="s">
        <v>31</v>
      </c>
      <c r="E148" s="14" t="s">
        <v>56</v>
      </c>
      <c r="F148" s="14" t="s">
        <v>78</v>
      </c>
      <c r="G148" s="15"/>
      <c r="H148" s="275"/>
      <c r="I148" s="275">
        <v>-60</v>
      </c>
    </row>
    <row r="149" spans="1:9" x14ac:dyDescent="0.2">
      <c r="A149" s="1"/>
      <c r="B149" s="13">
        <v>45325</v>
      </c>
      <c r="C149" s="14" t="s">
        <v>25</v>
      </c>
      <c r="D149" s="14" t="s">
        <v>31</v>
      </c>
      <c r="E149" s="14" t="s">
        <v>56</v>
      </c>
      <c r="F149" s="14" t="s">
        <v>123</v>
      </c>
      <c r="G149" s="15"/>
      <c r="H149" s="275"/>
      <c r="I149" s="275">
        <v>-161</v>
      </c>
    </row>
    <row r="150" spans="1:9" x14ac:dyDescent="0.2">
      <c r="A150" s="1"/>
      <c r="B150" s="13">
        <v>45326</v>
      </c>
      <c r="C150" s="14" t="s">
        <v>25</v>
      </c>
      <c r="D150" s="14" t="s">
        <v>14</v>
      </c>
      <c r="E150" s="14" t="s">
        <v>18</v>
      </c>
      <c r="F150" s="14" t="s">
        <v>10</v>
      </c>
      <c r="G150" s="15">
        <v>4735</v>
      </c>
      <c r="H150" s="275"/>
      <c r="I150" s="275"/>
    </row>
    <row r="151" spans="1:9" x14ac:dyDescent="0.2">
      <c r="A151" s="1"/>
      <c r="B151" s="13">
        <v>45326</v>
      </c>
      <c r="C151" s="14" t="s">
        <v>18</v>
      </c>
      <c r="D151" s="14" t="s">
        <v>14</v>
      </c>
      <c r="E151" s="14" t="s">
        <v>25</v>
      </c>
      <c r="F151" s="14" t="s">
        <v>10</v>
      </c>
      <c r="G151" s="15">
        <v>-4735</v>
      </c>
      <c r="H151" s="275"/>
      <c r="I151" s="275"/>
    </row>
    <row r="152" spans="1:9" x14ac:dyDescent="0.2">
      <c r="A152" s="1"/>
      <c r="B152" s="13">
        <v>45326</v>
      </c>
      <c r="C152" s="14" t="s">
        <v>18</v>
      </c>
      <c r="D152" s="14" t="s">
        <v>31</v>
      </c>
      <c r="E152" s="14" t="s">
        <v>56</v>
      </c>
      <c r="F152" s="14" t="s">
        <v>80</v>
      </c>
      <c r="G152" s="15"/>
      <c r="H152" s="275"/>
      <c r="I152" s="275">
        <v>-345</v>
      </c>
    </row>
    <row r="153" spans="1:9" x14ac:dyDescent="0.2">
      <c r="A153" s="1"/>
      <c r="B153" s="13">
        <v>45326</v>
      </c>
      <c r="C153" s="14" t="s">
        <v>25</v>
      </c>
      <c r="D153" s="14" t="s">
        <v>31</v>
      </c>
      <c r="E153" s="14" t="s">
        <v>56</v>
      </c>
      <c r="F153" s="14" t="s">
        <v>110</v>
      </c>
      <c r="G153" s="15"/>
      <c r="H153" s="275"/>
      <c r="I153" s="275">
        <v>-107</v>
      </c>
    </row>
    <row r="154" spans="1:9" x14ac:dyDescent="0.2">
      <c r="A154" s="1"/>
      <c r="B154" s="13">
        <v>45327</v>
      </c>
      <c r="C154" s="14" t="s">
        <v>25</v>
      </c>
      <c r="D154" s="14" t="s">
        <v>31</v>
      </c>
      <c r="E154" s="14" t="s">
        <v>32</v>
      </c>
      <c r="F154" s="14" t="s">
        <v>124</v>
      </c>
      <c r="G154" s="15"/>
      <c r="H154" s="275"/>
      <c r="I154" s="275">
        <v>-2500</v>
      </c>
    </row>
    <row r="155" spans="1:9" x14ac:dyDescent="0.2">
      <c r="A155" s="1"/>
      <c r="B155" s="13">
        <v>45328</v>
      </c>
      <c r="C155" s="14" t="s">
        <v>16</v>
      </c>
      <c r="D155" s="14" t="s">
        <v>43</v>
      </c>
      <c r="E155" s="14" t="s">
        <v>771</v>
      </c>
      <c r="F155" s="14" t="s">
        <v>119</v>
      </c>
      <c r="G155" s="15"/>
      <c r="H155" s="275"/>
      <c r="I155" s="275">
        <v>-389</v>
      </c>
    </row>
    <row r="156" spans="1:9" x14ac:dyDescent="0.2">
      <c r="A156" s="1"/>
      <c r="B156" s="13">
        <v>45329</v>
      </c>
      <c r="C156" s="14" t="s">
        <v>18</v>
      </c>
      <c r="D156" s="14" t="s">
        <v>14</v>
      </c>
      <c r="E156" s="14" t="s">
        <v>16</v>
      </c>
      <c r="F156" s="14" t="s">
        <v>10</v>
      </c>
      <c r="G156" s="15">
        <v>10000</v>
      </c>
      <c r="H156" s="275"/>
      <c r="I156" s="275"/>
    </row>
    <row r="157" spans="1:9" x14ac:dyDescent="0.2">
      <c r="A157" s="1"/>
      <c r="B157" s="13">
        <v>45329</v>
      </c>
      <c r="C157" s="14" t="s">
        <v>16</v>
      </c>
      <c r="D157" s="14" t="s">
        <v>14</v>
      </c>
      <c r="E157" s="14" t="s">
        <v>16</v>
      </c>
      <c r="F157" s="14" t="s">
        <v>125</v>
      </c>
      <c r="G157" s="15"/>
      <c r="H157" s="275">
        <v>1.48</v>
      </c>
      <c r="I157" s="275"/>
    </row>
    <row r="158" spans="1:9" x14ac:dyDescent="0.2">
      <c r="A158" s="1"/>
      <c r="B158" s="13">
        <v>45329</v>
      </c>
      <c r="C158" s="14" t="s">
        <v>16</v>
      </c>
      <c r="D158" s="14" t="s">
        <v>14</v>
      </c>
      <c r="E158" s="14" t="s">
        <v>18</v>
      </c>
      <c r="F158" s="14" t="s">
        <v>10</v>
      </c>
      <c r="G158" s="15">
        <v>-10000</v>
      </c>
      <c r="H158" s="275"/>
      <c r="I158" s="275"/>
    </row>
    <row r="159" spans="1:9" x14ac:dyDescent="0.2">
      <c r="A159" s="1"/>
      <c r="B159" s="13">
        <v>45329</v>
      </c>
      <c r="C159" s="14" t="s">
        <v>25</v>
      </c>
      <c r="D159" s="14" t="s">
        <v>126</v>
      </c>
      <c r="E159" s="14" t="s">
        <v>612</v>
      </c>
      <c r="F159" s="14" t="s">
        <v>128</v>
      </c>
      <c r="G159" s="15"/>
      <c r="H159" s="275"/>
      <c r="I159" s="275">
        <v>-699</v>
      </c>
    </row>
    <row r="160" spans="1:9" x14ac:dyDescent="0.2">
      <c r="A160" s="1"/>
      <c r="B160" s="13">
        <v>45329</v>
      </c>
      <c r="C160" s="14" t="s">
        <v>25</v>
      </c>
      <c r="D160" s="14" t="s">
        <v>126</v>
      </c>
      <c r="E160" s="14" t="s">
        <v>612</v>
      </c>
      <c r="F160" s="14" t="s">
        <v>129</v>
      </c>
      <c r="G160" s="15"/>
      <c r="H160" s="275"/>
      <c r="I160" s="275">
        <v>-79</v>
      </c>
    </row>
    <row r="161" spans="1:9" x14ac:dyDescent="0.2">
      <c r="A161" s="1"/>
      <c r="B161" s="13">
        <v>45329</v>
      </c>
      <c r="C161" s="14" t="s">
        <v>25</v>
      </c>
      <c r="D161" s="14" t="s">
        <v>126</v>
      </c>
      <c r="E161" s="14" t="s">
        <v>612</v>
      </c>
      <c r="F161" s="14" t="s">
        <v>130</v>
      </c>
      <c r="G161" s="15"/>
      <c r="H161" s="275"/>
      <c r="I161" s="275">
        <v>-102</v>
      </c>
    </row>
    <row r="162" spans="1:9" x14ac:dyDescent="0.2">
      <c r="A162" s="1"/>
      <c r="B162" s="13">
        <v>45329</v>
      </c>
      <c r="C162" s="14" t="s">
        <v>25</v>
      </c>
      <c r="D162" s="14" t="s">
        <v>31</v>
      </c>
      <c r="E162" s="14" t="s">
        <v>49</v>
      </c>
      <c r="F162" s="14" t="s">
        <v>131</v>
      </c>
      <c r="G162" s="15"/>
      <c r="H162" s="275"/>
      <c r="I162" s="275">
        <v>-20</v>
      </c>
    </row>
    <row r="163" spans="1:9" x14ac:dyDescent="0.2">
      <c r="A163" s="1"/>
      <c r="B163" s="13">
        <v>45329</v>
      </c>
      <c r="C163" s="14" t="s">
        <v>25</v>
      </c>
      <c r="D163" s="14" t="s">
        <v>31</v>
      </c>
      <c r="E163" s="14" t="s">
        <v>49</v>
      </c>
      <c r="F163" s="14" t="s">
        <v>132</v>
      </c>
      <c r="G163" s="15"/>
      <c r="H163" s="275"/>
      <c r="I163" s="275">
        <v>-100</v>
      </c>
    </row>
    <row r="164" spans="1:9" x14ac:dyDescent="0.2">
      <c r="A164" s="1"/>
      <c r="B164" s="13">
        <v>45329</v>
      </c>
      <c r="C164" s="14" t="s">
        <v>25</v>
      </c>
      <c r="D164" s="14" t="s">
        <v>31</v>
      </c>
      <c r="E164" s="14" t="s">
        <v>49</v>
      </c>
      <c r="F164" s="14" t="s">
        <v>133</v>
      </c>
      <c r="G164" s="15"/>
      <c r="H164" s="275"/>
      <c r="I164" s="275">
        <v>-20</v>
      </c>
    </row>
    <row r="165" spans="1:9" x14ac:dyDescent="0.2">
      <c r="A165" s="1"/>
      <c r="B165" s="13">
        <v>45329</v>
      </c>
      <c r="C165" s="14" t="s">
        <v>25</v>
      </c>
      <c r="D165" s="14" t="s">
        <v>31</v>
      </c>
      <c r="E165" s="14" t="s">
        <v>49</v>
      </c>
      <c r="F165" s="14" t="s">
        <v>78</v>
      </c>
      <c r="G165" s="15"/>
      <c r="H165" s="275"/>
      <c r="I165" s="275">
        <v>-40</v>
      </c>
    </row>
    <row r="166" spans="1:9" x14ac:dyDescent="0.2">
      <c r="A166" s="1"/>
      <c r="B166" s="13">
        <v>45330</v>
      </c>
      <c r="C166" s="14" t="s">
        <v>25</v>
      </c>
      <c r="D166" s="14" t="s">
        <v>14</v>
      </c>
      <c r="E166" s="14" t="s">
        <v>18</v>
      </c>
      <c r="F166" s="14" t="s">
        <v>10</v>
      </c>
      <c r="G166" s="15">
        <v>143</v>
      </c>
      <c r="H166" s="275"/>
      <c r="I166" s="275"/>
    </row>
    <row r="167" spans="1:9" x14ac:dyDescent="0.2">
      <c r="A167" s="1"/>
      <c r="B167" s="13">
        <v>45330</v>
      </c>
      <c r="C167" s="14" t="s">
        <v>18</v>
      </c>
      <c r="D167" s="14" t="s">
        <v>14</v>
      </c>
      <c r="E167" s="14" t="s">
        <v>25</v>
      </c>
      <c r="F167" s="14" t="s">
        <v>10</v>
      </c>
      <c r="G167" s="15">
        <v>-143</v>
      </c>
      <c r="H167" s="275"/>
      <c r="I167" s="275"/>
    </row>
    <row r="168" spans="1:9" x14ac:dyDescent="0.2">
      <c r="A168" s="1"/>
      <c r="B168" s="13">
        <v>45330</v>
      </c>
      <c r="C168" s="14" t="s">
        <v>18</v>
      </c>
      <c r="D168" s="14" t="s">
        <v>38</v>
      </c>
      <c r="E168" s="14" t="s">
        <v>39</v>
      </c>
      <c r="F168" s="14" t="s">
        <v>119</v>
      </c>
      <c r="G168" s="15"/>
      <c r="H168" s="275"/>
      <c r="I168" s="275">
        <v>-268</v>
      </c>
    </row>
    <row r="169" spans="1:9" x14ac:dyDescent="0.2">
      <c r="A169" s="1"/>
      <c r="B169" s="13">
        <v>45330</v>
      </c>
      <c r="C169" s="14" t="s">
        <v>16</v>
      </c>
      <c r="D169" s="14" t="s">
        <v>41</v>
      </c>
      <c r="E169" s="14" t="s">
        <v>47</v>
      </c>
      <c r="F169" s="14"/>
      <c r="G169" s="15"/>
      <c r="H169" s="275">
        <v>7000</v>
      </c>
      <c r="I169" s="275"/>
    </row>
    <row r="170" spans="1:9" x14ac:dyDescent="0.2">
      <c r="A170" s="1"/>
      <c r="B170" s="13">
        <v>45330</v>
      </c>
      <c r="C170" s="14" t="s">
        <v>18</v>
      </c>
      <c r="D170" s="14" t="s">
        <v>43</v>
      </c>
      <c r="E170" s="14" t="s">
        <v>44</v>
      </c>
      <c r="F170" s="14" t="s">
        <v>119</v>
      </c>
      <c r="G170" s="15"/>
      <c r="H170" s="275"/>
      <c r="I170" s="275">
        <v>-89</v>
      </c>
    </row>
    <row r="171" spans="1:9" x14ac:dyDescent="0.2">
      <c r="A171" s="1"/>
      <c r="B171" s="13">
        <v>45331</v>
      </c>
      <c r="C171" s="14" t="s">
        <v>24</v>
      </c>
      <c r="D171" s="14" t="s">
        <v>14</v>
      </c>
      <c r="E171" s="14" t="s">
        <v>18</v>
      </c>
      <c r="F171" s="14" t="s">
        <v>10</v>
      </c>
      <c r="G171" s="15">
        <v>-5000</v>
      </c>
      <c r="H171" s="275"/>
      <c r="I171" s="275"/>
    </row>
    <row r="172" spans="1:9" x14ac:dyDescent="0.2">
      <c r="A172" s="1"/>
      <c r="B172" s="13">
        <v>45331</v>
      </c>
      <c r="C172" s="14" t="s">
        <v>18</v>
      </c>
      <c r="D172" s="14" t="s">
        <v>14</v>
      </c>
      <c r="E172" s="14" t="s">
        <v>24</v>
      </c>
      <c r="F172" s="14" t="s">
        <v>10</v>
      </c>
      <c r="G172" s="15">
        <v>5000</v>
      </c>
      <c r="H172" s="275"/>
      <c r="I172" s="275"/>
    </row>
    <row r="173" spans="1:9" x14ac:dyDescent="0.2">
      <c r="A173" s="1"/>
      <c r="B173" s="13">
        <v>45331</v>
      </c>
      <c r="C173" s="14" t="s">
        <v>24</v>
      </c>
      <c r="D173" s="14" t="s">
        <v>41</v>
      </c>
      <c r="E173" s="14" t="s">
        <v>46</v>
      </c>
      <c r="F173" s="14" t="s">
        <v>119</v>
      </c>
      <c r="G173" s="15"/>
      <c r="H173" s="275">
        <v>2383.33</v>
      </c>
      <c r="I173" s="275"/>
    </row>
    <row r="174" spans="1:9" x14ac:dyDescent="0.2">
      <c r="A174" s="1"/>
      <c r="B174" s="13">
        <v>45331</v>
      </c>
      <c r="C174" s="14" t="s">
        <v>25</v>
      </c>
      <c r="D174" s="14" t="s">
        <v>31</v>
      </c>
      <c r="E174" s="14" t="s">
        <v>56</v>
      </c>
      <c r="F174" s="14" t="s">
        <v>91</v>
      </c>
      <c r="G174" s="15"/>
      <c r="H174" s="275"/>
      <c r="I174" s="275">
        <v>-520</v>
      </c>
    </row>
    <row r="175" spans="1:9" x14ac:dyDescent="0.2">
      <c r="A175" s="1"/>
      <c r="B175" s="13">
        <v>45331</v>
      </c>
      <c r="C175" s="14" t="s">
        <v>18</v>
      </c>
      <c r="D175" s="14" t="s">
        <v>31</v>
      </c>
      <c r="E175" s="14" t="s">
        <v>49</v>
      </c>
      <c r="F175" s="14" t="s">
        <v>134</v>
      </c>
      <c r="G175" s="15"/>
      <c r="H175" s="275"/>
      <c r="I175" s="275">
        <v>-130</v>
      </c>
    </row>
    <row r="176" spans="1:9" x14ac:dyDescent="0.2">
      <c r="A176" s="1"/>
      <c r="B176" s="13">
        <v>45332</v>
      </c>
      <c r="C176" s="14" t="s">
        <v>18</v>
      </c>
      <c r="D176" s="14" t="s">
        <v>31</v>
      </c>
      <c r="E176" s="14" t="s">
        <v>56</v>
      </c>
      <c r="F176" s="14" t="s">
        <v>135</v>
      </c>
      <c r="G176" s="15"/>
      <c r="H176" s="275"/>
      <c r="I176" s="275">
        <v>-69</v>
      </c>
    </row>
    <row r="177" spans="1:9" x14ac:dyDescent="0.2">
      <c r="A177" s="1"/>
      <c r="B177" s="13">
        <v>45332</v>
      </c>
      <c r="C177" s="14" t="s">
        <v>18</v>
      </c>
      <c r="D177" s="14" t="s">
        <v>31</v>
      </c>
      <c r="E177" s="14" t="s">
        <v>56</v>
      </c>
      <c r="F177" s="14" t="s">
        <v>110</v>
      </c>
      <c r="G177" s="15"/>
      <c r="H177" s="275"/>
      <c r="I177" s="275">
        <v>-90</v>
      </c>
    </row>
    <row r="178" spans="1:9" x14ac:dyDescent="0.2">
      <c r="A178" s="1"/>
      <c r="B178" s="13">
        <v>45332</v>
      </c>
      <c r="C178" s="14" t="s">
        <v>18</v>
      </c>
      <c r="D178" s="14" t="s">
        <v>31</v>
      </c>
      <c r="E178" s="14" t="s">
        <v>56</v>
      </c>
      <c r="F178" s="14" t="s">
        <v>80</v>
      </c>
      <c r="G178" s="15"/>
      <c r="H178" s="275"/>
      <c r="I178" s="275">
        <v>-345</v>
      </c>
    </row>
    <row r="179" spans="1:9" x14ac:dyDescent="0.2">
      <c r="A179" s="1"/>
      <c r="B179" s="13">
        <v>45332</v>
      </c>
      <c r="C179" s="14" t="s">
        <v>18</v>
      </c>
      <c r="D179" s="14" t="s">
        <v>31</v>
      </c>
      <c r="E179" s="14" t="s">
        <v>56</v>
      </c>
      <c r="F179" s="14" t="s">
        <v>136</v>
      </c>
      <c r="G179" s="15"/>
      <c r="H179" s="275"/>
      <c r="I179" s="275">
        <v>-40</v>
      </c>
    </row>
    <row r="180" spans="1:9" x14ac:dyDescent="0.2">
      <c r="A180" s="1"/>
      <c r="B180" s="13">
        <v>45332</v>
      </c>
      <c r="C180" s="14" t="s">
        <v>18</v>
      </c>
      <c r="D180" s="14" t="s">
        <v>31</v>
      </c>
      <c r="E180" s="14" t="s">
        <v>56</v>
      </c>
      <c r="F180" s="14" t="s">
        <v>137</v>
      </c>
      <c r="G180" s="15"/>
      <c r="H180" s="275"/>
      <c r="I180" s="275">
        <v>-130</v>
      </c>
    </row>
    <row r="181" spans="1:9" x14ac:dyDescent="0.2">
      <c r="A181" s="1"/>
      <c r="B181" s="13">
        <v>45332</v>
      </c>
      <c r="C181" s="14" t="s">
        <v>18</v>
      </c>
      <c r="D181" s="14" t="s">
        <v>31</v>
      </c>
      <c r="E181" s="14" t="s">
        <v>56</v>
      </c>
      <c r="F181" s="14" t="s">
        <v>138</v>
      </c>
      <c r="G181" s="15"/>
      <c r="H181" s="275"/>
      <c r="I181" s="275">
        <v>-23</v>
      </c>
    </row>
    <row r="182" spans="1:9" x14ac:dyDescent="0.2">
      <c r="A182" s="1"/>
      <c r="B182" s="13">
        <v>45333</v>
      </c>
      <c r="C182" s="14" t="s">
        <v>25</v>
      </c>
      <c r="D182" s="14" t="s">
        <v>14</v>
      </c>
      <c r="E182" s="14" t="s">
        <v>18</v>
      </c>
      <c r="F182" s="14" t="s">
        <v>10</v>
      </c>
      <c r="G182" s="15">
        <v>294</v>
      </c>
      <c r="H182" s="275"/>
      <c r="I182" s="275"/>
    </row>
    <row r="183" spans="1:9" x14ac:dyDescent="0.2">
      <c r="A183" s="1"/>
      <c r="B183" s="13">
        <v>45333</v>
      </c>
      <c r="C183" s="14" t="s">
        <v>18</v>
      </c>
      <c r="D183" s="14" t="s">
        <v>14</v>
      </c>
      <c r="E183" s="14" t="s">
        <v>25</v>
      </c>
      <c r="F183" s="14" t="s">
        <v>10</v>
      </c>
      <c r="G183" s="15">
        <v>-294</v>
      </c>
      <c r="H183" s="275"/>
      <c r="I183" s="275"/>
    </row>
    <row r="184" spans="1:9" x14ac:dyDescent="0.2">
      <c r="A184" s="1"/>
      <c r="B184" s="13">
        <v>45333</v>
      </c>
      <c r="C184" s="14" t="s">
        <v>18</v>
      </c>
      <c r="D184" s="14" t="s">
        <v>31</v>
      </c>
      <c r="E184" s="14" t="s">
        <v>56</v>
      </c>
      <c r="F184" s="14" t="s">
        <v>81</v>
      </c>
      <c r="G184" s="15"/>
      <c r="H184" s="275"/>
      <c r="I184" s="275">
        <v>-154</v>
      </c>
    </row>
    <row r="185" spans="1:9" x14ac:dyDescent="0.2">
      <c r="A185" s="1"/>
      <c r="B185" s="13">
        <v>45333</v>
      </c>
      <c r="C185" s="14" t="s">
        <v>18</v>
      </c>
      <c r="D185" s="14" t="s">
        <v>31</v>
      </c>
      <c r="E185" s="14" t="s">
        <v>56</v>
      </c>
      <c r="F185" s="14" t="s">
        <v>139</v>
      </c>
      <c r="G185" s="15"/>
      <c r="H185" s="275"/>
      <c r="I185" s="275">
        <v>-129</v>
      </c>
    </row>
    <row r="186" spans="1:9" x14ac:dyDescent="0.2">
      <c r="A186" s="1"/>
      <c r="B186" s="13">
        <v>45334</v>
      </c>
      <c r="C186" s="14" t="s">
        <v>18</v>
      </c>
      <c r="D186" s="14" t="s">
        <v>31</v>
      </c>
      <c r="E186" s="14" t="s">
        <v>32</v>
      </c>
      <c r="F186" s="14" t="s">
        <v>140</v>
      </c>
      <c r="G186" s="15"/>
      <c r="H186" s="275"/>
      <c r="I186" s="275">
        <v>-2500</v>
      </c>
    </row>
    <row r="187" spans="1:9" x14ac:dyDescent="0.2">
      <c r="A187" s="1"/>
      <c r="B187" s="13">
        <v>45335</v>
      </c>
      <c r="C187" s="14" t="s">
        <v>17</v>
      </c>
      <c r="D187" s="14" t="s">
        <v>14</v>
      </c>
      <c r="E187" s="14" t="s">
        <v>13</v>
      </c>
      <c r="F187" s="14" t="s">
        <v>10</v>
      </c>
      <c r="G187" s="15">
        <v>116073</v>
      </c>
      <c r="H187" s="275"/>
      <c r="I187" s="275"/>
    </row>
    <row r="188" spans="1:9" x14ac:dyDescent="0.2">
      <c r="A188" s="1"/>
      <c r="B188" s="13">
        <v>45335</v>
      </c>
      <c r="C188" s="14" t="s">
        <v>13</v>
      </c>
      <c r="D188" s="14" t="s">
        <v>14</v>
      </c>
      <c r="E188" s="14" t="s">
        <v>13</v>
      </c>
      <c r="F188" s="14" t="s">
        <v>141</v>
      </c>
      <c r="G188" s="15"/>
      <c r="H188" s="275">
        <v>2509.9</v>
      </c>
      <c r="I188" s="275"/>
    </row>
    <row r="189" spans="1:9" x14ac:dyDescent="0.2">
      <c r="A189" s="1"/>
      <c r="B189" s="13">
        <v>45335</v>
      </c>
      <c r="C189" s="14" t="s">
        <v>13</v>
      </c>
      <c r="D189" s="14" t="s">
        <v>14</v>
      </c>
      <c r="E189" s="14" t="s">
        <v>17</v>
      </c>
      <c r="F189" s="14" t="s">
        <v>10</v>
      </c>
      <c r="G189" s="15">
        <v>-116073</v>
      </c>
      <c r="H189" s="275"/>
      <c r="I189" s="275"/>
    </row>
    <row r="190" spans="1:9" x14ac:dyDescent="0.2">
      <c r="A190" s="1"/>
      <c r="B190" s="13">
        <v>45335</v>
      </c>
      <c r="C190" s="14" t="s">
        <v>25</v>
      </c>
      <c r="D190" s="14" t="s">
        <v>126</v>
      </c>
      <c r="E190" s="14" t="s">
        <v>612</v>
      </c>
      <c r="F190" s="14" t="s">
        <v>142</v>
      </c>
      <c r="G190" s="15"/>
      <c r="H190" s="275"/>
      <c r="I190" s="275">
        <v>-12</v>
      </c>
    </row>
    <row r="191" spans="1:9" x14ac:dyDescent="0.2">
      <c r="A191" s="1"/>
      <c r="B191" s="13">
        <v>45335</v>
      </c>
      <c r="C191" s="14" t="s">
        <v>16</v>
      </c>
      <c r="D191" s="14" t="s">
        <v>38</v>
      </c>
      <c r="E191" s="14" t="s">
        <v>83</v>
      </c>
      <c r="F191" s="14" t="s">
        <v>119</v>
      </c>
      <c r="G191" s="15"/>
      <c r="H191" s="275"/>
      <c r="I191" s="275">
        <v>-300</v>
      </c>
    </row>
    <row r="192" spans="1:9" x14ac:dyDescent="0.2">
      <c r="A192" s="1"/>
      <c r="B192" s="13">
        <v>45335</v>
      </c>
      <c r="C192" s="14" t="s">
        <v>16</v>
      </c>
      <c r="D192" s="14" t="s">
        <v>38</v>
      </c>
      <c r="E192" s="14" t="s">
        <v>87</v>
      </c>
      <c r="F192" s="14" t="s">
        <v>119</v>
      </c>
      <c r="G192" s="15"/>
      <c r="H192" s="275"/>
      <c r="I192" s="275">
        <v>-719</v>
      </c>
    </row>
    <row r="193" spans="1:9" x14ac:dyDescent="0.2">
      <c r="A193" s="1"/>
      <c r="B193" s="13">
        <v>45335</v>
      </c>
      <c r="C193" s="14" t="s">
        <v>16</v>
      </c>
      <c r="D193" s="14" t="s">
        <v>41</v>
      </c>
      <c r="E193" s="14" t="s">
        <v>47</v>
      </c>
      <c r="F193" s="14" t="s">
        <v>143</v>
      </c>
      <c r="G193" s="15"/>
      <c r="H193" s="275">
        <v>7000</v>
      </c>
      <c r="I193" s="275"/>
    </row>
    <row r="194" spans="1:9" x14ac:dyDescent="0.2">
      <c r="A194" s="1"/>
      <c r="B194" s="13">
        <v>45335</v>
      </c>
      <c r="C194" s="14" t="s">
        <v>25</v>
      </c>
      <c r="D194" s="14" t="s">
        <v>31</v>
      </c>
      <c r="E194" s="14" t="s">
        <v>49</v>
      </c>
      <c r="F194" s="14" t="s">
        <v>78</v>
      </c>
      <c r="G194" s="15"/>
      <c r="H194" s="275"/>
      <c r="I194" s="275">
        <f>-60-40</f>
        <v>-100</v>
      </c>
    </row>
    <row r="195" spans="1:9" x14ac:dyDescent="0.2">
      <c r="A195" s="1"/>
      <c r="B195" s="13">
        <v>45335</v>
      </c>
      <c r="C195" s="14" t="s">
        <v>25</v>
      </c>
      <c r="D195" s="14" t="s">
        <v>31</v>
      </c>
      <c r="E195" s="14" t="s">
        <v>49</v>
      </c>
      <c r="F195" s="14" t="s">
        <v>105</v>
      </c>
      <c r="G195" s="15"/>
      <c r="H195" s="275"/>
      <c r="I195" s="275">
        <v>-20</v>
      </c>
    </row>
    <row r="196" spans="1:9" x14ac:dyDescent="0.2">
      <c r="A196" s="1"/>
      <c r="B196" s="13">
        <v>45336</v>
      </c>
      <c r="C196" s="14" t="s">
        <v>16</v>
      </c>
      <c r="D196" s="14" t="s">
        <v>126</v>
      </c>
      <c r="E196" s="14" t="s">
        <v>612</v>
      </c>
      <c r="F196" s="14" t="s">
        <v>144</v>
      </c>
      <c r="G196" s="15"/>
      <c r="H196" s="275"/>
      <c r="I196" s="275">
        <v>-33510</v>
      </c>
    </row>
    <row r="197" spans="1:9" x14ac:dyDescent="0.2">
      <c r="A197" s="1"/>
      <c r="B197" s="13">
        <v>45337</v>
      </c>
      <c r="C197" s="14" t="s">
        <v>16</v>
      </c>
      <c r="D197" s="14" t="s">
        <v>33</v>
      </c>
      <c r="E197" s="14" t="s">
        <v>107</v>
      </c>
      <c r="F197" s="14" t="s">
        <v>145</v>
      </c>
      <c r="G197" s="15"/>
      <c r="H197" s="275"/>
      <c r="I197" s="275">
        <v>-4300</v>
      </c>
    </row>
    <row r="198" spans="1:9" x14ac:dyDescent="0.2">
      <c r="A198" s="1"/>
      <c r="B198" s="13">
        <v>45338</v>
      </c>
      <c r="C198" s="14" t="s">
        <v>16</v>
      </c>
      <c r="D198" s="14" t="s">
        <v>38</v>
      </c>
      <c r="E198" s="14" t="s">
        <v>146</v>
      </c>
      <c r="F198" s="14" t="s">
        <v>147</v>
      </c>
      <c r="G198" s="15"/>
      <c r="H198" s="275"/>
      <c r="I198" s="275">
        <v>-500</v>
      </c>
    </row>
    <row r="199" spans="1:9" x14ac:dyDescent="0.2">
      <c r="A199" s="1"/>
      <c r="B199" s="13">
        <v>45338</v>
      </c>
      <c r="C199" s="14" t="s">
        <v>25</v>
      </c>
      <c r="D199" s="14" t="s">
        <v>31</v>
      </c>
      <c r="E199" s="14" t="s">
        <v>49</v>
      </c>
      <c r="F199" s="14" t="s">
        <v>105</v>
      </c>
      <c r="G199" s="15"/>
      <c r="H199" s="275"/>
      <c r="I199" s="275">
        <v>-35</v>
      </c>
    </row>
    <row r="200" spans="1:9" x14ac:dyDescent="0.2">
      <c r="A200" s="1"/>
      <c r="B200" s="13">
        <v>45338</v>
      </c>
      <c r="C200" s="14" t="s">
        <v>16</v>
      </c>
      <c r="D200" s="14" t="s">
        <v>43</v>
      </c>
      <c r="E200" s="14" t="s">
        <v>70</v>
      </c>
      <c r="F200" s="14" t="s">
        <v>40</v>
      </c>
      <c r="G200" s="15"/>
      <c r="H200" s="275"/>
      <c r="I200" s="275">
        <v>-300</v>
      </c>
    </row>
    <row r="201" spans="1:9" x14ac:dyDescent="0.2">
      <c r="A201" s="1"/>
      <c r="B201" s="13">
        <v>45338</v>
      </c>
      <c r="C201" s="14" t="s">
        <v>18</v>
      </c>
      <c r="D201" s="14" t="s">
        <v>43</v>
      </c>
      <c r="E201" s="14" t="s">
        <v>72</v>
      </c>
      <c r="F201" s="14" t="s">
        <v>119</v>
      </c>
      <c r="G201" s="15"/>
      <c r="H201" s="275"/>
      <c r="I201" s="275">
        <v>-134</v>
      </c>
    </row>
    <row r="202" spans="1:9" x14ac:dyDescent="0.2">
      <c r="A202" s="1"/>
      <c r="B202" s="13">
        <v>45338</v>
      </c>
      <c r="C202" s="14" t="s">
        <v>18</v>
      </c>
      <c r="D202" s="14" t="s">
        <v>43</v>
      </c>
      <c r="E202" s="14" t="s">
        <v>73</v>
      </c>
      <c r="F202" s="14" t="s">
        <v>119</v>
      </c>
      <c r="G202" s="15"/>
      <c r="H202" s="275"/>
      <c r="I202" s="275">
        <v>-1600</v>
      </c>
    </row>
    <row r="203" spans="1:9" x14ac:dyDescent="0.2">
      <c r="A203" s="1"/>
      <c r="B203" s="13">
        <v>45339</v>
      </c>
      <c r="C203" s="14" t="s">
        <v>18</v>
      </c>
      <c r="D203" s="14" t="s">
        <v>148</v>
      </c>
      <c r="E203" s="14" t="s">
        <v>149</v>
      </c>
      <c r="F203" s="14" t="s">
        <v>150</v>
      </c>
      <c r="G203" s="15"/>
      <c r="H203" s="275"/>
      <c r="I203" s="275">
        <v>-50</v>
      </c>
    </row>
    <row r="204" spans="1:9" x14ac:dyDescent="0.2">
      <c r="A204" s="1"/>
      <c r="B204" s="13">
        <v>45339</v>
      </c>
      <c r="C204" s="14" t="s">
        <v>18</v>
      </c>
      <c r="D204" s="14" t="s">
        <v>26</v>
      </c>
      <c r="E204" s="14" t="s">
        <v>27</v>
      </c>
      <c r="F204" s="14" t="s">
        <v>151</v>
      </c>
      <c r="G204" s="15"/>
      <c r="H204" s="275"/>
      <c r="I204" s="275">
        <v>-450</v>
      </c>
    </row>
    <row r="205" spans="1:9" x14ac:dyDescent="0.2">
      <c r="A205" s="1"/>
      <c r="B205" s="13">
        <v>45339</v>
      </c>
      <c r="C205" s="14" t="s">
        <v>18</v>
      </c>
      <c r="D205" s="14" t="s">
        <v>31</v>
      </c>
      <c r="E205" s="14" t="s">
        <v>56</v>
      </c>
      <c r="F205" s="14" t="s">
        <v>152</v>
      </c>
      <c r="G205" s="15"/>
      <c r="H205" s="275"/>
      <c r="I205" s="275">
        <v>-38</v>
      </c>
    </row>
    <row r="206" spans="1:9" x14ac:dyDescent="0.2">
      <c r="A206" s="1"/>
      <c r="B206" s="13">
        <v>45339</v>
      </c>
      <c r="C206" s="14" t="s">
        <v>18</v>
      </c>
      <c r="D206" s="14" t="s">
        <v>31</v>
      </c>
      <c r="E206" s="14" t="s">
        <v>56</v>
      </c>
      <c r="F206" s="14" t="s">
        <v>90</v>
      </c>
      <c r="G206" s="15"/>
      <c r="H206" s="275"/>
      <c r="I206" s="275">
        <v>-60</v>
      </c>
    </row>
    <row r="207" spans="1:9" x14ac:dyDescent="0.2">
      <c r="A207" s="1"/>
      <c r="B207" s="13">
        <v>45339</v>
      </c>
      <c r="C207" s="14" t="s">
        <v>18</v>
      </c>
      <c r="D207" s="14" t="s">
        <v>31</v>
      </c>
      <c r="E207" s="14" t="s">
        <v>56</v>
      </c>
      <c r="F207" s="14" t="s">
        <v>80</v>
      </c>
      <c r="G207" s="15"/>
      <c r="H207" s="275"/>
      <c r="I207" s="275">
        <v>-143</v>
      </c>
    </row>
    <row r="208" spans="1:9" x14ac:dyDescent="0.2">
      <c r="A208" s="1"/>
      <c r="B208" s="13">
        <v>45339</v>
      </c>
      <c r="C208" s="14" t="s">
        <v>18</v>
      </c>
      <c r="D208" s="14" t="s">
        <v>31</v>
      </c>
      <c r="E208" s="14" t="s">
        <v>56</v>
      </c>
      <c r="F208" s="14" t="s">
        <v>153</v>
      </c>
      <c r="G208" s="15"/>
      <c r="H208" s="275"/>
      <c r="I208" s="275">
        <v>-139</v>
      </c>
    </row>
    <row r="209" spans="1:9" x14ac:dyDescent="0.2">
      <c r="A209" s="1"/>
      <c r="B209" s="13">
        <v>45340</v>
      </c>
      <c r="C209" s="14" t="s">
        <v>18</v>
      </c>
      <c r="D209" s="14" t="s">
        <v>14</v>
      </c>
      <c r="E209" s="14" t="s">
        <v>17</v>
      </c>
      <c r="F209" s="14" t="s">
        <v>10</v>
      </c>
      <c r="G209" s="15">
        <v>13073</v>
      </c>
      <c r="H209" s="275"/>
      <c r="I209" s="275"/>
    </row>
    <row r="210" spans="1:9" x14ac:dyDescent="0.2">
      <c r="A210" s="1"/>
      <c r="B210" s="13">
        <v>45340</v>
      </c>
      <c r="C210" s="14" t="s">
        <v>17</v>
      </c>
      <c r="D210" s="14" t="s">
        <v>14</v>
      </c>
      <c r="E210" s="14" t="s">
        <v>18</v>
      </c>
      <c r="F210" s="14" t="s">
        <v>10</v>
      </c>
      <c r="G210" s="15">
        <v>-13073</v>
      </c>
      <c r="H210" s="275"/>
      <c r="I210" s="275"/>
    </row>
    <row r="211" spans="1:9" x14ac:dyDescent="0.2">
      <c r="A211" s="1"/>
      <c r="B211" s="13">
        <v>45340</v>
      </c>
      <c r="C211" s="14" t="s">
        <v>25</v>
      </c>
      <c r="D211" s="14" t="s">
        <v>14</v>
      </c>
      <c r="E211" s="14" t="s">
        <v>18</v>
      </c>
      <c r="F211" s="14" t="s">
        <v>10</v>
      </c>
      <c r="G211" s="15">
        <v>315.5</v>
      </c>
      <c r="H211" s="275"/>
      <c r="I211" s="275"/>
    </row>
    <row r="212" spans="1:9" x14ac:dyDescent="0.2">
      <c r="A212" s="1"/>
      <c r="B212" s="13">
        <v>45340</v>
      </c>
      <c r="C212" s="14" t="s">
        <v>18</v>
      </c>
      <c r="D212" s="14" t="s">
        <v>14</v>
      </c>
      <c r="E212" s="14" t="s">
        <v>25</v>
      </c>
      <c r="F212" s="14" t="s">
        <v>10</v>
      </c>
      <c r="G212" s="15">
        <v>-315.5</v>
      </c>
      <c r="H212" s="275"/>
      <c r="I212" s="275"/>
    </row>
    <row r="213" spans="1:9" x14ac:dyDescent="0.2">
      <c r="A213" s="1"/>
      <c r="B213" s="13">
        <v>45340</v>
      </c>
      <c r="C213" s="14" t="s">
        <v>18</v>
      </c>
      <c r="D213" s="14" t="s">
        <v>31</v>
      </c>
      <c r="E213" s="14" t="s">
        <v>56</v>
      </c>
      <c r="F213" s="14" t="s">
        <v>154</v>
      </c>
      <c r="G213" s="15"/>
      <c r="H213" s="275"/>
      <c r="I213" s="275">
        <v>-58</v>
      </c>
    </row>
    <row r="214" spans="1:9" x14ac:dyDescent="0.2">
      <c r="A214" s="1"/>
      <c r="B214" s="13">
        <v>45340</v>
      </c>
      <c r="C214" s="14" t="s">
        <v>18</v>
      </c>
      <c r="D214" s="14" t="s">
        <v>31</v>
      </c>
      <c r="E214" s="14" t="s">
        <v>56</v>
      </c>
      <c r="F214" s="14" t="s">
        <v>112</v>
      </c>
      <c r="G214" s="15"/>
      <c r="H214" s="275"/>
      <c r="I214" s="275">
        <v>-131</v>
      </c>
    </row>
    <row r="215" spans="1:9" x14ac:dyDescent="0.2">
      <c r="A215" s="1"/>
      <c r="B215" s="13">
        <v>45340</v>
      </c>
      <c r="C215" s="14" t="s">
        <v>18</v>
      </c>
      <c r="D215" s="14" t="s">
        <v>31</v>
      </c>
      <c r="E215" s="14" t="s">
        <v>56</v>
      </c>
      <c r="F215" s="14" t="s">
        <v>139</v>
      </c>
      <c r="G215" s="15"/>
      <c r="H215" s="275"/>
      <c r="I215" s="275">
        <v>-145</v>
      </c>
    </row>
    <row r="216" spans="1:9" x14ac:dyDescent="0.2">
      <c r="A216" s="1"/>
      <c r="B216" s="13">
        <v>45340</v>
      </c>
      <c r="C216" s="14" t="s">
        <v>18</v>
      </c>
      <c r="D216" s="14" t="s">
        <v>31</v>
      </c>
      <c r="E216" s="14" t="s">
        <v>56</v>
      </c>
      <c r="F216" s="14" t="s">
        <v>99</v>
      </c>
      <c r="G216" s="15"/>
      <c r="H216" s="275"/>
      <c r="I216" s="275">
        <v>-155.5</v>
      </c>
    </row>
    <row r="217" spans="1:9" x14ac:dyDescent="0.2">
      <c r="A217" s="1"/>
      <c r="B217" s="13">
        <v>45341</v>
      </c>
      <c r="C217" s="14" t="s">
        <v>19</v>
      </c>
      <c r="D217" s="14" t="s">
        <v>14</v>
      </c>
      <c r="E217" s="14" t="s">
        <v>16</v>
      </c>
      <c r="F217" s="14" t="s">
        <v>10</v>
      </c>
      <c r="G217" s="15">
        <v>36010.839999999997</v>
      </c>
      <c r="H217" s="275"/>
      <c r="I217" s="275"/>
    </row>
    <row r="218" spans="1:9" x14ac:dyDescent="0.2">
      <c r="A218" s="1"/>
      <c r="B218" s="13">
        <v>45341</v>
      </c>
      <c r="C218" s="14" t="s">
        <v>19</v>
      </c>
      <c r="D218" s="14" t="s">
        <v>14</v>
      </c>
      <c r="E218" s="14" t="s">
        <v>19</v>
      </c>
      <c r="F218" s="14" t="s">
        <v>155</v>
      </c>
      <c r="G218" s="15"/>
      <c r="H218" s="275">
        <v>696.38</v>
      </c>
      <c r="I218" s="275"/>
    </row>
    <row r="219" spans="1:9" x14ac:dyDescent="0.2">
      <c r="A219" s="1"/>
      <c r="B219" s="13">
        <v>45341</v>
      </c>
      <c r="C219" s="14" t="s">
        <v>16</v>
      </c>
      <c r="D219" s="14" t="s">
        <v>14</v>
      </c>
      <c r="E219" s="14" t="s">
        <v>19</v>
      </c>
      <c r="F219" s="14" t="s">
        <v>10</v>
      </c>
      <c r="G219" s="15">
        <v>-36010.839999999997</v>
      </c>
      <c r="H219" s="275"/>
      <c r="I219" s="275"/>
    </row>
    <row r="220" spans="1:9" x14ac:dyDescent="0.2">
      <c r="A220" s="1"/>
      <c r="B220" s="13">
        <v>45341</v>
      </c>
      <c r="C220" s="14" t="s">
        <v>25</v>
      </c>
      <c r="D220" s="14" t="s">
        <v>41</v>
      </c>
      <c r="E220" s="14" t="s">
        <v>42</v>
      </c>
      <c r="F220" s="14" t="s">
        <v>156</v>
      </c>
      <c r="G220" s="15"/>
      <c r="H220" s="275">
        <v>5</v>
      </c>
      <c r="I220" s="275"/>
    </row>
    <row r="221" spans="1:9" x14ac:dyDescent="0.2">
      <c r="A221" s="1"/>
      <c r="B221" s="13">
        <v>45341</v>
      </c>
      <c r="C221" s="14" t="s">
        <v>18</v>
      </c>
      <c r="D221" s="14" t="s">
        <v>31</v>
      </c>
      <c r="E221" s="14" t="s">
        <v>32</v>
      </c>
      <c r="F221" s="14" t="s">
        <v>157</v>
      </c>
      <c r="G221" s="15"/>
      <c r="H221" s="275"/>
      <c r="I221" s="275">
        <v>-2500</v>
      </c>
    </row>
    <row r="222" spans="1:9" x14ac:dyDescent="0.2">
      <c r="A222" s="1"/>
      <c r="B222" s="13">
        <v>45342</v>
      </c>
      <c r="C222" s="14" t="s">
        <v>24</v>
      </c>
      <c r="D222" s="14" t="s">
        <v>14</v>
      </c>
      <c r="E222" s="14" t="s">
        <v>18</v>
      </c>
      <c r="F222" s="14" t="s">
        <v>10</v>
      </c>
      <c r="G222" s="15">
        <v>-5000</v>
      </c>
      <c r="H222" s="275"/>
      <c r="I222" s="275"/>
    </row>
    <row r="223" spans="1:9" x14ac:dyDescent="0.2">
      <c r="A223" s="1"/>
      <c r="B223" s="13">
        <v>45342</v>
      </c>
      <c r="C223" s="14" t="s">
        <v>18</v>
      </c>
      <c r="D223" s="14" t="s">
        <v>14</v>
      </c>
      <c r="E223" s="14" t="s">
        <v>24</v>
      </c>
      <c r="F223" s="14" t="s">
        <v>10</v>
      </c>
      <c r="G223" s="15">
        <v>5000</v>
      </c>
      <c r="H223" s="275"/>
      <c r="I223" s="275"/>
    </row>
    <row r="224" spans="1:9" x14ac:dyDescent="0.2">
      <c r="A224" s="1"/>
      <c r="B224" s="13">
        <v>45342</v>
      </c>
      <c r="C224" s="14" t="s">
        <v>16</v>
      </c>
      <c r="D224" s="14" t="s">
        <v>38</v>
      </c>
      <c r="E224" s="14" t="s">
        <v>146</v>
      </c>
      <c r="F224" s="14" t="s">
        <v>147</v>
      </c>
      <c r="G224" s="15"/>
      <c r="H224" s="275">
        <v>400</v>
      </c>
      <c r="I224" s="275"/>
    </row>
    <row r="225" spans="1:9" x14ac:dyDescent="0.2">
      <c r="A225" s="1"/>
      <c r="B225" s="13">
        <v>45342</v>
      </c>
      <c r="C225" s="14" t="s">
        <v>25</v>
      </c>
      <c r="D225" s="14" t="s">
        <v>38</v>
      </c>
      <c r="E225" s="14" t="s">
        <v>146</v>
      </c>
      <c r="F225" s="14" t="s">
        <v>147</v>
      </c>
      <c r="G225" s="15"/>
      <c r="H225" s="275">
        <v>100</v>
      </c>
      <c r="I225" s="275"/>
    </row>
    <row r="226" spans="1:9" x14ac:dyDescent="0.2">
      <c r="A226" s="1"/>
      <c r="B226" s="13">
        <v>45342</v>
      </c>
      <c r="C226" s="14" t="s">
        <v>25</v>
      </c>
      <c r="D226" s="14" t="s">
        <v>31</v>
      </c>
      <c r="E226" s="14" t="s">
        <v>49</v>
      </c>
      <c r="F226" s="14" t="s">
        <v>100</v>
      </c>
      <c r="G226" s="15"/>
      <c r="H226" s="275"/>
      <c r="I226" s="275">
        <v>-43</v>
      </c>
    </row>
    <row r="227" spans="1:9" x14ac:dyDescent="0.2">
      <c r="A227" s="1"/>
      <c r="B227" s="13">
        <v>45343</v>
      </c>
      <c r="C227" s="14" t="s">
        <v>25</v>
      </c>
      <c r="D227" s="14" t="s">
        <v>31</v>
      </c>
      <c r="E227" s="14" t="s">
        <v>49</v>
      </c>
      <c r="F227" s="14" t="s">
        <v>78</v>
      </c>
      <c r="G227" s="15"/>
      <c r="H227" s="275"/>
      <c r="I227" s="275">
        <v>-100</v>
      </c>
    </row>
    <row r="228" spans="1:9" x14ac:dyDescent="0.2">
      <c r="A228" s="1"/>
      <c r="B228" s="13">
        <v>45343</v>
      </c>
      <c r="C228" s="14" t="s">
        <v>25</v>
      </c>
      <c r="D228" s="14" t="s">
        <v>31</v>
      </c>
      <c r="E228" s="14" t="s">
        <v>49</v>
      </c>
      <c r="F228" s="14" t="s">
        <v>105</v>
      </c>
      <c r="G228" s="15"/>
      <c r="H228" s="275"/>
      <c r="I228" s="275">
        <v>-20</v>
      </c>
    </row>
    <row r="229" spans="1:9" x14ac:dyDescent="0.2">
      <c r="A229" s="1"/>
      <c r="B229" s="13">
        <v>45343</v>
      </c>
      <c r="C229" s="14" t="s">
        <v>25</v>
      </c>
      <c r="D229" s="14" t="s">
        <v>31</v>
      </c>
      <c r="E229" s="14" t="s">
        <v>49</v>
      </c>
      <c r="F229" s="14" t="s">
        <v>104</v>
      </c>
      <c r="G229" s="15"/>
      <c r="H229" s="275"/>
      <c r="I229" s="275">
        <v>-35</v>
      </c>
    </row>
    <row r="230" spans="1:9" x14ac:dyDescent="0.2">
      <c r="A230" s="1"/>
      <c r="B230" s="13">
        <v>45343</v>
      </c>
      <c r="C230" s="14" t="s">
        <v>16</v>
      </c>
      <c r="D230" s="14" t="s">
        <v>43</v>
      </c>
      <c r="E230" s="14" t="s">
        <v>86</v>
      </c>
      <c r="F230" s="14" t="s">
        <v>119</v>
      </c>
      <c r="G230" s="15"/>
      <c r="H230" s="275"/>
      <c r="I230" s="275">
        <v>-285</v>
      </c>
    </row>
    <row r="231" spans="1:9" x14ac:dyDescent="0.2">
      <c r="A231" s="1"/>
      <c r="B231" s="13">
        <v>45344</v>
      </c>
      <c r="C231" s="14" t="s">
        <v>16</v>
      </c>
      <c r="D231" s="14" t="s">
        <v>41</v>
      </c>
      <c r="E231" s="14" t="s">
        <v>47</v>
      </c>
      <c r="F231" s="14" t="s">
        <v>158</v>
      </c>
      <c r="G231" s="15"/>
      <c r="H231" s="275">
        <v>7000</v>
      </c>
      <c r="I231" s="275"/>
    </row>
    <row r="232" spans="1:9" x14ac:dyDescent="0.2">
      <c r="A232" s="1"/>
      <c r="B232" s="13">
        <v>45345</v>
      </c>
      <c r="C232" s="14" t="s">
        <v>16</v>
      </c>
      <c r="D232" s="14" t="s">
        <v>38</v>
      </c>
      <c r="E232" s="14" t="s">
        <v>159</v>
      </c>
      <c r="F232" s="14" t="s">
        <v>160</v>
      </c>
      <c r="G232" s="15"/>
      <c r="H232" s="275"/>
      <c r="I232" s="275">
        <v>-2000</v>
      </c>
    </row>
    <row r="233" spans="1:9" x14ac:dyDescent="0.2">
      <c r="A233" s="1"/>
      <c r="B233" s="13">
        <v>45346</v>
      </c>
      <c r="C233" s="14" t="s">
        <v>17</v>
      </c>
      <c r="D233" s="14" t="s">
        <v>14</v>
      </c>
      <c r="E233" s="14" t="s">
        <v>16</v>
      </c>
      <c r="F233" s="14" t="s">
        <v>10</v>
      </c>
      <c r="G233" s="15">
        <v>5000</v>
      </c>
      <c r="H233" s="275"/>
      <c r="I233" s="275"/>
    </row>
    <row r="234" spans="1:9" x14ac:dyDescent="0.2">
      <c r="A234" s="1"/>
      <c r="B234" s="13">
        <v>45346</v>
      </c>
      <c r="C234" s="14" t="s">
        <v>16</v>
      </c>
      <c r="D234" s="14" t="s">
        <v>14</v>
      </c>
      <c r="E234" s="14" t="s">
        <v>17</v>
      </c>
      <c r="F234" s="14" t="s">
        <v>10</v>
      </c>
      <c r="G234" s="15">
        <v>-5000</v>
      </c>
      <c r="H234" s="275"/>
      <c r="I234" s="275"/>
    </row>
    <row r="235" spans="1:9" x14ac:dyDescent="0.2">
      <c r="A235" s="1"/>
      <c r="B235" s="13">
        <v>45346</v>
      </c>
      <c r="C235" s="14" t="s">
        <v>18</v>
      </c>
      <c r="D235" s="14" t="s">
        <v>14</v>
      </c>
      <c r="E235" s="14" t="s">
        <v>17</v>
      </c>
      <c r="F235" s="14" t="s">
        <v>10</v>
      </c>
      <c r="G235" s="15">
        <v>-5590</v>
      </c>
      <c r="H235" s="275"/>
      <c r="I235" s="275"/>
    </row>
    <row r="236" spans="1:9" x14ac:dyDescent="0.2">
      <c r="A236" s="1"/>
      <c r="B236" s="13">
        <v>45346</v>
      </c>
      <c r="C236" s="14" t="s">
        <v>17</v>
      </c>
      <c r="D236" s="14" t="s">
        <v>14</v>
      </c>
      <c r="E236" s="14" t="s">
        <v>18</v>
      </c>
      <c r="F236" s="14" t="s">
        <v>10</v>
      </c>
      <c r="G236" s="15">
        <v>5590</v>
      </c>
      <c r="H236" s="275"/>
      <c r="I236" s="275"/>
    </row>
    <row r="237" spans="1:9" x14ac:dyDescent="0.2">
      <c r="A237" s="1"/>
      <c r="B237" s="13">
        <v>45346</v>
      </c>
      <c r="C237" s="14" t="s">
        <v>18</v>
      </c>
      <c r="D237" s="14" t="s">
        <v>126</v>
      </c>
      <c r="E237" s="14" t="s">
        <v>612</v>
      </c>
      <c r="F237" s="14" t="s">
        <v>161</v>
      </c>
      <c r="G237" s="15"/>
      <c r="H237" s="275"/>
      <c r="I237" s="275">
        <v>-499</v>
      </c>
    </row>
    <row r="238" spans="1:9" x14ac:dyDescent="0.2">
      <c r="A238" s="1"/>
      <c r="B238" s="13">
        <v>45346</v>
      </c>
      <c r="C238" s="14" t="s">
        <v>25</v>
      </c>
      <c r="D238" s="14" t="s">
        <v>31</v>
      </c>
      <c r="E238" s="14" t="s">
        <v>56</v>
      </c>
      <c r="F238" s="14" t="s">
        <v>154</v>
      </c>
      <c r="G238" s="15"/>
      <c r="H238" s="275"/>
      <c r="I238" s="275">
        <v>-80</v>
      </c>
    </row>
    <row r="239" spans="1:9" x14ac:dyDescent="0.2">
      <c r="A239" s="1"/>
      <c r="B239" s="13">
        <v>45346</v>
      </c>
      <c r="C239" s="14" t="s">
        <v>18</v>
      </c>
      <c r="D239" s="14" t="s">
        <v>31</v>
      </c>
      <c r="E239" s="14" t="s">
        <v>56</v>
      </c>
      <c r="F239" s="14" t="s">
        <v>162</v>
      </c>
      <c r="G239" s="15"/>
      <c r="H239" s="275"/>
      <c r="I239" s="275">
        <f>-129-139</f>
        <v>-268</v>
      </c>
    </row>
    <row r="240" spans="1:9" x14ac:dyDescent="0.2">
      <c r="A240" s="1"/>
      <c r="B240" s="13">
        <v>45346</v>
      </c>
      <c r="C240" s="14" t="s">
        <v>25</v>
      </c>
      <c r="D240" s="14" t="s">
        <v>31</v>
      </c>
      <c r="E240" s="14" t="s">
        <v>56</v>
      </c>
      <c r="F240" s="14" t="s">
        <v>163</v>
      </c>
      <c r="G240" s="15"/>
      <c r="H240" s="275"/>
      <c r="I240" s="275">
        <v>-30</v>
      </c>
    </row>
    <row r="241" spans="1:9" x14ac:dyDescent="0.2">
      <c r="A241" s="1"/>
      <c r="B241" s="13">
        <v>45346</v>
      </c>
      <c r="C241" s="14" t="s">
        <v>18</v>
      </c>
      <c r="D241" s="14" t="s">
        <v>31</v>
      </c>
      <c r="E241" s="14" t="s">
        <v>56</v>
      </c>
      <c r="F241" s="14" t="s">
        <v>164</v>
      </c>
      <c r="G241" s="15"/>
      <c r="H241" s="275"/>
      <c r="I241" s="275">
        <v>-80</v>
      </c>
    </row>
    <row r="242" spans="1:9" x14ac:dyDescent="0.2">
      <c r="A242" s="1"/>
      <c r="B242" s="13">
        <v>45346</v>
      </c>
      <c r="C242" s="14" t="s">
        <v>18</v>
      </c>
      <c r="D242" s="14" t="s">
        <v>31</v>
      </c>
      <c r="E242" s="14" t="s">
        <v>56</v>
      </c>
      <c r="F242" s="14" t="s">
        <v>165</v>
      </c>
      <c r="G242" s="15"/>
      <c r="H242" s="275"/>
      <c r="I242" s="275">
        <v>-128</v>
      </c>
    </row>
    <row r="243" spans="1:9" x14ac:dyDescent="0.2">
      <c r="A243" s="1"/>
      <c r="B243" s="13">
        <v>45346</v>
      </c>
      <c r="C243" s="14" t="s">
        <v>18</v>
      </c>
      <c r="D243" s="14" t="s">
        <v>31</v>
      </c>
      <c r="E243" s="14" t="s">
        <v>56</v>
      </c>
      <c r="F243" s="14" t="s">
        <v>166</v>
      </c>
      <c r="G243" s="15"/>
      <c r="H243" s="275"/>
      <c r="I243" s="275">
        <v>-40</v>
      </c>
    </row>
    <row r="244" spans="1:9" x14ac:dyDescent="0.2">
      <c r="A244" s="1"/>
      <c r="B244" s="13">
        <v>45347</v>
      </c>
      <c r="C244" s="14" t="s">
        <v>18</v>
      </c>
      <c r="D244" s="14" t="s">
        <v>31</v>
      </c>
      <c r="E244" s="14" t="s">
        <v>56</v>
      </c>
      <c r="F244" s="14" t="s">
        <v>81</v>
      </c>
      <c r="G244" s="15"/>
      <c r="H244" s="275"/>
      <c r="I244" s="275">
        <v>-65</v>
      </c>
    </row>
    <row r="245" spans="1:9" x14ac:dyDescent="0.2">
      <c r="A245" s="1"/>
      <c r="B245" s="13">
        <v>45347</v>
      </c>
      <c r="C245" s="14" t="s">
        <v>18</v>
      </c>
      <c r="D245" s="14" t="s">
        <v>31</v>
      </c>
      <c r="E245" s="14" t="s">
        <v>56</v>
      </c>
      <c r="F245" s="14" t="s">
        <v>167</v>
      </c>
      <c r="G245" s="15"/>
      <c r="H245" s="275"/>
      <c r="I245" s="275">
        <v>-148</v>
      </c>
    </row>
    <row r="246" spans="1:9" x14ac:dyDescent="0.2">
      <c r="A246" s="1"/>
      <c r="B246" s="13">
        <v>45347</v>
      </c>
      <c r="C246" s="14" t="s">
        <v>18</v>
      </c>
      <c r="D246" s="14" t="s">
        <v>31</v>
      </c>
      <c r="E246" s="14" t="s">
        <v>56</v>
      </c>
      <c r="F246" s="14" t="s">
        <v>168</v>
      </c>
      <c r="G246" s="15"/>
      <c r="H246" s="275"/>
      <c r="I246" s="275">
        <v>-26</v>
      </c>
    </row>
    <row r="247" spans="1:9" x14ac:dyDescent="0.2">
      <c r="A247" s="1"/>
      <c r="B247" s="13">
        <v>45347</v>
      </c>
      <c r="C247" s="14" t="s">
        <v>25</v>
      </c>
      <c r="D247" s="14" t="s">
        <v>31</v>
      </c>
      <c r="E247" s="14" t="s">
        <v>56</v>
      </c>
      <c r="F247" s="14" t="s">
        <v>99</v>
      </c>
      <c r="G247" s="15"/>
      <c r="H247" s="275"/>
      <c r="I247" s="275">
        <v>-8.5</v>
      </c>
    </row>
    <row r="248" spans="1:9" x14ac:dyDescent="0.2">
      <c r="A248" s="1"/>
      <c r="B248" s="13">
        <v>45348</v>
      </c>
      <c r="C248" s="14" t="s">
        <v>25</v>
      </c>
      <c r="D248" s="14" t="s">
        <v>14</v>
      </c>
      <c r="E248" s="14" t="s">
        <v>18</v>
      </c>
      <c r="F248" s="14" t="s">
        <v>10</v>
      </c>
      <c r="G248" s="15">
        <v>1250</v>
      </c>
      <c r="H248" s="275"/>
      <c r="I248" s="275"/>
    </row>
    <row r="249" spans="1:9" x14ac:dyDescent="0.2">
      <c r="A249" s="1"/>
      <c r="B249" s="13">
        <v>45348</v>
      </c>
      <c r="C249" s="14" t="s">
        <v>24</v>
      </c>
      <c r="D249" s="14" t="s">
        <v>14</v>
      </c>
      <c r="E249" s="14" t="s">
        <v>18</v>
      </c>
      <c r="F249" s="14" t="s">
        <v>10</v>
      </c>
      <c r="G249" s="15">
        <v>-5000</v>
      </c>
      <c r="H249" s="275"/>
      <c r="I249" s="275"/>
    </row>
    <row r="250" spans="1:9" x14ac:dyDescent="0.2">
      <c r="A250" s="1"/>
      <c r="B250" s="13">
        <v>45348</v>
      </c>
      <c r="C250" s="14" t="s">
        <v>18</v>
      </c>
      <c r="D250" s="14" t="s">
        <v>14</v>
      </c>
      <c r="E250" s="14" t="s">
        <v>24</v>
      </c>
      <c r="F250" s="14" t="s">
        <v>10</v>
      </c>
      <c r="G250" s="15">
        <v>5000</v>
      </c>
      <c r="H250" s="275"/>
      <c r="I250" s="275"/>
    </row>
    <row r="251" spans="1:9" x14ac:dyDescent="0.2">
      <c r="A251" s="1"/>
      <c r="B251" s="13">
        <v>45348</v>
      </c>
      <c r="C251" s="14" t="s">
        <v>18</v>
      </c>
      <c r="D251" s="14" t="s">
        <v>14</v>
      </c>
      <c r="E251" s="14" t="s">
        <v>25</v>
      </c>
      <c r="F251" s="14" t="s">
        <v>10</v>
      </c>
      <c r="G251" s="15">
        <v>-1250</v>
      </c>
      <c r="H251" s="275"/>
      <c r="I251" s="275"/>
    </row>
    <row r="252" spans="1:9" x14ac:dyDescent="0.2">
      <c r="A252" s="1"/>
      <c r="B252" s="13">
        <v>45348</v>
      </c>
      <c r="C252" s="14" t="s">
        <v>18</v>
      </c>
      <c r="D252" s="14" t="s">
        <v>31</v>
      </c>
      <c r="E252" s="14" t="s">
        <v>32</v>
      </c>
      <c r="F252" s="14" t="s">
        <v>169</v>
      </c>
      <c r="G252" s="15"/>
      <c r="H252" s="275"/>
      <c r="I252" s="275">
        <v>-2500</v>
      </c>
    </row>
    <row r="253" spans="1:9" x14ac:dyDescent="0.2">
      <c r="A253" s="1"/>
      <c r="B253" s="13">
        <v>45349</v>
      </c>
      <c r="C253" s="14" t="s">
        <v>18</v>
      </c>
      <c r="D253" s="14" t="s">
        <v>33</v>
      </c>
      <c r="E253" s="14" t="s">
        <v>34</v>
      </c>
      <c r="F253" s="14" t="s">
        <v>170</v>
      </c>
      <c r="G253" s="15"/>
      <c r="H253" s="275"/>
      <c r="I253" s="275">
        <v>-300</v>
      </c>
    </row>
    <row r="254" spans="1:9" x14ac:dyDescent="0.2">
      <c r="A254" s="1"/>
      <c r="B254" s="13">
        <v>45349</v>
      </c>
      <c r="C254" s="14" t="s">
        <v>16</v>
      </c>
      <c r="D254" s="14" t="s">
        <v>38</v>
      </c>
      <c r="E254" s="14" t="s">
        <v>146</v>
      </c>
      <c r="F254" s="14" t="s">
        <v>171</v>
      </c>
      <c r="G254" s="15"/>
      <c r="H254" s="275"/>
      <c r="I254" s="275">
        <v>-3500</v>
      </c>
    </row>
    <row r="255" spans="1:9" x14ac:dyDescent="0.2">
      <c r="A255" s="1"/>
      <c r="B255" s="13">
        <v>45349</v>
      </c>
      <c r="C255" s="14" t="s">
        <v>18</v>
      </c>
      <c r="D255" s="14" t="s">
        <v>26</v>
      </c>
      <c r="E255" s="14" t="s">
        <v>29</v>
      </c>
      <c r="F255" s="14" t="s">
        <v>85</v>
      </c>
      <c r="G255" s="15"/>
      <c r="H255" s="275"/>
      <c r="I255" s="275">
        <v>-1900</v>
      </c>
    </row>
    <row r="256" spans="1:9" x14ac:dyDescent="0.2">
      <c r="A256" s="1"/>
      <c r="B256" s="13">
        <v>45349</v>
      </c>
      <c r="C256" s="14" t="s">
        <v>25</v>
      </c>
      <c r="D256" s="14" t="s">
        <v>31</v>
      </c>
      <c r="E256" s="14" t="s">
        <v>49</v>
      </c>
      <c r="F256" s="14" t="s">
        <v>172</v>
      </c>
      <c r="G256" s="15"/>
      <c r="H256" s="275"/>
      <c r="I256" s="275">
        <v>-84</v>
      </c>
    </row>
    <row r="257" spans="1:9" x14ac:dyDescent="0.2">
      <c r="A257" s="1"/>
      <c r="B257" s="13">
        <v>45349</v>
      </c>
      <c r="C257" s="14" t="s">
        <v>25</v>
      </c>
      <c r="D257" s="14" t="s">
        <v>31</v>
      </c>
      <c r="E257" s="14" t="s">
        <v>49</v>
      </c>
      <c r="F257" s="14" t="s">
        <v>173</v>
      </c>
      <c r="G257" s="15"/>
      <c r="H257" s="275"/>
      <c r="I257" s="275">
        <v>-40</v>
      </c>
    </row>
    <row r="258" spans="1:9" x14ac:dyDescent="0.2">
      <c r="A258" s="1"/>
      <c r="B258" s="13">
        <v>45350</v>
      </c>
      <c r="C258" s="14" t="s">
        <v>17</v>
      </c>
      <c r="D258" s="14" t="s">
        <v>41</v>
      </c>
      <c r="E258" s="14" t="s">
        <v>45</v>
      </c>
      <c r="F258" s="14" t="s">
        <v>119</v>
      </c>
      <c r="G258" s="15"/>
      <c r="H258" s="275">
        <v>9000</v>
      </c>
      <c r="I258" s="275"/>
    </row>
    <row r="259" spans="1:9" x14ac:dyDescent="0.2">
      <c r="A259" s="1"/>
      <c r="B259" s="13">
        <v>45350</v>
      </c>
      <c r="C259" s="14" t="s">
        <v>16</v>
      </c>
      <c r="D259" s="14" t="s">
        <v>41</v>
      </c>
      <c r="E259" s="14" t="s">
        <v>47</v>
      </c>
      <c r="F259" s="14" t="s">
        <v>174</v>
      </c>
      <c r="G259" s="15"/>
      <c r="H259" s="275">
        <v>7000</v>
      </c>
      <c r="I259" s="275"/>
    </row>
    <row r="260" spans="1:9" x14ac:dyDescent="0.2">
      <c r="A260" s="1"/>
      <c r="B260" s="13">
        <v>45350</v>
      </c>
      <c r="C260" s="14" t="s">
        <v>25</v>
      </c>
      <c r="D260" s="14" t="s">
        <v>31</v>
      </c>
      <c r="E260" s="14" t="s">
        <v>49</v>
      </c>
      <c r="F260" s="14" t="s">
        <v>78</v>
      </c>
      <c r="G260" s="15"/>
      <c r="H260" s="275"/>
      <c r="I260" s="275">
        <v>-50</v>
      </c>
    </row>
    <row r="261" spans="1:9" x14ac:dyDescent="0.2">
      <c r="A261" s="1"/>
      <c r="B261" s="13">
        <v>45350</v>
      </c>
      <c r="C261" s="14" t="s">
        <v>25</v>
      </c>
      <c r="D261" s="14" t="s">
        <v>31</v>
      </c>
      <c r="E261" s="14" t="s">
        <v>49</v>
      </c>
      <c r="F261" s="14" t="s">
        <v>104</v>
      </c>
      <c r="G261" s="15"/>
      <c r="H261" s="275"/>
      <c r="I261" s="275">
        <v>-35</v>
      </c>
    </row>
    <row r="262" spans="1:9" x14ac:dyDescent="0.2">
      <c r="A262" s="1"/>
      <c r="B262" s="13">
        <v>45350</v>
      </c>
      <c r="C262" s="14" t="s">
        <v>25</v>
      </c>
      <c r="D262" s="14" t="s">
        <v>31</v>
      </c>
      <c r="E262" s="14" t="s">
        <v>49</v>
      </c>
      <c r="F262" s="14" t="s">
        <v>175</v>
      </c>
      <c r="G262" s="15"/>
      <c r="H262" s="275"/>
      <c r="I262" s="275">
        <v>-50</v>
      </c>
    </row>
    <row r="263" spans="1:9" x14ac:dyDescent="0.2">
      <c r="A263" s="1"/>
      <c r="B263" s="13">
        <v>45352</v>
      </c>
      <c r="C263" s="14" t="s">
        <v>17</v>
      </c>
      <c r="D263" s="14" t="s">
        <v>33</v>
      </c>
      <c r="E263" s="14" t="s">
        <v>36</v>
      </c>
      <c r="F263" s="14" t="s">
        <v>176</v>
      </c>
      <c r="G263" s="15"/>
      <c r="H263" s="275"/>
      <c r="I263" s="275">
        <v>-50000</v>
      </c>
    </row>
    <row r="264" spans="1:9" x14ac:dyDescent="0.2">
      <c r="A264" s="1"/>
      <c r="B264" s="13">
        <v>45352</v>
      </c>
      <c r="C264" s="14" t="s">
        <v>24</v>
      </c>
      <c r="D264" s="14" t="s">
        <v>14</v>
      </c>
      <c r="E264" s="14" t="s">
        <v>17</v>
      </c>
      <c r="F264" s="14" t="s">
        <v>10</v>
      </c>
      <c r="G264" s="15">
        <v>-5000</v>
      </c>
      <c r="H264" s="275"/>
      <c r="I264" s="275"/>
    </row>
    <row r="265" spans="1:9" x14ac:dyDescent="0.2">
      <c r="A265" s="1"/>
      <c r="B265" s="13">
        <v>45352</v>
      </c>
      <c r="C265" s="14" t="s">
        <v>23</v>
      </c>
      <c r="D265" s="14" t="s">
        <v>14</v>
      </c>
      <c r="E265" s="14" t="s">
        <v>17</v>
      </c>
      <c r="F265" s="14" t="s">
        <v>176</v>
      </c>
      <c r="G265" s="15">
        <v>3000</v>
      </c>
      <c r="H265" s="275"/>
      <c r="I265" s="275"/>
    </row>
    <row r="266" spans="1:9" x14ac:dyDescent="0.2">
      <c r="A266" s="1"/>
      <c r="B266" s="13">
        <v>45352</v>
      </c>
      <c r="C266" s="14" t="s">
        <v>17</v>
      </c>
      <c r="D266" s="14" t="s">
        <v>14</v>
      </c>
      <c r="E266" s="14" t="s">
        <v>23</v>
      </c>
      <c r="F266" s="14" t="s">
        <v>176</v>
      </c>
      <c r="G266" s="15">
        <v>-3000</v>
      </c>
      <c r="H266" s="275"/>
      <c r="I266" s="275"/>
    </row>
    <row r="267" spans="1:9" x14ac:dyDescent="0.2">
      <c r="A267" s="1"/>
      <c r="B267" s="13">
        <v>45352</v>
      </c>
      <c r="C267" s="14" t="s">
        <v>17</v>
      </c>
      <c r="D267" s="14" t="s">
        <v>14</v>
      </c>
      <c r="E267" s="14" t="s">
        <v>24</v>
      </c>
      <c r="F267" s="14" t="s">
        <v>10</v>
      </c>
      <c r="G267" s="15">
        <v>5000</v>
      </c>
      <c r="H267" s="275"/>
      <c r="I267" s="275"/>
    </row>
    <row r="268" spans="1:9" x14ac:dyDescent="0.2">
      <c r="A268" s="1"/>
      <c r="B268" s="13">
        <v>45352</v>
      </c>
      <c r="C268" s="14" t="s">
        <v>16</v>
      </c>
      <c r="D268" s="14" t="s">
        <v>38</v>
      </c>
      <c r="E268" s="14" t="s">
        <v>96</v>
      </c>
      <c r="F268" s="14" t="s">
        <v>177</v>
      </c>
      <c r="G268" s="15"/>
      <c r="H268" s="275"/>
      <c r="I268" s="275">
        <v>-2000</v>
      </c>
    </row>
    <row r="269" spans="1:9" x14ac:dyDescent="0.2">
      <c r="A269" s="1"/>
      <c r="B269" s="13">
        <v>45352</v>
      </c>
      <c r="C269" s="14" t="s">
        <v>24</v>
      </c>
      <c r="D269" s="14" t="s">
        <v>41</v>
      </c>
      <c r="E269" s="14" t="s">
        <v>42</v>
      </c>
      <c r="F269" s="14" t="s">
        <v>176</v>
      </c>
      <c r="G269" s="15"/>
      <c r="H269" s="275">
        <v>22383.67</v>
      </c>
      <c r="I269" s="275"/>
    </row>
    <row r="270" spans="1:9" x14ac:dyDescent="0.2">
      <c r="A270" s="1"/>
      <c r="B270" s="13">
        <v>45352</v>
      </c>
      <c r="C270" s="14" t="s">
        <v>25</v>
      </c>
      <c r="D270" s="14" t="s">
        <v>31</v>
      </c>
      <c r="E270" s="14" t="s">
        <v>56</v>
      </c>
      <c r="F270" s="14" t="s">
        <v>178</v>
      </c>
      <c r="G270" s="15"/>
      <c r="H270" s="275"/>
      <c r="I270" s="275">
        <v>-200</v>
      </c>
    </row>
    <row r="271" spans="1:9" x14ac:dyDescent="0.2">
      <c r="A271" s="1"/>
      <c r="B271" s="13">
        <v>45352</v>
      </c>
      <c r="C271" s="14" t="s">
        <v>25</v>
      </c>
      <c r="D271" s="14" t="s">
        <v>31</v>
      </c>
      <c r="E271" s="14" t="s">
        <v>56</v>
      </c>
      <c r="F271" s="14" t="s">
        <v>179</v>
      </c>
      <c r="G271" s="15"/>
      <c r="H271" s="275"/>
      <c r="I271" s="275">
        <v>-450</v>
      </c>
    </row>
    <row r="272" spans="1:9" x14ac:dyDescent="0.2">
      <c r="A272" s="1"/>
      <c r="B272" s="13">
        <v>45354</v>
      </c>
      <c r="C272" s="14" t="s">
        <v>18</v>
      </c>
      <c r="D272" s="14" t="s">
        <v>14</v>
      </c>
      <c r="E272" s="14" t="s">
        <v>17</v>
      </c>
      <c r="F272" s="14" t="s">
        <v>10</v>
      </c>
      <c r="G272" s="15">
        <v>-8000</v>
      </c>
      <c r="H272" s="275"/>
      <c r="I272" s="275"/>
    </row>
    <row r="273" spans="1:9" x14ac:dyDescent="0.2">
      <c r="A273" s="1"/>
      <c r="B273" s="13">
        <v>45354</v>
      </c>
      <c r="C273" s="14" t="s">
        <v>17</v>
      </c>
      <c r="D273" s="14" t="s">
        <v>14</v>
      </c>
      <c r="E273" s="14" t="s">
        <v>18</v>
      </c>
      <c r="F273" s="14" t="s">
        <v>10</v>
      </c>
      <c r="G273" s="15">
        <v>8000</v>
      </c>
      <c r="H273" s="275"/>
      <c r="I273" s="275"/>
    </row>
    <row r="274" spans="1:9" x14ac:dyDescent="0.2">
      <c r="A274" s="1"/>
      <c r="B274" s="13">
        <v>45354</v>
      </c>
      <c r="C274" s="14" t="s">
        <v>25</v>
      </c>
      <c r="D274" s="14" t="s">
        <v>31</v>
      </c>
      <c r="E274" s="14" t="s">
        <v>56</v>
      </c>
      <c r="F274" s="14" t="s">
        <v>81</v>
      </c>
      <c r="G274" s="15"/>
      <c r="H274" s="275"/>
      <c r="I274" s="275">
        <v>-154</v>
      </c>
    </row>
    <row r="275" spans="1:9" x14ac:dyDescent="0.2">
      <c r="A275" s="1"/>
      <c r="B275" s="13">
        <v>45354</v>
      </c>
      <c r="C275" s="14" t="s">
        <v>25</v>
      </c>
      <c r="D275" s="14" t="s">
        <v>31</v>
      </c>
      <c r="E275" s="14" t="s">
        <v>56</v>
      </c>
      <c r="F275" s="14" t="s">
        <v>99</v>
      </c>
      <c r="G275" s="15"/>
      <c r="H275" s="275"/>
      <c r="I275" s="275">
        <v>-193</v>
      </c>
    </row>
    <row r="276" spans="1:9" x14ac:dyDescent="0.2">
      <c r="A276" s="1"/>
      <c r="B276" s="13">
        <v>45355</v>
      </c>
      <c r="C276" s="14" t="s">
        <v>17</v>
      </c>
      <c r="D276" s="14" t="s">
        <v>26</v>
      </c>
      <c r="E276" s="14" t="s">
        <v>29</v>
      </c>
      <c r="F276" s="14" t="s">
        <v>180</v>
      </c>
      <c r="G276" s="15"/>
      <c r="H276" s="275"/>
      <c r="I276" s="275">
        <v>-3000</v>
      </c>
    </row>
    <row r="277" spans="1:9" x14ac:dyDescent="0.2">
      <c r="A277" s="1"/>
      <c r="B277" s="13">
        <v>45355</v>
      </c>
      <c r="C277" s="14" t="s">
        <v>17</v>
      </c>
      <c r="D277" s="14" t="s">
        <v>31</v>
      </c>
      <c r="E277" s="14" t="s">
        <v>32</v>
      </c>
      <c r="F277" s="14" t="s">
        <v>181</v>
      </c>
      <c r="G277" s="15"/>
      <c r="H277" s="275"/>
      <c r="I277" s="275">
        <v>-2500</v>
      </c>
    </row>
    <row r="278" spans="1:9" x14ac:dyDescent="0.2">
      <c r="A278" s="1"/>
      <c r="B278" s="13">
        <v>45355</v>
      </c>
      <c r="C278" s="14" t="s">
        <v>25</v>
      </c>
      <c r="D278" s="14" t="s">
        <v>31</v>
      </c>
      <c r="E278" s="14" t="s">
        <v>49</v>
      </c>
      <c r="F278" s="14" t="s">
        <v>182</v>
      </c>
      <c r="G278" s="15"/>
      <c r="H278" s="275"/>
      <c r="I278" s="275">
        <v>-31</v>
      </c>
    </row>
    <row r="279" spans="1:9" x14ac:dyDescent="0.2">
      <c r="A279" s="1"/>
      <c r="B279" s="13">
        <v>45355</v>
      </c>
      <c r="C279" s="14" t="s">
        <v>16</v>
      </c>
      <c r="D279" s="14" t="s">
        <v>43</v>
      </c>
      <c r="E279" s="14" t="s">
        <v>771</v>
      </c>
      <c r="F279" s="14" t="s">
        <v>119</v>
      </c>
      <c r="G279" s="15"/>
      <c r="H279" s="275"/>
      <c r="I279" s="275">
        <v>-389</v>
      </c>
    </row>
    <row r="280" spans="1:9" x14ac:dyDescent="0.2">
      <c r="B280" s="13">
        <v>45356</v>
      </c>
      <c r="C280" s="14" t="s">
        <v>17</v>
      </c>
      <c r="D280" s="14" t="s">
        <v>126</v>
      </c>
      <c r="E280" s="14" t="s">
        <v>612</v>
      </c>
      <c r="F280" s="14" t="s">
        <v>229</v>
      </c>
      <c r="G280" s="15"/>
      <c r="H280" s="275"/>
      <c r="I280" s="275">
        <v>-775</v>
      </c>
    </row>
    <row r="281" spans="1:9" x14ac:dyDescent="0.2">
      <c r="B281" s="13">
        <v>45356</v>
      </c>
      <c r="C281" s="14" t="s">
        <v>17</v>
      </c>
      <c r="D281" s="14" t="s">
        <v>38</v>
      </c>
      <c r="E281" s="14" t="s">
        <v>39</v>
      </c>
      <c r="F281" s="14" t="s">
        <v>176</v>
      </c>
      <c r="G281" s="15"/>
      <c r="H281" s="275"/>
      <c r="I281" s="275">
        <v>-176</v>
      </c>
    </row>
    <row r="282" spans="1:9" x14ac:dyDescent="0.2">
      <c r="B282" s="13">
        <v>45356</v>
      </c>
      <c r="C282" s="14" t="s">
        <v>17</v>
      </c>
      <c r="D282" s="14" t="s">
        <v>43</v>
      </c>
      <c r="E282" s="14" t="s">
        <v>44</v>
      </c>
      <c r="F282" s="14" t="s">
        <v>176</v>
      </c>
      <c r="G282" s="15"/>
      <c r="H282" s="275"/>
      <c r="I282" s="275">
        <v>-106</v>
      </c>
    </row>
    <row r="283" spans="1:9" x14ac:dyDescent="0.2">
      <c r="B283" s="13">
        <v>45357</v>
      </c>
      <c r="C283" s="14" t="s">
        <v>18</v>
      </c>
      <c r="D283" s="14" t="s">
        <v>14</v>
      </c>
      <c r="E283" s="14" t="s">
        <v>16</v>
      </c>
      <c r="F283" s="14" t="s">
        <v>10</v>
      </c>
      <c r="G283" s="15">
        <v>1000</v>
      </c>
      <c r="H283" s="275"/>
      <c r="I283" s="275"/>
    </row>
    <row r="284" spans="1:9" x14ac:dyDescent="0.2">
      <c r="B284" s="13">
        <v>45357</v>
      </c>
      <c r="C284" s="14" t="s">
        <v>16</v>
      </c>
      <c r="D284" s="14" t="s">
        <v>14</v>
      </c>
      <c r="E284" s="14" t="s">
        <v>18</v>
      </c>
      <c r="F284" s="14" t="s">
        <v>10</v>
      </c>
      <c r="G284" s="15">
        <v>-1000</v>
      </c>
      <c r="H284" s="275"/>
      <c r="I284" s="275"/>
    </row>
    <row r="285" spans="1:9" x14ac:dyDescent="0.2">
      <c r="B285" s="13">
        <v>45357</v>
      </c>
      <c r="C285" s="14" t="s">
        <v>16</v>
      </c>
      <c r="D285" s="14" t="s">
        <v>41</v>
      </c>
      <c r="E285" s="14" t="s">
        <v>47</v>
      </c>
      <c r="F285" s="14" t="s">
        <v>430</v>
      </c>
      <c r="G285" s="15"/>
      <c r="H285" s="275">
        <v>7000</v>
      </c>
      <c r="I285" s="275"/>
    </row>
    <row r="286" spans="1:9" x14ac:dyDescent="0.2">
      <c r="B286" s="13">
        <v>45357</v>
      </c>
      <c r="C286" s="14" t="s">
        <v>25</v>
      </c>
      <c r="D286" s="14" t="s">
        <v>31</v>
      </c>
      <c r="E286" s="14" t="s">
        <v>49</v>
      </c>
      <c r="F286" s="14" t="s">
        <v>429</v>
      </c>
      <c r="G286" s="15"/>
      <c r="H286" s="275"/>
      <c r="I286" s="275">
        <v>-35</v>
      </c>
    </row>
    <row r="287" spans="1:9" x14ac:dyDescent="0.2">
      <c r="B287" s="13">
        <v>45358</v>
      </c>
      <c r="C287" s="14" t="s">
        <v>16</v>
      </c>
      <c r="D287" s="14" t="s">
        <v>14</v>
      </c>
      <c r="E287" s="14" t="s">
        <v>16</v>
      </c>
      <c r="F287" s="14" t="s">
        <v>438</v>
      </c>
      <c r="G287" s="15"/>
      <c r="H287" s="275">
        <v>1.23</v>
      </c>
      <c r="I287" s="275"/>
    </row>
    <row r="288" spans="1:9" x14ac:dyDescent="0.2">
      <c r="B288" s="13">
        <v>45359</v>
      </c>
      <c r="C288" s="14" t="s">
        <v>24</v>
      </c>
      <c r="D288" s="14" t="s">
        <v>14</v>
      </c>
      <c r="E288" s="14" t="s">
        <v>17</v>
      </c>
      <c r="F288" s="14" t="s">
        <v>10</v>
      </c>
      <c r="G288" s="15">
        <v>-5000</v>
      </c>
      <c r="H288" s="275"/>
      <c r="I288" s="275"/>
    </row>
    <row r="289" spans="2:9" x14ac:dyDescent="0.2">
      <c r="B289" s="13">
        <v>45359</v>
      </c>
      <c r="C289" s="14" t="s">
        <v>18</v>
      </c>
      <c r="D289" s="14" t="s">
        <v>14</v>
      </c>
      <c r="E289" s="14" t="s">
        <v>17</v>
      </c>
      <c r="F289" s="14" t="s">
        <v>10</v>
      </c>
      <c r="G289" s="15">
        <v>-2057</v>
      </c>
      <c r="H289" s="275"/>
      <c r="I289" s="275"/>
    </row>
    <row r="290" spans="2:9" x14ac:dyDescent="0.2">
      <c r="B290" s="13">
        <v>45359</v>
      </c>
      <c r="C290" s="14" t="s">
        <v>17</v>
      </c>
      <c r="D290" s="14" t="s">
        <v>14</v>
      </c>
      <c r="E290" s="14" t="s">
        <v>18</v>
      </c>
      <c r="F290" s="14" t="s">
        <v>10</v>
      </c>
      <c r="G290" s="15">
        <v>2057</v>
      </c>
      <c r="H290" s="275"/>
      <c r="I290" s="275"/>
    </row>
    <row r="291" spans="2:9" x14ac:dyDescent="0.2">
      <c r="B291" s="13">
        <v>45359</v>
      </c>
      <c r="C291" s="14" t="s">
        <v>25</v>
      </c>
      <c r="D291" s="14" t="s">
        <v>14</v>
      </c>
      <c r="E291" s="14" t="s">
        <v>18</v>
      </c>
      <c r="F291" s="14" t="s">
        <v>10</v>
      </c>
      <c r="G291" s="15">
        <v>949</v>
      </c>
      <c r="H291" s="275"/>
      <c r="I291" s="275"/>
    </row>
    <row r="292" spans="2:9" x14ac:dyDescent="0.2">
      <c r="B292" s="13">
        <v>45359</v>
      </c>
      <c r="C292" s="14" t="s">
        <v>17</v>
      </c>
      <c r="D292" s="14" t="s">
        <v>14</v>
      </c>
      <c r="E292" s="14" t="s">
        <v>24</v>
      </c>
      <c r="F292" s="14" t="s">
        <v>10</v>
      </c>
      <c r="G292" s="15">
        <v>5000</v>
      </c>
      <c r="H292" s="275"/>
      <c r="I292" s="275"/>
    </row>
    <row r="293" spans="2:9" x14ac:dyDescent="0.2">
      <c r="B293" s="13">
        <v>45359</v>
      </c>
      <c r="C293" s="14" t="s">
        <v>18</v>
      </c>
      <c r="D293" s="14" t="s">
        <v>14</v>
      </c>
      <c r="E293" s="14" t="s">
        <v>25</v>
      </c>
      <c r="F293" s="14" t="s">
        <v>10</v>
      </c>
      <c r="G293" s="15">
        <v>-949</v>
      </c>
      <c r="H293" s="275"/>
      <c r="I293" s="275"/>
    </row>
    <row r="294" spans="2:9" x14ac:dyDescent="0.2">
      <c r="B294" s="13">
        <v>45359</v>
      </c>
      <c r="C294" s="14" t="s">
        <v>25</v>
      </c>
      <c r="D294" s="14" t="s">
        <v>126</v>
      </c>
      <c r="E294" s="14" t="s">
        <v>196</v>
      </c>
      <c r="F294" s="14" t="s">
        <v>433</v>
      </c>
      <c r="G294" s="15"/>
      <c r="H294" s="275"/>
      <c r="I294" s="275">
        <v>-84</v>
      </c>
    </row>
    <row r="295" spans="2:9" x14ac:dyDescent="0.2">
      <c r="B295" s="13">
        <v>45359</v>
      </c>
      <c r="C295" s="14" t="s">
        <v>24</v>
      </c>
      <c r="D295" s="14" t="s">
        <v>41</v>
      </c>
      <c r="E295" s="14" t="s">
        <v>46</v>
      </c>
      <c r="F295" s="14" t="s">
        <v>176</v>
      </c>
      <c r="G295" s="15"/>
      <c r="H295" s="275">
        <v>2383.33</v>
      </c>
      <c r="I295" s="275"/>
    </row>
    <row r="296" spans="2:9" x14ac:dyDescent="0.2">
      <c r="B296" s="13">
        <v>45359</v>
      </c>
      <c r="C296" s="14" t="s">
        <v>25</v>
      </c>
      <c r="D296" s="14" t="s">
        <v>26</v>
      </c>
      <c r="E296" s="14" t="s">
        <v>27</v>
      </c>
      <c r="F296" s="14" t="s">
        <v>432</v>
      </c>
      <c r="G296" s="15"/>
      <c r="H296" s="275"/>
      <c r="I296" s="275">
        <v>-60</v>
      </c>
    </row>
    <row r="297" spans="2:9" x14ac:dyDescent="0.2">
      <c r="B297" s="13">
        <v>45359</v>
      </c>
      <c r="C297" s="14" t="s">
        <v>25</v>
      </c>
      <c r="D297" s="14" t="s">
        <v>31</v>
      </c>
      <c r="E297" s="14" t="s">
        <v>49</v>
      </c>
      <c r="F297" s="14" t="s">
        <v>431</v>
      </c>
      <c r="G297" s="15"/>
      <c r="H297" s="275"/>
      <c r="I297" s="275">
        <v>-20</v>
      </c>
    </row>
    <row r="298" spans="2:9" x14ac:dyDescent="0.2">
      <c r="B298" s="13">
        <v>45360</v>
      </c>
      <c r="C298" s="14" t="s">
        <v>25</v>
      </c>
      <c r="D298" s="14" t="s">
        <v>31</v>
      </c>
      <c r="E298" s="14" t="s">
        <v>56</v>
      </c>
      <c r="F298" s="14" t="s">
        <v>154</v>
      </c>
      <c r="G298" s="15"/>
      <c r="H298" s="275"/>
      <c r="I298" s="275">
        <v>-114</v>
      </c>
    </row>
    <row r="299" spans="2:9" x14ac:dyDescent="0.2">
      <c r="B299" s="13">
        <v>45360</v>
      </c>
      <c r="C299" s="14" t="s">
        <v>25</v>
      </c>
      <c r="D299" s="14" t="s">
        <v>31</v>
      </c>
      <c r="E299" s="14" t="s">
        <v>56</v>
      </c>
      <c r="F299" s="14" t="s">
        <v>80</v>
      </c>
      <c r="G299" s="15"/>
      <c r="H299" s="275"/>
      <c r="I299" s="275">
        <v>-345</v>
      </c>
    </row>
    <row r="300" spans="2:9" x14ac:dyDescent="0.2">
      <c r="B300" s="13">
        <v>45360</v>
      </c>
      <c r="C300" s="14" t="s">
        <v>25</v>
      </c>
      <c r="D300" s="14" t="s">
        <v>31</v>
      </c>
      <c r="E300" s="14" t="s">
        <v>56</v>
      </c>
      <c r="F300" s="14" t="s">
        <v>434</v>
      </c>
      <c r="G300" s="15"/>
      <c r="H300" s="275"/>
      <c r="I300" s="275">
        <v>-40</v>
      </c>
    </row>
    <row r="301" spans="2:9" x14ac:dyDescent="0.2">
      <c r="B301" s="13">
        <v>45361</v>
      </c>
      <c r="C301" s="14" t="s">
        <v>22</v>
      </c>
      <c r="D301" s="14" t="s">
        <v>14</v>
      </c>
      <c r="E301" s="14" t="s">
        <v>16</v>
      </c>
      <c r="F301" s="14" t="s">
        <v>439</v>
      </c>
      <c r="G301" s="15">
        <v>-300000</v>
      </c>
      <c r="H301" s="275"/>
      <c r="I301" s="275"/>
    </row>
    <row r="302" spans="2:9" x14ac:dyDescent="0.2">
      <c r="B302" s="13">
        <v>45361</v>
      </c>
      <c r="C302" s="14" t="s">
        <v>25</v>
      </c>
      <c r="D302" s="14" t="s">
        <v>14</v>
      </c>
      <c r="E302" s="14" t="s">
        <v>18</v>
      </c>
      <c r="F302" s="14" t="s">
        <v>10</v>
      </c>
      <c r="G302" s="15">
        <v>930</v>
      </c>
      <c r="H302" s="275"/>
      <c r="I302" s="275"/>
    </row>
    <row r="303" spans="2:9" x14ac:dyDescent="0.2">
      <c r="B303" s="13">
        <v>45361</v>
      </c>
      <c r="C303" s="14" t="s">
        <v>16</v>
      </c>
      <c r="D303" s="14" t="s">
        <v>14</v>
      </c>
      <c r="E303" s="14" t="s">
        <v>22</v>
      </c>
      <c r="F303" s="14" t="s">
        <v>440</v>
      </c>
      <c r="G303" s="15"/>
      <c r="H303" s="275">
        <v>12740</v>
      </c>
      <c r="I303" s="275"/>
    </row>
    <row r="304" spans="2:9" x14ac:dyDescent="0.2">
      <c r="B304" s="13">
        <v>45361</v>
      </c>
      <c r="C304" s="14" t="s">
        <v>16</v>
      </c>
      <c r="D304" s="14" t="s">
        <v>14</v>
      </c>
      <c r="E304" s="14" t="s">
        <v>22</v>
      </c>
      <c r="F304" s="14" t="s">
        <v>441</v>
      </c>
      <c r="G304" s="15"/>
      <c r="H304" s="275"/>
      <c r="I304" s="275">
        <v>-745.9</v>
      </c>
    </row>
    <row r="305" spans="2:9" x14ac:dyDescent="0.2">
      <c r="B305" s="13">
        <v>45361</v>
      </c>
      <c r="C305" s="14" t="s">
        <v>16</v>
      </c>
      <c r="D305" s="14" t="s">
        <v>14</v>
      </c>
      <c r="E305" s="14" t="s">
        <v>22</v>
      </c>
      <c r="F305" s="14" t="s">
        <v>439</v>
      </c>
      <c r="G305" s="15">
        <v>300000</v>
      </c>
      <c r="H305" s="275"/>
      <c r="I305" s="275"/>
    </row>
    <row r="306" spans="2:9" x14ac:dyDescent="0.2">
      <c r="B306" s="13">
        <v>45361</v>
      </c>
      <c r="C306" s="14" t="s">
        <v>18</v>
      </c>
      <c r="D306" s="14" t="s">
        <v>14</v>
      </c>
      <c r="E306" s="14" t="s">
        <v>25</v>
      </c>
      <c r="F306" s="14" t="s">
        <v>10</v>
      </c>
      <c r="G306" s="15">
        <v>-930</v>
      </c>
      <c r="H306" s="275"/>
      <c r="I306" s="275"/>
    </row>
    <row r="307" spans="2:9" x14ac:dyDescent="0.2">
      <c r="B307" s="13">
        <v>45361</v>
      </c>
      <c r="C307" s="14" t="s">
        <v>25</v>
      </c>
      <c r="D307" s="14" t="s">
        <v>31</v>
      </c>
      <c r="E307" s="14" t="s">
        <v>56</v>
      </c>
      <c r="F307" s="14" t="s">
        <v>435</v>
      </c>
      <c r="G307" s="15"/>
      <c r="H307" s="275"/>
      <c r="I307" s="275">
        <v>-60</v>
      </c>
    </row>
    <row r="308" spans="2:9" x14ac:dyDescent="0.2">
      <c r="B308" s="13">
        <v>45361</v>
      </c>
      <c r="C308" s="14" t="s">
        <v>25</v>
      </c>
      <c r="D308" s="14" t="s">
        <v>31</v>
      </c>
      <c r="E308" s="14" t="s">
        <v>56</v>
      </c>
      <c r="F308" s="14" t="s">
        <v>99</v>
      </c>
      <c r="G308" s="15"/>
      <c r="H308" s="275"/>
      <c r="I308" s="275">
        <v>-607</v>
      </c>
    </row>
    <row r="309" spans="2:9" x14ac:dyDescent="0.2">
      <c r="B309" s="13">
        <v>45362</v>
      </c>
      <c r="C309" s="14" t="s">
        <v>16</v>
      </c>
      <c r="D309" s="14" t="s">
        <v>33</v>
      </c>
      <c r="E309" s="14" t="s">
        <v>195</v>
      </c>
      <c r="F309" s="14" t="s">
        <v>452</v>
      </c>
      <c r="G309" s="15"/>
      <c r="H309" s="275"/>
      <c r="I309" s="275">
        <v>-555.79999999999995</v>
      </c>
    </row>
    <row r="310" spans="2:9" x14ac:dyDescent="0.2">
      <c r="B310" s="13">
        <v>45362</v>
      </c>
      <c r="C310" s="14" t="s">
        <v>25</v>
      </c>
      <c r="D310" s="14" t="s">
        <v>33</v>
      </c>
      <c r="E310" s="14" t="s">
        <v>107</v>
      </c>
      <c r="F310" s="14" t="s">
        <v>443</v>
      </c>
      <c r="G310" s="15"/>
      <c r="H310" s="275"/>
      <c r="I310" s="275">
        <v>-300</v>
      </c>
    </row>
    <row r="311" spans="2:9" x14ac:dyDescent="0.2">
      <c r="B311" s="13">
        <v>45362</v>
      </c>
      <c r="C311" s="14" t="s">
        <v>18</v>
      </c>
      <c r="D311" s="14" t="s">
        <v>14</v>
      </c>
      <c r="E311" s="14" t="s">
        <v>16</v>
      </c>
      <c r="F311" s="14" t="s">
        <v>10</v>
      </c>
      <c r="G311" s="15">
        <v>10000</v>
      </c>
      <c r="H311" s="275"/>
      <c r="I311" s="275"/>
    </row>
    <row r="312" spans="2:9" x14ac:dyDescent="0.2">
      <c r="B312" s="13">
        <v>45362</v>
      </c>
      <c r="C312" s="14" t="s">
        <v>22</v>
      </c>
      <c r="D312" s="14" t="s">
        <v>14</v>
      </c>
      <c r="E312" s="14" t="s">
        <v>16</v>
      </c>
      <c r="F312" s="14" t="s">
        <v>442</v>
      </c>
      <c r="G312" s="15">
        <v>312000</v>
      </c>
      <c r="H312" s="275"/>
      <c r="I312" s="275"/>
    </row>
    <row r="313" spans="2:9" x14ac:dyDescent="0.2">
      <c r="B313" s="13">
        <v>45362</v>
      </c>
      <c r="C313" s="14" t="s">
        <v>16</v>
      </c>
      <c r="D313" s="14" t="s">
        <v>14</v>
      </c>
      <c r="E313" s="14" t="s">
        <v>18</v>
      </c>
      <c r="F313" s="14" t="s">
        <v>10</v>
      </c>
      <c r="G313" s="15">
        <v>-10000</v>
      </c>
      <c r="H313" s="275"/>
      <c r="I313" s="275"/>
    </row>
    <row r="314" spans="2:9" x14ac:dyDescent="0.2">
      <c r="B314" s="13">
        <v>45362</v>
      </c>
      <c r="C314" s="14" t="s">
        <v>16</v>
      </c>
      <c r="D314" s="14" t="s">
        <v>14</v>
      </c>
      <c r="E314" s="14" t="s">
        <v>22</v>
      </c>
      <c r="F314" s="14" t="s">
        <v>442</v>
      </c>
      <c r="G314" s="15">
        <v>-312000</v>
      </c>
      <c r="H314" s="275"/>
      <c r="I314" s="275"/>
    </row>
    <row r="315" spans="2:9" x14ac:dyDescent="0.2">
      <c r="B315" s="13">
        <v>45362</v>
      </c>
      <c r="C315" s="14" t="s">
        <v>25</v>
      </c>
      <c r="D315" s="14" t="s">
        <v>126</v>
      </c>
      <c r="E315" s="14" t="s">
        <v>612</v>
      </c>
      <c r="F315" s="14" t="s">
        <v>437</v>
      </c>
      <c r="G315" s="15"/>
      <c r="H315" s="275"/>
      <c r="I315" s="275">
        <v>-229</v>
      </c>
    </row>
    <row r="316" spans="2:9" x14ac:dyDescent="0.2">
      <c r="B316" s="13">
        <v>45362</v>
      </c>
      <c r="C316" s="14" t="s">
        <v>16</v>
      </c>
      <c r="D316" s="14" t="s">
        <v>126</v>
      </c>
      <c r="E316" s="14" t="s">
        <v>612</v>
      </c>
      <c r="F316" s="14" t="s">
        <v>449</v>
      </c>
      <c r="G316" s="15"/>
      <c r="H316" s="275"/>
      <c r="I316" s="275">
        <v>-100</v>
      </c>
    </row>
    <row r="317" spans="2:9" x14ac:dyDescent="0.2">
      <c r="B317" s="13">
        <v>45362</v>
      </c>
      <c r="C317" s="14" t="s">
        <v>18</v>
      </c>
      <c r="D317" s="14" t="s">
        <v>126</v>
      </c>
      <c r="E317" s="14" t="s">
        <v>612</v>
      </c>
      <c r="F317" s="14" t="s">
        <v>450</v>
      </c>
      <c r="G317" s="15"/>
      <c r="H317" s="275"/>
      <c r="I317" s="275">
        <v>-1000</v>
      </c>
    </row>
    <row r="318" spans="2:9" x14ac:dyDescent="0.2">
      <c r="B318" s="13">
        <v>45362</v>
      </c>
      <c r="C318" s="14" t="s">
        <v>18</v>
      </c>
      <c r="D318" s="14" t="s">
        <v>38</v>
      </c>
      <c r="E318" s="14" t="s">
        <v>102</v>
      </c>
      <c r="F318" s="14" t="s">
        <v>451</v>
      </c>
      <c r="G318" s="15"/>
      <c r="H318" s="275"/>
      <c r="I318" s="275">
        <v>-900</v>
      </c>
    </row>
    <row r="319" spans="2:9" x14ac:dyDescent="0.2">
      <c r="B319" s="13">
        <v>45362</v>
      </c>
      <c r="C319" s="14" t="s">
        <v>18</v>
      </c>
      <c r="D319" s="14" t="s">
        <v>31</v>
      </c>
      <c r="E319" s="14" t="s">
        <v>32</v>
      </c>
      <c r="F319" s="14" t="s">
        <v>436</v>
      </c>
      <c r="G319" s="15"/>
      <c r="H319" s="275"/>
      <c r="I319" s="275">
        <v>-2500</v>
      </c>
    </row>
    <row r="320" spans="2:9" x14ac:dyDescent="0.2">
      <c r="B320" s="13">
        <v>45362</v>
      </c>
      <c r="C320" s="14" t="s">
        <v>25</v>
      </c>
      <c r="D320" s="14" t="s">
        <v>31</v>
      </c>
      <c r="E320" s="14" t="s">
        <v>49</v>
      </c>
      <c r="F320" s="14" t="s">
        <v>453</v>
      </c>
      <c r="G320" s="15"/>
      <c r="H320" s="275"/>
      <c r="I320" s="275">
        <v>-10</v>
      </c>
    </row>
    <row r="321" spans="2:9" x14ac:dyDescent="0.2">
      <c r="B321" s="13">
        <v>45362</v>
      </c>
      <c r="C321" s="14" t="s">
        <v>18</v>
      </c>
      <c r="D321" s="14" t="s">
        <v>43</v>
      </c>
      <c r="E321" s="14" t="s">
        <v>72</v>
      </c>
      <c r="F321" s="14" t="s">
        <v>119</v>
      </c>
      <c r="G321" s="15"/>
      <c r="H321" s="275"/>
      <c r="I321" s="275">
        <v>-134</v>
      </c>
    </row>
    <row r="322" spans="2:9" x14ac:dyDescent="0.2">
      <c r="B322" s="13">
        <v>45362</v>
      </c>
      <c r="C322" s="14" t="s">
        <v>18</v>
      </c>
      <c r="D322" s="14" t="s">
        <v>43</v>
      </c>
      <c r="E322" s="14" t="s">
        <v>73</v>
      </c>
      <c r="F322" s="14" t="s">
        <v>176</v>
      </c>
      <c r="G322" s="15"/>
      <c r="H322" s="275"/>
      <c r="I322" s="275">
        <v>-1600</v>
      </c>
    </row>
    <row r="323" spans="2:9" x14ac:dyDescent="0.2">
      <c r="B323" s="13">
        <v>45363</v>
      </c>
      <c r="C323" s="14" t="s">
        <v>25</v>
      </c>
      <c r="D323" s="14" t="s">
        <v>14</v>
      </c>
      <c r="E323" s="14" t="s">
        <v>18</v>
      </c>
      <c r="F323" s="14" t="s">
        <v>10</v>
      </c>
      <c r="G323" s="15">
        <v>236</v>
      </c>
      <c r="H323" s="275"/>
      <c r="I323" s="275"/>
    </row>
    <row r="324" spans="2:9" x14ac:dyDescent="0.2">
      <c r="B324" s="13">
        <v>45363</v>
      </c>
      <c r="C324" s="14" t="s">
        <v>18</v>
      </c>
      <c r="D324" s="14" t="s">
        <v>14</v>
      </c>
      <c r="E324" s="14" t="s">
        <v>25</v>
      </c>
      <c r="F324" s="14" t="s">
        <v>10</v>
      </c>
      <c r="G324" s="15">
        <v>-236</v>
      </c>
      <c r="H324" s="275"/>
      <c r="I324" s="275"/>
    </row>
    <row r="325" spans="2:9" x14ac:dyDescent="0.2">
      <c r="B325" s="13">
        <v>45363</v>
      </c>
      <c r="C325" s="14" t="s">
        <v>16</v>
      </c>
      <c r="D325" s="14" t="s">
        <v>38</v>
      </c>
      <c r="E325" s="14" t="s">
        <v>102</v>
      </c>
      <c r="F325" s="14" t="s">
        <v>454</v>
      </c>
      <c r="G325" s="15"/>
      <c r="H325" s="275"/>
      <c r="I325" s="275">
        <v>-2000</v>
      </c>
    </row>
    <row r="326" spans="2:9" x14ac:dyDescent="0.2">
      <c r="B326" s="13">
        <v>45363</v>
      </c>
      <c r="C326" s="14" t="s">
        <v>25</v>
      </c>
      <c r="D326" s="14" t="s">
        <v>26</v>
      </c>
      <c r="E326" s="14" t="s">
        <v>29</v>
      </c>
      <c r="F326" s="14" t="s">
        <v>469</v>
      </c>
      <c r="G326" s="15"/>
      <c r="H326" s="275"/>
      <c r="I326" s="275">
        <v>-600</v>
      </c>
    </row>
    <row r="327" spans="2:9" x14ac:dyDescent="0.2">
      <c r="B327" s="13">
        <v>45363</v>
      </c>
      <c r="C327" s="14" t="s">
        <v>16</v>
      </c>
      <c r="D327" s="14" t="s">
        <v>43</v>
      </c>
      <c r="E327" s="14" t="s">
        <v>70</v>
      </c>
      <c r="F327" s="14" t="s">
        <v>119</v>
      </c>
      <c r="G327" s="15"/>
      <c r="H327" s="275"/>
      <c r="I327" s="275">
        <v>-300</v>
      </c>
    </row>
    <row r="328" spans="2:9" x14ac:dyDescent="0.2">
      <c r="B328" s="13">
        <v>45364</v>
      </c>
      <c r="C328" s="14" t="s">
        <v>16</v>
      </c>
      <c r="D328" s="14" t="s">
        <v>41</v>
      </c>
      <c r="E328" s="14" t="s">
        <v>47</v>
      </c>
      <c r="F328" s="14" t="s">
        <v>455</v>
      </c>
      <c r="G328" s="15"/>
      <c r="H328" s="275">
        <v>7000</v>
      </c>
      <c r="I328" s="275"/>
    </row>
    <row r="329" spans="2:9" x14ac:dyDescent="0.2">
      <c r="B329" s="13">
        <v>45364</v>
      </c>
      <c r="C329" s="14" t="s">
        <v>25</v>
      </c>
      <c r="D329" s="14" t="s">
        <v>31</v>
      </c>
      <c r="E329" s="14" t="s">
        <v>49</v>
      </c>
      <c r="F329" s="14" t="s">
        <v>104</v>
      </c>
      <c r="G329" s="15"/>
      <c r="H329" s="275"/>
      <c r="I329" s="275">
        <v>-35</v>
      </c>
    </row>
    <row r="330" spans="2:9" x14ac:dyDescent="0.2">
      <c r="B330" s="13">
        <v>45364</v>
      </c>
      <c r="C330" s="14" t="s">
        <v>25</v>
      </c>
      <c r="D330" s="14" t="s">
        <v>31</v>
      </c>
      <c r="E330" s="14" t="s">
        <v>49</v>
      </c>
      <c r="F330" s="14" t="s">
        <v>78</v>
      </c>
      <c r="G330" s="15"/>
      <c r="H330" s="275"/>
      <c r="I330" s="275">
        <v>-40</v>
      </c>
    </row>
    <row r="331" spans="2:9" x14ac:dyDescent="0.2">
      <c r="B331" s="13">
        <v>45365</v>
      </c>
      <c r="C331" s="14" t="s">
        <v>16</v>
      </c>
      <c r="D331" s="14" t="s">
        <v>38</v>
      </c>
      <c r="E331" s="14" t="s">
        <v>96</v>
      </c>
      <c r="F331" s="14" t="s">
        <v>459</v>
      </c>
      <c r="G331" s="15"/>
      <c r="H331" s="275"/>
      <c r="I331" s="275">
        <v>-1600</v>
      </c>
    </row>
    <row r="332" spans="2:9" x14ac:dyDescent="0.2">
      <c r="B332" s="13">
        <v>45365</v>
      </c>
      <c r="C332" s="14" t="s">
        <v>16</v>
      </c>
      <c r="D332" s="14" t="s">
        <v>26</v>
      </c>
      <c r="E332" s="14" t="s">
        <v>27</v>
      </c>
      <c r="F332" s="14" t="s">
        <v>456</v>
      </c>
      <c r="G332" s="15"/>
      <c r="H332" s="275"/>
      <c r="I332" s="275">
        <v>-500</v>
      </c>
    </row>
    <row r="333" spans="2:9" x14ac:dyDescent="0.2">
      <c r="B333" s="13">
        <v>45365</v>
      </c>
      <c r="C333" s="14" t="s">
        <v>16</v>
      </c>
      <c r="D333" s="14" t="s">
        <v>26</v>
      </c>
      <c r="E333" s="14" t="s">
        <v>29</v>
      </c>
      <c r="F333" s="14" t="s">
        <v>645</v>
      </c>
      <c r="G333" s="15"/>
      <c r="H333" s="275"/>
      <c r="I333" s="275">
        <v>-4800</v>
      </c>
    </row>
    <row r="334" spans="2:9" x14ac:dyDescent="0.2">
      <c r="B334" s="13">
        <v>45365</v>
      </c>
      <c r="C334" s="14" t="s">
        <v>16</v>
      </c>
      <c r="D334" s="14" t="s">
        <v>26</v>
      </c>
      <c r="E334" s="14" t="s">
        <v>29</v>
      </c>
      <c r="F334" s="14" t="s">
        <v>457</v>
      </c>
      <c r="G334" s="15"/>
      <c r="H334" s="275">
        <v>1600</v>
      </c>
      <c r="I334" s="275"/>
    </row>
    <row r="335" spans="2:9" x14ac:dyDescent="0.2">
      <c r="B335" s="13">
        <v>45366</v>
      </c>
      <c r="C335" s="14" t="s">
        <v>25</v>
      </c>
      <c r="D335" s="14" t="s">
        <v>33</v>
      </c>
      <c r="E335" s="14" t="s">
        <v>34</v>
      </c>
      <c r="F335" s="14" t="s">
        <v>460</v>
      </c>
      <c r="G335" s="15"/>
      <c r="H335" s="275"/>
      <c r="I335" s="275">
        <v>-300</v>
      </c>
    </row>
    <row r="336" spans="2:9" x14ac:dyDescent="0.2">
      <c r="B336" s="13">
        <v>45366</v>
      </c>
      <c r="C336" s="14" t="s">
        <v>16</v>
      </c>
      <c r="D336" s="14" t="s">
        <v>33</v>
      </c>
      <c r="E336" s="14" t="s">
        <v>107</v>
      </c>
      <c r="F336" s="14" t="s">
        <v>458</v>
      </c>
      <c r="G336" s="15"/>
      <c r="H336" s="275"/>
      <c r="I336" s="275">
        <v>-659</v>
      </c>
    </row>
    <row r="337" spans="2:9" x14ac:dyDescent="0.2">
      <c r="B337" s="13">
        <v>45366</v>
      </c>
      <c r="C337" s="14" t="s">
        <v>24</v>
      </c>
      <c r="D337" s="14" t="s">
        <v>14</v>
      </c>
      <c r="E337" s="14" t="s">
        <v>18</v>
      </c>
      <c r="F337" s="14" t="s">
        <v>10</v>
      </c>
      <c r="G337" s="15">
        <v>-5000</v>
      </c>
      <c r="H337" s="275"/>
      <c r="I337" s="275"/>
    </row>
    <row r="338" spans="2:9" x14ac:dyDescent="0.2">
      <c r="B338" s="13">
        <v>45366</v>
      </c>
      <c r="C338" s="14" t="s">
        <v>18</v>
      </c>
      <c r="D338" s="14" t="s">
        <v>14</v>
      </c>
      <c r="E338" s="14" t="s">
        <v>24</v>
      </c>
      <c r="F338" s="14" t="s">
        <v>10</v>
      </c>
      <c r="G338" s="15">
        <v>5000</v>
      </c>
      <c r="H338" s="275"/>
      <c r="I338" s="275"/>
    </row>
    <row r="339" spans="2:9" x14ac:dyDescent="0.2">
      <c r="B339" s="13">
        <v>45366</v>
      </c>
      <c r="C339" s="14" t="s">
        <v>25</v>
      </c>
      <c r="D339" s="14" t="s">
        <v>31</v>
      </c>
      <c r="E339" s="14" t="s">
        <v>49</v>
      </c>
      <c r="F339" s="14" t="s">
        <v>461</v>
      </c>
      <c r="G339" s="15"/>
      <c r="H339" s="275"/>
      <c r="I339" s="275">
        <v>-40</v>
      </c>
    </row>
    <row r="340" spans="2:9" x14ac:dyDescent="0.2">
      <c r="B340" s="13">
        <v>45367</v>
      </c>
      <c r="C340" s="14" t="s">
        <v>18</v>
      </c>
      <c r="D340" s="14" t="s">
        <v>31</v>
      </c>
      <c r="E340" s="14" t="s">
        <v>56</v>
      </c>
      <c r="F340" s="14" t="s">
        <v>80</v>
      </c>
      <c r="G340" s="15"/>
      <c r="H340" s="275"/>
      <c r="I340" s="275">
        <v>-345</v>
      </c>
    </row>
    <row r="341" spans="2:9" x14ac:dyDescent="0.2">
      <c r="B341" s="13">
        <v>45367</v>
      </c>
      <c r="C341" s="14" t="s">
        <v>18</v>
      </c>
      <c r="D341" s="14" t="s">
        <v>31</v>
      </c>
      <c r="E341" s="14" t="s">
        <v>56</v>
      </c>
      <c r="F341" s="14" t="s">
        <v>168</v>
      </c>
      <c r="G341" s="15"/>
      <c r="H341" s="275"/>
      <c r="I341" s="275">
        <v>-25</v>
      </c>
    </row>
    <row r="342" spans="2:9" x14ac:dyDescent="0.2">
      <c r="B342" s="13">
        <v>45367</v>
      </c>
      <c r="C342" s="14" t="s">
        <v>18</v>
      </c>
      <c r="D342" s="14" t="s">
        <v>31</v>
      </c>
      <c r="E342" s="14" t="s">
        <v>56</v>
      </c>
      <c r="F342" s="14" t="s">
        <v>110</v>
      </c>
      <c r="G342" s="15"/>
      <c r="H342" s="275"/>
      <c r="I342" s="275">
        <v>-69</v>
      </c>
    </row>
    <row r="343" spans="2:9" x14ac:dyDescent="0.2">
      <c r="B343" s="13">
        <v>45368</v>
      </c>
      <c r="C343" s="14" t="s">
        <v>25</v>
      </c>
      <c r="D343" s="14" t="s">
        <v>14</v>
      </c>
      <c r="E343" s="14" t="s">
        <v>18</v>
      </c>
      <c r="F343" s="14" t="s">
        <v>10</v>
      </c>
      <c r="G343" s="15">
        <v>1468</v>
      </c>
      <c r="H343" s="275"/>
      <c r="I343" s="275"/>
    </row>
    <row r="344" spans="2:9" x14ac:dyDescent="0.2">
      <c r="B344" s="13">
        <v>45368</v>
      </c>
      <c r="C344" s="14" t="s">
        <v>18</v>
      </c>
      <c r="D344" s="14" t="s">
        <v>14</v>
      </c>
      <c r="E344" s="14" t="s">
        <v>25</v>
      </c>
      <c r="F344" s="14" t="s">
        <v>10</v>
      </c>
      <c r="G344" s="15">
        <v>-1468</v>
      </c>
      <c r="H344" s="275"/>
      <c r="I344" s="275"/>
    </row>
    <row r="345" spans="2:9" x14ac:dyDescent="0.2">
      <c r="B345" s="13">
        <v>45368</v>
      </c>
      <c r="C345" s="14" t="s">
        <v>18</v>
      </c>
      <c r="D345" s="14" t="s">
        <v>31</v>
      </c>
      <c r="E345" s="14" t="s">
        <v>56</v>
      </c>
      <c r="F345" s="14" t="s">
        <v>154</v>
      </c>
      <c r="G345" s="15"/>
      <c r="H345" s="275"/>
      <c r="I345" s="275">
        <v>-178</v>
      </c>
    </row>
    <row r="346" spans="2:9" x14ac:dyDescent="0.2">
      <c r="B346" s="13">
        <v>45368</v>
      </c>
      <c r="C346" s="14" t="s">
        <v>18</v>
      </c>
      <c r="D346" s="14" t="s">
        <v>31</v>
      </c>
      <c r="E346" s="14" t="s">
        <v>56</v>
      </c>
      <c r="F346" s="14" t="s">
        <v>465</v>
      </c>
      <c r="G346" s="15"/>
      <c r="H346" s="275"/>
      <c r="I346" s="275">
        <v>-75</v>
      </c>
    </row>
    <row r="347" spans="2:9" x14ac:dyDescent="0.2">
      <c r="B347" s="13">
        <v>45368</v>
      </c>
      <c r="C347" s="14" t="s">
        <v>18</v>
      </c>
      <c r="D347" s="14" t="s">
        <v>31</v>
      </c>
      <c r="E347" s="14" t="s">
        <v>56</v>
      </c>
      <c r="F347" s="14" t="s">
        <v>466</v>
      </c>
      <c r="G347" s="15"/>
      <c r="H347" s="275"/>
      <c r="I347" s="275">
        <v>-90</v>
      </c>
    </row>
    <row r="348" spans="2:9" x14ac:dyDescent="0.2">
      <c r="B348" s="13">
        <v>45368</v>
      </c>
      <c r="C348" s="14" t="s">
        <v>18</v>
      </c>
      <c r="D348" s="14" t="s">
        <v>31</v>
      </c>
      <c r="E348" s="14" t="s">
        <v>56</v>
      </c>
      <c r="F348" s="14" t="s">
        <v>90</v>
      </c>
      <c r="G348" s="15"/>
      <c r="H348" s="275"/>
      <c r="I348" s="275">
        <v>-60</v>
      </c>
    </row>
    <row r="349" spans="2:9" x14ac:dyDescent="0.2">
      <c r="B349" s="13">
        <v>45368</v>
      </c>
      <c r="C349" s="14" t="s">
        <v>25</v>
      </c>
      <c r="D349" s="14" t="s">
        <v>31</v>
      </c>
      <c r="E349" s="14" t="s">
        <v>56</v>
      </c>
      <c r="F349" s="14" t="s">
        <v>99</v>
      </c>
      <c r="G349" s="15"/>
      <c r="H349" s="275"/>
      <c r="I349" s="275">
        <v>-11</v>
      </c>
    </row>
    <row r="350" spans="2:9" x14ac:dyDescent="0.2">
      <c r="B350" s="13">
        <v>45369</v>
      </c>
      <c r="C350" s="14" t="s">
        <v>18</v>
      </c>
      <c r="D350" s="14" t="s">
        <v>38</v>
      </c>
      <c r="E350" s="14" t="s">
        <v>102</v>
      </c>
      <c r="F350" s="14" t="s">
        <v>463</v>
      </c>
      <c r="G350" s="15"/>
      <c r="H350" s="275"/>
      <c r="I350" s="275">
        <v>-650</v>
      </c>
    </row>
    <row r="351" spans="2:9" x14ac:dyDescent="0.2">
      <c r="B351" s="13">
        <v>45369</v>
      </c>
      <c r="C351" s="14" t="s">
        <v>18</v>
      </c>
      <c r="D351" s="14" t="s">
        <v>38</v>
      </c>
      <c r="E351" s="14" t="s">
        <v>159</v>
      </c>
      <c r="F351" s="14" t="s">
        <v>464</v>
      </c>
      <c r="G351" s="15"/>
      <c r="H351" s="275"/>
      <c r="I351" s="275">
        <v>-350</v>
      </c>
    </row>
    <row r="352" spans="2:9" x14ac:dyDescent="0.2">
      <c r="B352" s="13">
        <v>45369</v>
      </c>
      <c r="C352" s="14" t="s">
        <v>18</v>
      </c>
      <c r="D352" s="14" t="s">
        <v>31</v>
      </c>
      <c r="E352" s="14" t="s">
        <v>32</v>
      </c>
      <c r="F352" s="14" t="s">
        <v>467</v>
      </c>
      <c r="G352" s="15"/>
      <c r="H352" s="275"/>
      <c r="I352" s="275">
        <v>-2500</v>
      </c>
    </row>
    <row r="353" spans="2:9" x14ac:dyDescent="0.2">
      <c r="B353" s="13">
        <v>45370</v>
      </c>
      <c r="C353" s="14" t="s">
        <v>18</v>
      </c>
      <c r="D353" s="14" t="s">
        <v>38</v>
      </c>
      <c r="E353" s="14" t="s">
        <v>159</v>
      </c>
      <c r="F353" s="14" t="s">
        <v>462</v>
      </c>
      <c r="G353" s="15"/>
      <c r="H353" s="275"/>
      <c r="I353" s="275">
        <v>-4000</v>
      </c>
    </row>
    <row r="354" spans="2:9" x14ac:dyDescent="0.2">
      <c r="B354" s="13">
        <v>45370</v>
      </c>
      <c r="C354" s="14" t="s">
        <v>25</v>
      </c>
      <c r="D354" s="14" t="s">
        <v>31</v>
      </c>
      <c r="E354" s="14" t="s">
        <v>49</v>
      </c>
      <c r="F354" s="14" t="s">
        <v>468</v>
      </c>
      <c r="G354" s="15"/>
      <c r="H354" s="275"/>
      <c r="I354" s="275">
        <v>-20</v>
      </c>
    </row>
    <row r="355" spans="2:9" x14ac:dyDescent="0.2">
      <c r="B355" s="13">
        <v>45371</v>
      </c>
      <c r="C355" s="14" t="s">
        <v>18</v>
      </c>
      <c r="D355" s="14" t="s">
        <v>38</v>
      </c>
      <c r="E355" s="14" t="s">
        <v>159</v>
      </c>
      <c r="F355" s="14" t="s">
        <v>462</v>
      </c>
      <c r="G355" s="15"/>
      <c r="H355" s="275">
        <v>4000</v>
      </c>
      <c r="I355" s="275"/>
    </row>
    <row r="356" spans="2:9" x14ac:dyDescent="0.2">
      <c r="B356" s="13">
        <v>45371</v>
      </c>
      <c r="C356" s="14" t="s">
        <v>16</v>
      </c>
      <c r="D356" s="14" t="s">
        <v>26</v>
      </c>
      <c r="E356" s="14" t="s">
        <v>29</v>
      </c>
      <c r="F356" s="14" t="s">
        <v>528</v>
      </c>
      <c r="G356" s="15"/>
      <c r="H356" s="275"/>
      <c r="I356" s="275">
        <v>-4800</v>
      </c>
    </row>
    <row r="357" spans="2:9" x14ac:dyDescent="0.2">
      <c r="B357" s="13">
        <v>45371</v>
      </c>
      <c r="C357" s="14" t="s">
        <v>25</v>
      </c>
      <c r="D357" s="14" t="s">
        <v>31</v>
      </c>
      <c r="E357" s="14" t="s">
        <v>49</v>
      </c>
      <c r="F357" s="14" t="s">
        <v>104</v>
      </c>
      <c r="G357" s="15"/>
      <c r="H357" s="275"/>
      <c r="I357" s="275">
        <v>-30</v>
      </c>
    </row>
    <row r="358" spans="2:9" x14ac:dyDescent="0.2">
      <c r="B358" s="13">
        <v>45372</v>
      </c>
      <c r="C358" s="14" t="s">
        <v>16</v>
      </c>
      <c r="D358" s="14" t="s">
        <v>41</v>
      </c>
      <c r="E358" s="14" t="s">
        <v>47</v>
      </c>
      <c r="F358" s="14" t="s">
        <v>470</v>
      </c>
      <c r="G358" s="15"/>
      <c r="H358" s="275">
        <v>7000</v>
      </c>
      <c r="I358" s="275"/>
    </row>
    <row r="359" spans="2:9" x14ac:dyDescent="0.2">
      <c r="B359" s="13">
        <v>45373</v>
      </c>
      <c r="C359" s="14" t="s">
        <v>16</v>
      </c>
      <c r="D359" s="14" t="s">
        <v>43</v>
      </c>
      <c r="E359" s="14" t="s">
        <v>86</v>
      </c>
      <c r="F359" s="14" t="s">
        <v>176</v>
      </c>
      <c r="G359" s="15"/>
      <c r="H359" s="275"/>
      <c r="I359" s="275">
        <v>-285</v>
      </c>
    </row>
    <row r="360" spans="2:9" x14ac:dyDescent="0.2">
      <c r="B360" s="13">
        <v>45374</v>
      </c>
      <c r="C360" s="14" t="s">
        <v>25</v>
      </c>
      <c r="D360" s="14" t="s">
        <v>14</v>
      </c>
      <c r="E360" s="14" t="s">
        <v>18</v>
      </c>
      <c r="F360" s="14" t="s">
        <v>10</v>
      </c>
      <c r="G360" s="15">
        <v>237</v>
      </c>
      <c r="H360" s="275"/>
      <c r="I360" s="275"/>
    </row>
    <row r="361" spans="2:9" x14ac:dyDescent="0.2">
      <c r="B361" s="13">
        <v>45374</v>
      </c>
      <c r="C361" s="14" t="s">
        <v>24</v>
      </c>
      <c r="D361" s="14" t="s">
        <v>14</v>
      </c>
      <c r="E361" s="14" t="s">
        <v>18</v>
      </c>
      <c r="F361" s="14" t="s">
        <v>10</v>
      </c>
      <c r="G361" s="15">
        <v>-5000</v>
      </c>
      <c r="H361" s="275"/>
      <c r="I361" s="275"/>
    </row>
    <row r="362" spans="2:9" x14ac:dyDescent="0.2">
      <c r="B362" s="13">
        <v>45374</v>
      </c>
      <c r="C362" s="14" t="s">
        <v>18</v>
      </c>
      <c r="D362" s="14" t="s">
        <v>14</v>
      </c>
      <c r="E362" s="14" t="s">
        <v>24</v>
      </c>
      <c r="F362" s="14" t="s">
        <v>10</v>
      </c>
      <c r="G362" s="15">
        <v>5000</v>
      </c>
      <c r="H362" s="275"/>
      <c r="I362" s="275"/>
    </row>
    <row r="363" spans="2:9" x14ac:dyDescent="0.2">
      <c r="B363" s="13">
        <v>45374</v>
      </c>
      <c r="C363" s="14" t="s">
        <v>18</v>
      </c>
      <c r="D363" s="14" t="s">
        <v>14</v>
      </c>
      <c r="E363" s="14" t="s">
        <v>25</v>
      </c>
      <c r="F363" s="14" t="s">
        <v>10</v>
      </c>
      <c r="G363" s="15">
        <v>-237</v>
      </c>
      <c r="H363" s="275"/>
      <c r="I363" s="275"/>
    </row>
    <row r="364" spans="2:9" x14ac:dyDescent="0.2">
      <c r="B364" s="13">
        <v>45374</v>
      </c>
      <c r="C364" s="14" t="s">
        <v>17</v>
      </c>
      <c r="D364" s="14" t="s">
        <v>126</v>
      </c>
      <c r="E364" s="14" t="s">
        <v>613</v>
      </c>
      <c r="F364" s="14" t="s">
        <v>472</v>
      </c>
      <c r="G364" s="15"/>
      <c r="H364" s="275"/>
      <c r="I364" s="275">
        <v>-10000</v>
      </c>
    </row>
    <row r="365" spans="2:9" x14ac:dyDescent="0.2">
      <c r="B365" s="13">
        <v>45374</v>
      </c>
      <c r="C365" s="14" t="s">
        <v>25</v>
      </c>
      <c r="D365" s="14" t="s">
        <v>31</v>
      </c>
      <c r="E365" s="14" t="s">
        <v>56</v>
      </c>
      <c r="F365" s="14" t="s">
        <v>471</v>
      </c>
      <c r="G365" s="15"/>
      <c r="H365" s="275"/>
      <c r="I365" s="275">
        <v>-149</v>
      </c>
    </row>
    <row r="366" spans="2:9" x14ac:dyDescent="0.2">
      <c r="B366" s="13">
        <v>45374</v>
      </c>
      <c r="C366" s="14" t="s">
        <v>25</v>
      </c>
      <c r="D366" s="14" t="s">
        <v>31</v>
      </c>
      <c r="E366" s="14" t="s">
        <v>56</v>
      </c>
      <c r="F366" s="14" t="s">
        <v>99</v>
      </c>
      <c r="G366" s="15"/>
      <c r="H366" s="275">
        <v>241</v>
      </c>
      <c r="I366" s="275"/>
    </row>
    <row r="367" spans="2:9" x14ac:dyDescent="0.2">
      <c r="B367" s="13">
        <v>45374</v>
      </c>
      <c r="C367" s="14" t="s">
        <v>18</v>
      </c>
      <c r="D367" s="14" t="s">
        <v>31</v>
      </c>
      <c r="E367" s="14" t="s">
        <v>56</v>
      </c>
      <c r="F367" s="14" t="s">
        <v>91</v>
      </c>
      <c r="G367" s="15"/>
      <c r="H367" s="275"/>
      <c r="I367" s="275">
        <v>-500</v>
      </c>
    </row>
    <row r="368" spans="2:9" x14ac:dyDescent="0.2">
      <c r="B368" s="13">
        <v>45374</v>
      </c>
      <c r="C368" s="14" t="s">
        <v>18</v>
      </c>
      <c r="D368" s="14" t="s">
        <v>31</v>
      </c>
      <c r="E368" s="14" t="s">
        <v>56</v>
      </c>
      <c r="F368" s="14" t="s">
        <v>473</v>
      </c>
      <c r="G368" s="15"/>
      <c r="H368" s="275"/>
      <c r="I368" s="275">
        <v>-49</v>
      </c>
    </row>
    <row r="369" spans="2:9" x14ac:dyDescent="0.2">
      <c r="B369" s="13">
        <v>45374</v>
      </c>
      <c r="C369" s="14" t="s">
        <v>18</v>
      </c>
      <c r="D369" s="14" t="s">
        <v>31</v>
      </c>
      <c r="E369" s="14" t="s">
        <v>56</v>
      </c>
      <c r="F369" s="14" t="s">
        <v>474</v>
      </c>
      <c r="G369" s="15"/>
      <c r="H369" s="275"/>
      <c r="I369" s="275">
        <v>-35</v>
      </c>
    </row>
    <row r="370" spans="2:9" x14ac:dyDescent="0.2">
      <c r="B370" s="13">
        <v>45375</v>
      </c>
      <c r="C370" s="14" t="s">
        <v>25</v>
      </c>
      <c r="D370" s="14" t="s">
        <v>14</v>
      </c>
      <c r="E370" s="14" t="s">
        <v>18</v>
      </c>
      <c r="F370" s="14" t="s">
        <v>10</v>
      </c>
      <c r="G370" s="15">
        <v>-49</v>
      </c>
      <c r="H370" s="275"/>
      <c r="I370" s="275"/>
    </row>
    <row r="371" spans="2:9" x14ac:dyDescent="0.2">
      <c r="B371" s="13">
        <v>45375</v>
      </c>
      <c r="C371" s="14" t="s">
        <v>18</v>
      </c>
      <c r="D371" s="14" t="s">
        <v>14</v>
      </c>
      <c r="E371" s="14" t="s">
        <v>25</v>
      </c>
      <c r="F371" s="14" t="s">
        <v>10</v>
      </c>
      <c r="G371" s="15">
        <v>49</v>
      </c>
      <c r="H371" s="275"/>
      <c r="I371" s="275"/>
    </row>
    <row r="372" spans="2:9" x14ac:dyDescent="0.2">
      <c r="B372" s="13">
        <v>45375</v>
      </c>
      <c r="C372" s="14" t="s">
        <v>18</v>
      </c>
      <c r="D372" s="14" t="s">
        <v>26</v>
      </c>
      <c r="E372" s="14" t="s">
        <v>29</v>
      </c>
      <c r="F372" s="14" t="s">
        <v>477</v>
      </c>
      <c r="G372" s="15"/>
      <c r="H372" s="275"/>
      <c r="I372" s="275">
        <v>-2000</v>
      </c>
    </row>
    <row r="373" spans="2:9" x14ac:dyDescent="0.2">
      <c r="B373" s="13">
        <v>45375</v>
      </c>
      <c r="C373" s="14" t="s">
        <v>16</v>
      </c>
      <c r="D373" s="14" t="s">
        <v>26</v>
      </c>
      <c r="E373" s="14" t="s">
        <v>29</v>
      </c>
      <c r="F373" s="14" t="s">
        <v>477</v>
      </c>
      <c r="G373" s="15"/>
      <c r="H373" s="275">
        <v>2000</v>
      </c>
      <c r="I373" s="275"/>
    </row>
    <row r="374" spans="2:9" x14ac:dyDescent="0.2">
      <c r="B374" s="13">
        <v>45375</v>
      </c>
      <c r="C374" s="14" t="s">
        <v>18</v>
      </c>
      <c r="D374" s="14" t="s">
        <v>31</v>
      </c>
      <c r="E374" s="14" t="s">
        <v>56</v>
      </c>
      <c r="F374" s="14" t="s">
        <v>63</v>
      </c>
      <c r="G374" s="15"/>
      <c r="H374" s="275"/>
      <c r="I374" s="275">
        <v>-44</v>
      </c>
    </row>
    <row r="375" spans="2:9" x14ac:dyDescent="0.2">
      <c r="B375" s="13">
        <v>45375</v>
      </c>
      <c r="C375" s="14" t="s">
        <v>18</v>
      </c>
      <c r="D375" s="14" t="s">
        <v>31</v>
      </c>
      <c r="E375" s="14" t="s">
        <v>56</v>
      </c>
      <c r="F375" s="14" t="s">
        <v>62</v>
      </c>
      <c r="G375" s="15"/>
      <c r="H375" s="275"/>
      <c r="I375" s="275">
        <v>-12</v>
      </c>
    </row>
    <row r="376" spans="2:9" x14ac:dyDescent="0.2">
      <c r="B376" s="13">
        <v>45375</v>
      </c>
      <c r="C376" s="14" t="s">
        <v>18</v>
      </c>
      <c r="D376" s="14" t="s">
        <v>31</v>
      </c>
      <c r="E376" s="14" t="s">
        <v>56</v>
      </c>
      <c r="F376" s="14" t="s">
        <v>475</v>
      </c>
      <c r="G376" s="15"/>
      <c r="H376" s="275"/>
      <c r="I376" s="275">
        <v>-120</v>
      </c>
    </row>
    <row r="377" spans="2:9" x14ac:dyDescent="0.2">
      <c r="B377" s="13">
        <v>45375</v>
      </c>
      <c r="C377" s="14" t="s">
        <v>18</v>
      </c>
      <c r="D377" s="14" t="s">
        <v>31</v>
      </c>
      <c r="E377" s="14" t="s">
        <v>56</v>
      </c>
      <c r="F377" s="14" t="s">
        <v>476</v>
      </c>
      <c r="G377" s="15"/>
      <c r="H377" s="275"/>
      <c r="I377" s="275">
        <v>-59</v>
      </c>
    </row>
    <row r="378" spans="2:9" x14ac:dyDescent="0.2">
      <c r="B378" s="13">
        <v>45375</v>
      </c>
      <c r="C378" s="14" t="s">
        <v>18</v>
      </c>
      <c r="D378" s="14" t="s">
        <v>31</v>
      </c>
      <c r="E378" s="14" t="s">
        <v>56</v>
      </c>
      <c r="F378" s="14" t="s">
        <v>167</v>
      </c>
      <c r="G378" s="15"/>
      <c r="H378" s="275"/>
      <c r="I378" s="275">
        <v>-125</v>
      </c>
    </row>
    <row r="379" spans="2:9" x14ac:dyDescent="0.2">
      <c r="B379" s="13">
        <v>45375</v>
      </c>
      <c r="C379" s="14" t="s">
        <v>25</v>
      </c>
      <c r="D379" s="14" t="s">
        <v>31</v>
      </c>
      <c r="E379" s="14" t="s">
        <v>56</v>
      </c>
      <c r="F379" s="14" t="s">
        <v>99</v>
      </c>
      <c r="G379" s="15"/>
      <c r="H379" s="275"/>
      <c r="I379" s="275">
        <v>-333</v>
      </c>
    </row>
    <row r="380" spans="2:9" x14ac:dyDescent="0.2">
      <c r="B380" s="13">
        <v>45376</v>
      </c>
      <c r="C380" s="14" t="s">
        <v>23</v>
      </c>
      <c r="D380" s="14" t="s">
        <v>14</v>
      </c>
      <c r="E380" s="14" t="s">
        <v>18</v>
      </c>
      <c r="F380" s="14" t="s">
        <v>10</v>
      </c>
      <c r="G380" s="15">
        <v>4000</v>
      </c>
      <c r="H380" s="275"/>
      <c r="I380" s="275"/>
    </row>
    <row r="381" spans="2:9" x14ac:dyDescent="0.2">
      <c r="B381" s="13">
        <v>45376</v>
      </c>
      <c r="C381" s="14" t="s">
        <v>18</v>
      </c>
      <c r="D381" s="14" t="s">
        <v>14</v>
      </c>
      <c r="E381" s="14" t="s">
        <v>23</v>
      </c>
      <c r="F381" s="14" t="s">
        <v>10</v>
      </c>
      <c r="G381" s="15">
        <v>-4000</v>
      </c>
      <c r="H381" s="275"/>
      <c r="I381" s="275"/>
    </row>
    <row r="382" spans="2:9" x14ac:dyDescent="0.2">
      <c r="B382" s="13">
        <v>45376</v>
      </c>
      <c r="C382" s="14" t="s">
        <v>25</v>
      </c>
      <c r="D382" s="14" t="s">
        <v>126</v>
      </c>
      <c r="E382" s="14" t="s">
        <v>614</v>
      </c>
      <c r="F382" s="14" t="s">
        <v>479</v>
      </c>
      <c r="G382" s="15"/>
      <c r="H382" s="275"/>
      <c r="I382" s="275">
        <v>-32</v>
      </c>
    </row>
    <row r="383" spans="2:9" x14ac:dyDescent="0.2">
      <c r="B383" s="13">
        <v>45376</v>
      </c>
      <c r="C383" s="14" t="s">
        <v>16</v>
      </c>
      <c r="D383" s="14" t="s">
        <v>38</v>
      </c>
      <c r="E383" s="14" t="s">
        <v>113</v>
      </c>
      <c r="F383" s="14" t="s">
        <v>176</v>
      </c>
      <c r="G383" s="15"/>
      <c r="H383" s="275"/>
      <c r="I383" s="275">
        <v>-655</v>
      </c>
    </row>
    <row r="384" spans="2:9" x14ac:dyDescent="0.2">
      <c r="B384" s="13">
        <v>45376</v>
      </c>
      <c r="C384" s="14" t="s">
        <v>18</v>
      </c>
      <c r="D384" s="14" t="s">
        <v>31</v>
      </c>
      <c r="E384" s="14" t="s">
        <v>32</v>
      </c>
      <c r="F384" s="14" t="s">
        <v>478</v>
      </c>
      <c r="G384" s="15"/>
      <c r="H384" s="275"/>
      <c r="I384" s="275">
        <v>-2500</v>
      </c>
    </row>
    <row r="385" spans="2:9" x14ac:dyDescent="0.2">
      <c r="B385" s="13">
        <v>45377</v>
      </c>
      <c r="C385" s="14" t="s">
        <v>25</v>
      </c>
      <c r="D385" s="14" t="s">
        <v>126</v>
      </c>
      <c r="E385" s="14" t="s">
        <v>612</v>
      </c>
      <c r="F385" s="14" t="s">
        <v>483</v>
      </c>
      <c r="G385" s="15"/>
      <c r="H385" s="275"/>
      <c r="I385" s="275">
        <v>-778</v>
      </c>
    </row>
    <row r="386" spans="2:9" x14ac:dyDescent="0.2">
      <c r="B386" s="13">
        <v>45377</v>
      </c>
      <c r="C386" s="14" t="s">
        <v>18</v>
      </c>
      <c r="D386" s="14" t="s">
        <v>38</v>
      </c>
      <c r="E386" s="14" t="s">
        <v>206</v>
      </c>
      <c r="F386" s="14" t="s">
        <v>480</v>
      </c>
      <c r="G386" s="15"/>
      <c r="H386" s="275"/>
      <c r="I386" s="275">
        <v>-230</v>
      </c>
    </row>
    <row r="387" spans="2:9" x14ac:dyDescent="0.2">
      <c r="B387" s="13">
        <v>45377</v>
      </c>
      <c r="C387" s="14" t="s">
        <v>16</v>
      </c>
      <c r="D387" s="14" t="s">
        <v>41</v>
      </c>
      <c r="E387" s="14" t="s">
        <v>47</v>
      </c>
      <c r="F387" s="14" t="s">
        <v>482</v>
      </c>
      <c r="G387" s="15"/>
      <c r="H387" s="275">
        <v>7000</v>
      </c>
      <c r="I387" s="275"/>
    </row>
    <row r="388" spans="2:9" x14ac:dyDescent="0.2">
      <c r="B388" s="13">
        <v>45377</v>
      </c>
      <c r="C388" s="14" t="s">
        <v>25</v>
      </c>
      <c r="D388" s="14" t="s">
        <v>31</v>
      </c>
      <c r="E388" s="14" t="s">
        <v>49</v>
      </c>
      <c r="F388" s="14" t="s">
        <v>481</v>
      </c>
      <c r="G388" s="15"/>
      <c r="H388" s="275"/>
      <c r="I388" s="275">
        <v>-4</v>
      </c>
    </row>
    <row r="389" spans="2:9" x14ac:dyDescent="0.2">
      <c r="B389" s="13">
        <v>45378</v>
      </c>
      <c r="C389" s="14" t="s">
        <v>16</v>
      </c>
      <c r="D389" s="14" t="s">
        <v>38</v>
      </c>
      <c r="E389" s="14" t="s">
        <v>87</v>
      </c>
      <c r="F389" s="14" t="s">
        <v>176</v>
      </c>
      <c r="G389" s="15"/>
      <c r="H389" s="275"/>
      <c r="I389" s="275">
        <v>-719</v>
      </c>
    </row>
    <row r="390" spans="2:9" x14ac:dyDescent="0.2">
      <c r="B390" s="13">
        <v>45378</v>
      </c>
      <c r="C390" s="14" t="s">
        <v>16</v>
      </c>
      <c r="D390" s="14" t="s">
        <v>26</v>
      </c>
      <c r="E390" s="14" t="s">
        <v>27</v>
      </c>
      <c r="F390" s="14" t="s">
        <v>484</v>
      </c>
      <c r="G390" s="15"/>
      <c r="H390" s="275"/>
      <c r="I390" s="275">
        <v>-1800</v>
      </c>
    </row>
    <row r="391" spans="2:9" x14ac:dyDescent="0.2">
      <c r="B391" s="13">
        <v>45378</v>
      </c>
      <c r="C391" s="14" t="s">
        <v>25</v>
      </c>
      <c r="D391" s="14" t="s">
        <v>31</v>
      </c>
      <c r="E391" s="14" t="s">
        <v>49</v>
      </c>
      <c r="F391" s="14" t="s">
        <v>485</v>
      </c>
      <c r="G391" s="15"/>
      <c r="H391" s="275"/>
      <c r="I391" s="275">
        <v>-50</v>
      </c>
    </row>
    <row r="392" spans="2:9" x14ac:dyDescent="0.2">
      <c r="B392" s="13">
        <v>45379</v>
      </c>
      <c r="C392" s="14" t="s">
        <v>18</v>
      </c>
      <c r="D392" s="14" t="s">
        <v>126</v>
      </c>
      <c r="E392" s="14" t="s">
        <v>612</v>
      </c>
      <c r="F392" s="14" t="s">
        <v>486</v>
      </c>
      <c r="G392" s="15"/>
      <c r="H392" s="275"/>
      <c r="I392" s="275">
        <v>-165</v>
      </c>
    </row>
    <row r="393" spans="2:9" x14ac:dyDescent="0.2">
      <c r="B393" s="13">
        <v>45380</v>
      </c>
      <c r="C393" s="14" t="s">
        <v>24</v>
      </c>
      <c r="D393" s="14" t="s">
        <v>14</v>
      </c>
      <c r="E393" s="14" t="s">
        <v>18</v>
      </c>
      <c r="F393" s="14" t="s">
        <v>10</v>
      </c>
      <c r="G393" s="15">
        <v>-5000</v>
      </c>
      <c r="H393" s="275"/>
      <c r="I393" s="275"/>
    </row>
    <row r="394" spans="2:9" x14ac:dyDescent="0.2">
      <c r="B394" s="13">
        <v>45380</v>
      </c>
      <c r="C394" s="14" t="s">
        <v>18</v>
      </c>
      <c r="D394" s="14" t="s">
        <v>14</v>
      </c>
      <c r="E394" s="14" t="s">
        <v>24</v>
      </c>
      <c r="F394" s="14" t="s">
        <v>10</v>
      </c>
      <c r="G394" s="15">
        <v>5000</v>
      </c>
      <c r="H394" s="275"/>
      <c r="I394" s="275"/>
    </row>
    <row r="395" spans="2:9" x14ac:dyDescent="0.2">
      <c r="B395" s="13">
        <v>45380</v>
      </c>
      <c r="C395" s="14" t="s">
        <v>25</v>
      </c>
      <c r="D395" s="14" t="s">
        <v>31</v>
      </c>
      <c r="E395" s="14" t="s">
        <v>49</v>
      </c>
      <c r="F395" s="14" t="s">
        <v>473</v>
      </c>
      <c r="G395" s="15"/>
      <c r="H395" s="275"/>
      <c r="I395" s="275">
        <v>-43</v>
      </c>
    </row>
    <row r="396" spans="2:9" x14ac:dyDescent="0.2">
      <c r="B396" s="13">
        <v>45382</v>
      </c>
      <c r="C396" s="14" t="s">
        <v>18</v>
      </c>
      <c r="D396" s="14" t="s">
        <v>31</v>
      </c>
      <c r="E396" s="14" t="s">
        <v>56</v>
      </c>
      <c r="F396" s="14" t="s">
        <v>521</v>
      </c>
      <c r="G396" s="15"/>
      <c r="H396" s="275"/>
      <c r="I396" s="275">
        <v>-50</v>
      </c>
    </row>
    <row r="397" spans="2:9" x14ac:dyDescent="0.2">
      <c r="B397" s="13">
        <v>45382</v>
      </c>
      <c r="C397" s="14" t="s">
        <v>18</v>
      </c>
      <c r="D397" s="14" t="s">
        <v>31</v>
      </c>
      <c r="E397" s="14" t="s">
        <v>56</v>
      </c>
      <c r="F397" s="14" t="s">
        <v>167</v>
      </c>
      <c r="G397" s="15"/>
      <c r="H397" s="275"/>
      <c r="I397" s="275">
        <v>-75</v>
      </c>
    </row>
    <row r="398" spans="2:9" x14ac:dyDescent="0.2">
      <c r="B398" s="13">
        <v>45383</v>
      </c>
      <c r="C398" s="14" t="s">
        <v>17</v>
      </c>
      <c r="D398" s="14" t="s">
        <v>33</v>
      </c>
      <c r="E398" s="14" t="s">
        <v>36</v>
      </c>
      <c r="F398" s="14" t="s">
        <v>488</v>
      </c>
      <c r="G398" s="15"/>
      <c r="H398" s="275"/>
      <c r="I398" s="275">
        <v>-75000</v>
      </c>
    </row>
    <row r="399" spans="2:9" x14ac:dyDescent="0.2">
      <c r="B399" s="13">
        <v>45383</v>
      </c>
      <c r="C399" s="14" t="s">
        <v>23</v>
      </c>
      <c r="D399" s="14" t="s">
        <v>14</v>
      </c>
      <c r="E399" s="14" t="s">
        <v>17</v>
      </c>
      <c r="F399" s="14" t="s">
        <v>10</v>
      </c>
      <c r="G399" s="15">
        <v>1000</v>
      </c>
      <c r="H399" s="275"/>
      <c r="I399" s="275"/>
    </row>
    <row r="400" spans="2:9" x14ac:dyDescent="0.2">
      <c r="B400" s="13">
        <v>45383</v>
      </c>
      <c r="C400" s="14" t="s">
        <v>18</v>
      </c>
      <c r="D400" s="14" t="s">
        <v>14</v>
      </c>
      <c r="E400" s="14" t="s">
        <v>17</v>
      </c>
      <c r="F400" s="14" t="s">
        <v>10</v>
      </c>
      <c r="G400" s="15">
        <v>16155</v>
      </c>
      <c r="H400" s="275"/>
      <c r="I400" s="275"/>
    </row>
    <row r="401" spans="2:9" x14ac:dyDescent="0.2">
      <c r="B401" s="13">
        <v>45383</v>
      </c>
      <c r="C401" s="14" t="s">
        <v>17</v>
      </c>
      <c r="D401" s="14" t="s">
        <v>14</v>
      </c>
      <c r="E401" s="14" t="s">
        <v>18</v>
      </c>
      <c r="F401" s="14" t="s">
        <v>10</v>
      </c>
      <c r="G401" s="15">
        <v>-16155</v>
      </c>
      <c r="H401" s="275"/>
      <c r="I401" s="275"/>
    </row>
    <row r="402" spans="2:9" x14ac:dyDescent="0.2">
      <c r="B402" s="13">
        <v>45383</v>
      </c>
      <c r="C402" s="14" t="s">
        <v>25</v>
      </c>
      <c r="D402" s="14" t="s">
        <v>14</v>
      </c>
      <c r="E402" s="14" t="s">
        <v>18</v>
      </c>
      <c r="F402" s="14" t="s">
        <v>10</v>
      </c>
      <c r="G402" s="15">
        <f>2025+198</f>
        <v>2223</v>
      </c>
      <c r="H402" s="275"/>
      <c r="I402" s="275"/>
    </row>
    <row r="403" spans="2:9" x14ac:dyDescent="0.2">
      <c r="B403" s="13">
        <v>45383</v>
      </c>
      <c r="C403" s="14" t="s">
        <v>17</v>
      </c>
      <c r="D403" s="14" t="s">
        <v>14</v>
      </c>
      <c r="E403" s="14" t="s">
        <v>23</v>
      </c>
      <c r="F403" s="14" t="s">
        <v>10</v>
      </c>
      <c r="G403" s="15">
        <v>-1000</v>
      </c>
      <c r="H403" s="275"/>
      <c r="I403" s="275"/>
    </row>
    <row r="404" spans="2:9" x14ac:dyDescent="0.2">
      <c r="B404" s="13">
        <v>45383</v>
      </c>
      <c r="C404" s="14" t="s">
        <v>18</v>
      </c>
      <c r="D404" s="14" t="s">
        <v>14</v>
      </c>
      <c r="E404" s="14" t="s">
        <v>25</v>
      </c>
      <c r="F404" s="14" t="s">
        <v>10</v>
      </c>
      <c r="G404" s="15">
        <f>-2025-198</f>
        <v>-2223</v>
      </c>
      <c r="H404" s="275"/>
      <c r="I404" s="275"/>
    </row>
    <row r="405" spans="2:9" x14ac:dyDescent="0.2">
      <c r="B405" s="13">
        <v>45383</v>
      </c>
      <c r="C405" s="14" t="s">
        <v>17</v>
      </c>
      <c r="D405" s="14" t="s">
        <v>38</v>
      </c>
      <c r="E405" s="14" t="s">
        <v>39</v>
      </c>
      <c r="F405" s="14" t="s">
        <v>488</v>
      </c>
      <c r="G405" s="15"/>
      <c r="H405" s="275"/>
      <c r="I405" s="275">
        <v>-258</v>
      </c>
    </row>
    <row r="406" spans="2:9" x14ac:dyDescent="0.2">
      <c r="B406" s="13">
        <v>45383</v>
      </c>
      <c r="C406" s="14" t="s">
        <v>24</v>
      </c>
      <c r="D406" s="14" t="s">
        <v>41</v>
      </c>
      <c r="E406" s="14" t="s">
        <v>42</v>
      </c>
      <c r="F406" s="14" t="s">
        <v>488</v>
      </c>
      <c r="G406" s="15"/>
      <c r="H406" s="275">
        <v>22383.67</v>
      </c>
      <c r="I406" s="275"/>
    </row>
    <row r="407" spans="2:9" x14ac:dyDescent="0.2">
      <c r="B407" s="13">
        <v>45383</v>
      </c>
      <c r="C407" s="14" t="s">
        <v>17</v>
      </c>
      <c r="D407" s="14" t="s">
        <v>31</v>
      </c>
      <c r="E407" s="14" t="s">
        <v>32</v>
      </c>
      <c r="F407" s="14" t="s">
        <v>520</v>
      </c>
      <c r="G407" s="15"/>
      <c r="H407" s="275"/>
      <c r="I407" s="275">
        <v>-2500</v>
      </c>
    </row>
    <row r="408" spans="2:9" x14ac:dyDescent="0.2">
      <c r="B408" s="13">
        <v>45383</v>
      </c>
      <c r="C408" s="14" t="s">
        <v>25</v>
      </c>
      <c r="D408" s="14" t="s">
        <v>31</v>
      </c>
      <c r="E408" s="14" t="s">
        <v>49</v>
      </c>
      <c r="F408" s="14" t="s">
        <v>487</v>
      </c>
      <c r="G408" s="15"/>
      <c r="H408" s="275"/>
      <c r="I408" s="275">
        <v>-4</v>
      </c>
    </row>
    <row r="409" spans="2:9" x14ac:dyDescent="0.2">
      <c r="B409" s="13">
        <v>45383</v>
      </c>
      <c r="C409" s="14" t="s">
        <v>17</v>
      </c>
      <c r="D409" s="14" t="s">
        <v>31</v>
      </c>
      <c r="E409" s="14" t="s">
        <v>49</v>
      </c>
      <c r="F409" s="14" t="s">
        <v>468</v>
      </c>
      <c r="G409" s="15"/>
      <c r="H409" s="275"/>
      <c r="I409" s="275">
        <v>-290</v>
      </c>
    </row>
    <row r="410" spans="2:9" x14ac:dyDescent="0.2">
      <c r="B410" s="13">
        <v>45383</v>
      </c>
      <c r="C410" s="14" t="s">
        <v>25</v>
      </c>
      <c r="D410" s="14" t="s">
        <v>31</v>
      </c>
      <c r="E410" s="14" t="s">
        <v>49</v>
      </c>
      <c r="F410" s="14" t="s">
        <v>99</v>
      </c>
      <c r="G410" s="15"/>
      <c r="H410" s="275"/>
      <c r="I410" s="275">
        <v>-1104</v>
      </c>
    </row>
    <row r="411" spans="2:9" x14ac:dyDescent="0.2">
      <c r="B411" s="13">
        <v>45383</v>
      </c>
      <c r="C411" s="14" t="s">
        <v>16</v>
      </c>
      <c r="D411" s="14" t="s">
        <v>43</v>
      </c>
      <c r="E411" s="14" t="s">
        <v>118</v>
      </c>
      <c r="F411" s="14" t="s">
        <v>488</v>
      </c>
      <c r="G411" s="15"/>
      <c r="H411" s="275"/>
      <c r="I411" s="275">
        <v>-219</v>
      </c>
    </row>
    <row r="412" spans="2:9" x14ac:dyDescent="0.2">
      <c r="B412" s="13">
        <v>45383</v>
      </c>
      <c r="C412" s="14" t="s">
        <v>17</v>
      </c>
      <c r="D412" s="14" t="s">
        <v>43</v>
      </c>
      <c r="E412" s="14" t="s">
        <v>44</v>
      </c>
      <c r="F412" s="14" t="s">
        <v>488</v>
      </c>
      <c r="G412" s="15"/>
      <c r="H412" s="275"/>
      <c r="I412" s="275">
        <v>-87</v>
      </c>
    </row>
    <row r="413" spans="2:9" x14ac:dyDescent="0.2">
      <c r="B413" s="13">
        <v>45383</v>
      </c>
      <c r="C413" s="14" t="s">
        <v>16</v>
      </c>
      <c r="D413" s="14" t="s">
        <v>43</v>
      </c>
      <c r="E413" s="14" t="s">
        <v>771</v>
      </c>
      <c r="F413" s="14" t="s">
        <v>488</v>
      </c>
      <c r="G413" s="15"/>
      <c r="H413" s="275"/>
      <c r="I413" s="275">
        <v>-389</v>
      </c>
    </row>
    <row r="414" spans="2:9" x14ac:dyDescent="0.2">
      <c r="B414" s="13">
        <v>45384</v>
      </c>
      <c r="C414" s="14" t="s">
        <v>16</v>
      </c>
      <c r="D414" s="14" t="s">
        <v>26</v>
      </c>
      <c r="E414" s="14" t="s">
        <v>27</v>
      </c>
      <c r="F414" s="14" t="s">
        <v>527</v>
      </c>
      <c r="G414" s="15"/>
      <c r="H414" s="275"/>
      <c r="I414" s="275">
        <v>-1200</v>
      </c>
    </row>
    <row r="415" spans="2:9" x14ac:dyDescent="0.2">
      <c r="B415" s="13">
        <v>45384</v>
      </c>
      <c r="C415" s="14" t="s">
        <v>25</v>
      </c>
      <c r="D415" s="14" t="s">
        <v>26</v>
      </c>
      <c r="E415" s="14" t="s">
        <v>27</v>
      </c>
      <c r="F415" s="14" t="s">
        <v>530</v>
      </c>
      <c r="G415" s="15"/>
      <c r="H415" s="275"/>
      <c r="I415" s="275">
        <v>-198</v>
      </c>
    </row>
    <row r="416" spans="2:9" x14ac:dyDescent="0.2">
      <c r="B416" s="13">
        <v>45384</v>
      </c>
      <c r="C416" s="14" t="s">
        <v>16</v>
      </c>
      <c r="D416" s="14" t="s">
        <v>26</v>
      </c>
      <c r="E416" s="14" t="s">
        <v>29</v>
      </c>
      <c r="F416" s="14" t="s">
        <v>529</v>
      </c>
      <c r="G416" s="15"/>
      <c r="H416" s="275"/>
      <c r="I416" s="275">
        <v>-4800</v>
      </c>
    </row>
    <row r="417" spans="2:9" x14ac:dyDescent="0.2">
      <c r="B417" s="13">
        <v>45385</v>
      </c>
      <c r="C417" s="14" t="s">
        <v>18</v>
      </c>
      <c r="D417" s="14" t="s">
        <v>38</v>
      </c>
      <c r="E417" s="14" t="s">
        <v>102</v>
      </c>
      <c r="F417" s="14" t="s">
        <v>532</v>
      </c>
      <c r="G417" s="15"/>
      <c r="H417" s="275"/>
      <c r="I417" s="275">
        <v>-2500</v>
      </c>
    </row>
    <row r="418" spans="2:9" x14ac:dyDescent="0.2">
      <c r="B418" s="13">
        <v>45385</v>
      </c>
      <c r="C418" s="14" t="s">
        <v>18</v>
      </c>
      <c r="D418" s="14" t="s">
        <v>41</v>
      </c>
      <c r="E418" s="14" t="s">
        <v>45</v>
      </c>
      <c r="F418" s="14" t="s">
        <v>176</v>
      </c>
      <c r="G418" s="15"/>
      <c r="H418" s="275">
        <v>9000</v>
      </c>
      <c r="I418" s="275"/>
    </row>
    <row r="419" spans="2:9" x14ac:dyDescent="0.2">
      <c r="B419" s="13">
        <v>45385</v>
      </c>
      <c r="C419" s="14" t="s">
        <v>16</v>
      </c>
      <c r="D419" s="14" t="s">
        <v>41</v>
      </c>
      <c r="E419" s="14" t="s">
        <v>47</v>
      </c>
      <c r="F419" s="14" t="s">
        <v>531</v>
      </c>
      <c r="G419" s="15"/>
      <c r="H419" s="275">
        <v>7000</v>
      </c>
      <c r="I419" s="275"/>
    </row>
    <row r="420" spans="2:9" x14ac:dyDescent="0.2">
      <c r="B420" s="13">
        <v>45386</v>
      </c>
      <c r="C420" s="14" t="s">
        <v>24</v>
      </c>
      <c r="D420" s="14" t="s">
        <v>41</v>
      </c>
      <c r="E420" s="14" t="s">
        <v>46</v>
      </c>
      <c r="F420" s="14" t="s">
        <v>488</v>
      </c>
      <c r="G420" s="15"/>
      <c r="H420" s="275">
        <v>2383.33</v>
      </c>
      <c r="I420" s="275"/>
    </row>
    <row r="421" spans="2:9" x14ac:dyDescent="0.2">
      <c r="B421" s="13">
        <v>45387</v>
      </c>
      <c r="C421" s="14" t="s">
        <v>24</v>
      </c>
      <c r="D421" s="14" t="s">
        <v>14</v>
      </c>
      <c r="E421" s="14" t="s">
        <v>18</v>
      </c>
      <c r="F421" s="14" t="s">
        <v>10</v>
      </c>
      <c r="G421" s="15">
        <v>-9000</v>
      </c>
      <c r="H421" s="275"/>
      <c r="I421" s="275"/>
    </row>
    <row r="422" spans="2:9" x14ac:dyDescent="0.2">
      <c r="B422" s="13">
        <v>45387</v>
      </c>
      <c r="C422" s="14" t="s">
        <v>18</v>
      </c>
      <c r="D422" s="14" t="s">
        <v>14</v>
      </c>
      <c r="E422" s="14" t="s">
        <v>24</v>
      </c>
      <c r="F422" s="14" t="s">
        <v>10</v>
      </c>
      <c r="G422" s="15">
        <v>9000</v>
      </c>
      <c r="H422" s="275"/>
      <c r="I422" s="275"/>
    </row>
    <row r="423" spans="2:9" x14ac:dyDescent="0.2">
      <c r="B423" s="13">
        <v>45387</v>
      </c>
      <c r="C423" s="14" t="s">
        <v>25</v>
      </c>
      <c r="D423" s="14" t="s">
        <v>126</v>
      </c>
      <c r="E423" s="14" t="s">
        <v>612</v>
      </c>
      <c r="F423" s="14" t="s">
        <v>536</v>
      </c>
      <c r="G423" s="15"/>
      <c r="H423" s="275"/>
      <c r="I423" s="275">
        <v>-53</v>
      </c>
    </row>
    <row r="424" spans="2:9" x14ac:dyDescent="0.2">
      <c r="B424" s="13">
        <v>45387</v>
      </c>
      <c r="C424" s="14" t="s">
        <v>16</v>
      </c>
      <c r="D424" s="14" t="s">
        <v>38</v>
      </c>
      <c r="E424" s="14" t="s">
        <v>96</v>
      </c>
      <c r="F424" s="14" t="s">
        <v>533</v>
      </c>
      <c r="G424" s="15"/>
      <c r="H424" s="275"/>
      <c r="I424" s="275">
        <v>-1800</v>
      </c>
    </row>
    <row r="425" spans="2:9" x14ac:dyDescent="0.2">
      <c r="B425" s="13">
        <v>45387</v>
      </c>
      <c r="C425" s="14" t="s">
        <v>25</v>
      </c>
      <c r="D425" s="14" t="s">
        <v>31</v>
      </c>
      <c r="E425" s="14" t="s">
        <v>49</v>
      </c>
      <c r="F425" s="14" t="s">
        <v>100</v>
      </c>
      <c r="G425" s="15"/>
      <c r="H425" s="275"/>
      <c r="I425" s="275">
        <v>-30</v>
      </c>
    </row>
    <row r="426" spans="2:9" x14ac:dyDescent="0.2">
      <c r="B426" s="13">
        <v>45388</v>
      </c>
      <c r="C426" s="14" t="s">
        <v>25</v>
      </c>
      <c r="D426" s="14" t="s">
        <v>31</v>
      </c>
      <c r="E426" s="14" t="s">
        <v>56</v>
      </c>
      <c r="F426" s="14" t="s">
        <v>537</v>
      </c>
      <c r="G426" s="15"/>
      <c r="H426" s="275"/>
      <c r="I426" s="275">
        <v>-43</v>
      </c>
    </row>
    <row r="427" spans="2:9" x14ac:dyDescent="0.2">
      <c r="B427" s="13">
        <v>45388</v>
      </c>
      <c r="C427" s="14" t="s">
        <v>25</v>
      </c>
      <c r="D427" s="14" t="s">
        <v>31</v>
      </c>
      <c r="E427" s="14" t="s">
        <v>56</v>
      </c>
      <c r="F427" s="14" t="s">
        <v>538</v>
      </c>
      <c r="G427" s="15"/>
      <c r="H427" s="275"/>
      <c r="I427" s="275">
        <v>-450</v>
      </c>
    </row>
    <row r="428" spans="2:9" x14ac:dyDescent="0.2">
      <c r="B428" s="13">
        <v>45388</v>
      </c>
      <c r="C428" s="14" t="s">
        <v>25</v>
      </c>
      <c r="D428" s="14" t="s">
        <v>31</v>
      </c>
      <c r="E428" s="14" t="s">
        <v>56</v>
      </c>
      <c r="F428" s="14" t="s">
        <v>165</v>
      </c>
      <c r="G428" s="15"/>
      <c r="H428" s="275"/>
      <c r="I428" s="275">
        <v>-128</v>
      </c>
    </row>
    <row r="429" spans="2:9" x14ac:dyDescent="0.2">
      <c r="B429" s="13">
        <v>45388</v>
      </c>
      <c r="C429" s="14" t="s">
        <v>25</v>
      </c>
      <c r="D429" s="14" t="s">
        <v>31</v>
      </c>
      <c r="E429" s="14" t="s">
        <v>56</v>
      </c>
      <c r="F429" s="14" t="s">
        <v>168</v>
      </c>
      <c r="G429" s="15"/>
      <c r="H429" s="275"/>
      <c r="I429" s="275">
        <v>-25</v>
      </c>
    </row>
    <row r="430" spans="2:9" x14ac:dyDescent="0.2">
      <c r="B430" s="13">
        <v>45388</v>
      </c>
      <c r="C430" s="14" t="s">
        <v>25</v>
      </c>
      <c r="D430" s="14" t="s">
        <v>31</v>
      </c>
      <c r="E430" s="14" t="s">
        <v>56</v>
      </c>
      <c r="F430" s="14" t="s">
        <v>475</v>
      </c>
      <c r="G430" s="15"/>
      <c r="H430" s="275"/>
      <c r="I430" s="275">
        <v>-120</v>
      </c>
    </row>
    <row r="431" spans="2:9" x14ac:dyDescent="0.2">
      <c r="B431" s="13">
        <v>45388</v>
      </c>
      <c r="C431" s="14" t="s">
        <v>25</v>
      </c>
      <c r="D431" s="14" t="s">
        <v>31</v>
      </c>
      <c r="E431" s="14" t="s">
        <v>56</v>
      </c>
      <c r="F431" s="14" t="s">
        <v>63</v>
      </c>
      <c r="G431" s="15"/>
      <c r="H431" s="275"/>
      <c r="I431" s="275">
        <v>-44</v>
      </c>
    </row>
    <row r="432" spans="2:9" x14ac:dyDescent="0.2">
      <c r="B432" s="13">
        <v>45388</v>
      </c>
      <c r="C432" s="14" t="s">
        <v>25</v>
      </c>
      <c r="D432" s="14" t="s">
        <v>31</v>
      </c>
      <c r="E432" s="14" t="s">
        <v>56</v>
      </c>
      <c r="F432" s="14" t="s">
        <v>62</v>
      </c>
      <c r="G432" s="15"/>
      <c r="H432" s="275"/>
      <c r="I432" s="275">
        <v>-6</v>
      </c>
    </row>
    <row r="433" spans="2:9" x14ac:dyDescent="0.2">
      <c r="B433" s="13">
        <v>45388</v>
      </c>
      <c r="C433" s="14" t="s">
        <v>25</v>
      </c>
      <c r="D433" s="14" t="s">
        <v>31</v>
      </c>
      <c r="E433" s="14" t="s">
        <v>56</v>
      </c>
      <c r="F433" s="14" t="s">
        <v>539</v>
      </c>
      <c r="G433" s="15"/>
      <c r="H433" s="275"/>
      <c r="I433" s="275">
        <v>-49</v>
      </c>
    </row>
    <row r="434" spans="2:9" x14ac:dyDescent="0.2">
      <c r="B434" s="13">
        <v>45389</v>
      </c>
      <c r="C434" s="14" t="s">
        <v>16</v>
      </c>
      <c r="D434" s="14" t="s">
        <v>14</v>
      </c>
      <c r="E434" s="14" t="s">
        <v>16</v>
      </c>
      <c r="F434" s="14" t="s">
        <v>541</v>
      </c>
      <c r="G434" s="15"/>
      <c r="H434" s="275">
        <v>1.06</v>
      </c>
      <c r="I434" s="275"/>
    </row>
    <row r="435" spans="2:9" x14ac:dyDescent="0.2">
      <c r="B435" s="13">
        <v>45390</v>
      </c>
      <c r="C435" s="14" t="s">
        <v>18</v>
      </c>
      <c r="D435" s="14" t="s">
        <v>33</v>
      </c>
      <c r="E435" s="14" t="s">
        <v>34</v>
      </c>
      <c r="F435" s="14" t="s">
        <v>542</v>
      </c>
      <c r="G435" s="15"/>
      <c r="H435" s="275"/>
      <c r="I435" s="275">
        <v>-300</v>
      </c>
    </row>
    <row r="436" spans="2:9" x14ac:dyDescent="0.2">
      <c r="B436" s="13">
        <v>45390</v>
      </c>
      <c r="C436" s="14" t="s">
        <v>25</v>
      </c>
      <c r="D436" s="14" t="s">
        <v>14</v>
      </c>
      <c r="E436" s="14" t="s">
        <v>18</v>
      </c>
      <c r="F436" s="14" t="s">
        <v>10</v>
      </c>
      <c r="G436" s="15">
        <v>2489</v>
      </c>
      <c r="H436" s="275"/>
      <c r="I436" s="275"/>
    </row>
    <row r="437" spans="2:9" x14ac:dyDescent="0.2">
      <c r="B437" s="13">
        <v>45390</v>
      </c>
      <c r="C437" s="14" t="s">
        <v>18</v>
      </c>
      <c r="D437" s="14" t="s">
        <v>14</v>
      </c>
      <c r="E437" s="14" t="s">
        <v>25</v>
      </c>
      <c r="F437" s="14" t="s">
        <v>10</v>
      </c>
      <c r="G437" s="15">
        <v>-2489</v>
      </c>
      <c r="H437" s="275"/>
      <c r="I437" s="275"/>
    </row>
    <row r="438" spans="2:9" x14ac:dyDescent="0.2">
      <c r="B438" s="13">
        <v>45390</v>
      </c>
      <c r="C438" s="14" t="s">
        <v>18</v>
      </c>
      <c r="D438" s="14" t="s">
        <v>148</v>
      </c>
      <c r="E438" s="14" t="s">
        <v>149</v>
      </c>
      <c r="F438" s="14" t="s">
        <v>543</v>
      </c>
      <c r="G438" s="15"/>
      <c r="H438" s="275"/>
      <c r="I438" s="275">
        <v>-500</v>
      </c>
    </row>
    <row r="439" spans="2:9" x14ac:dyDescent="0.2">
      <c r="B439" s="13">
        <v>45390</v>
      </c>
      <c r="C439" s="14" t="s">
        <v>18</v>
      </c>
      <c r="D439" s="14" t="s">
        <v>26</v>
      </c>
      <c r="E439" s="14" t="s">
        <v>29</v>
      </c>
      <c r="F439" s="14" t="s">
        <v>534</v>
      </c>
      <c r="G439" s="15"/>
      <c r="H439" s="275"/>
      <c r="I439" s="275">
        <v>-4000</v>
      </c>
    </row>
    <row r="440" spans="2:9" x14ac:dyDescent="0.2">
      <c r="B440" s="13">
        <v>45390</v>
      </c>
      <c r="C440" s="14" t="s">
        <v>16</v>
      </c>
      <c r="D440" s="14" t="s">
        <v>26</v>
      </c>
      <c r="E440" s="14" t="s">
        <v>29</v>
      </c>
      <c r="F440" s="14" t="s">
        <v>540</v>
      </c>
      <c r="G440" s="15"/>
      <c r="H440" s="275">
        <v>4000</v>
      </c>
      <c r="I440" s="275"/>
    </row>
    <row r="441" spans="2:9" x14ac:dyDescent="0.2">
      <c r="B441" s="13">
        <v>45390</v>
      </c>
      <c r="C441" s="14" t="s">
        <v>18</v>
      </c>
      <c r="D441" s="14" t="s">
        <v>31</v>
      </c>
      <c r="E441" s="14" t="s">
        <v>32</v>
      </c>
      <c r="F441" s="14" t="s">
        <v>535</v>
      </c>
      <c r="G441" s="15"/>
      <c r="H441" s="275"/>
      <c r="I441" s="275">
        <v>-2500</v>
      </c>
    </row>
    <row r="442" spans="2:9" x14ac:dyDescent="0.2">
      <c r="B442" s="13">
        <v>45390</v>
      </c>
      <c r="C442" s="14" t="s">
        <v>18</v>
      </c>
      <c r="D442" s="14" t="s">
        <v>31</v>
      </c>
      <c r="E442" s="14" t="s">
        <v>49</v>
      </c>
      <c r="F442" s="14" t="s">
        <v>99</v>
      </c>
      <c r="G442" s="15"/>
      <c r="H442" s="275">
        <v>19</v>
      </c>
      <c r="I442" s="275"/>
    </row>
    <row r="443" spans="2:9" x14ac:dyDescent="0.2">
      <c r="B443" s="13">
        <v>45390</v>
      </c>
      <c r="C443" s="14" t="s">
        <v>25</v>
      </c>
      <c r="D443" s="14" t="s">
        <v>31</v>
      </c>
      <c r="E443" s="14" t="s">
        <v>49</v>
      </c>
      <c r="F443" s="14" t="s">
        <v>544</v>
      </c>
      <c r="G443" s="15"/>
      <c r="H443" s="275"/>
      <c r="I443" s="275">
        <v>-5</v>
      </c>
    </row>
    <row r="444" spans="2:9" x14ac:dyDescent="0.2">
      <c r="B444" s="13">
        <v>45391</v>
      </c>
      <c r="C444" s="14" t="s">
        <v>25</v>
      </c>
      <c r="D444" s="14" t="s">
        <v>126</v>
      </c>
      <c r="E444" s="14" t="s">
        <v>612</v>
      </c>
      <c r="F444" s="14" t="s">
        <v>545</v>
      </c>
      <c r="G444" s="15"/>
      <c r="H444" s="275"/>
      <c r="I444" s="275">
        <v>-140</v>
      </c>
    </row>
    <row r="445" spans="2:9" x14ac:dyDescent="0.2">
      <c r="B445" s="13">
        <v>45391</v>
      </c>
      <c r="C445" s="14" t="s">
        <v>25</v>
      </c>
      <c r="D445" s="14" t="s">
        <v>31</v>
      </c>
      <c r="E445" s="14" t="s">
        <v>49</v>
      </c>
      <c r="F445" s="14" t="s">
        <v>546</v>
      </c>
      <c r="G445" s="15"/>
      <c r="H445" s="275"/>
      <c r="I445" s="275">
        <v>-60</v>
      </c>
    </row>
    <row r="446" spans="2:9" x14ac:dyDescent="0.2">
      <c r="B446" s="13">
        <v>45392</v>
      </c>
      <c r="C446" s="14" t="s">
        <v>16</v>
      </c>
      <c r="D446" s="14" t="s">
        <v>41</v>
      </c>
      <c r="E446" s="14" t="s">
        <v>47</v>
      </c>
      <c r="F446" s="14" t="s">
        <v>549</v>
      </c>
      <c r="G446" s="15"/>
      <c r="H446" s="275">
        <v>7000</v>
      </c>
      <c r="I446" s="275"/>
    </row>
    <row r="447" spans="2:9" x14ac:dyDescent="0.2">
      <c r="B447" s="13">
        <v>45392</v>
      </c>
      <c r="C447" s="14" t="s">
        <v>25</v>
      </c>
      <c r="D447" s="14" t="s">
        <v>31</v>
      </c>
      <c r="E447" s="14" t="s">
        <v>49</v>
      </c>
      <c r="F447" s="14" t="s">
        <v>104</v>
      </c>
      <c r="G447" s="15"/>
      <c r="H447" s="275"/>
      <c r="I447" s="275">
        <v>-35</v>
      </c>
    </row>
    <row r="448" spans="2:9" x14ac:dyDescent="0.2">
      <c r="B448" s="13">
        <v>45392</v>
      </c>
      <c r="C448" s="14" t="s">
        <v>18</v>
      </c>
      <c r="D448" s="14" t="s">
        <v>31</v>
      </c>
      <c r="E448" s="14" t="s">
        <v>49</v>
      </c>
      <c r="F448" s="14" t="s">
        <v>547</v>
      </c>
      <c r="G448" s="15"/>
      <c r="H448" s="275"/>
      <c r="I448" s="275">
        <v>-90</v>
      </c>
    </row>
    <row r="449" spans="2:9" x14ac:dyDescent="0.2">
      <c r="B449" s="13">
        <v>45392</v>
      </c>
      <c r="C449" s="14" t="s">
        <v>18</v>
      </c>
      <c r="D449" s="14" t="s">
        <v>31</v>
      </c>
      <c r="E449" s="14" t="s">
        <v>49</v>
      </c>
      <c r="F449" s="14" t="s">
        <v>548</v>
      </c>
      <c r="G449" s="15"/>
      <c r="H449" s="275"/>
      <c r="I449" s="275">
        <v>-15</v>
      </c>
    </row>
    <row r="450" spans="2:9" x14ac:dyDescent="0.2">
      <c r="B450" s="13">
        <v>45392</v>
      </c>
      <c r="C450" s="14" t="s">
        <v>16</v>
      </c>
      <c r="D450" s="14" t="s">
        <v>43</v>
      </c>
      <c r="E450" s="14" t="s">
        <v>70</v>
      </c>
      <c r="F450" s="14" t="s">
        <v>488</v>
      </c>
      <c r="G450" s="15"/>
      <c r="H450" s="275"/>
      <c r="I450" s="275">
        <v>-300</v>
      </c>
    </row>
    <row r="451" spans="2:9" x14ac:dyDescent="0.2">
      <c r="B451" s="13">
        <v>45392</v>
      </c>
      <c r="C451" s="14" t="s">
        <v>18</v>
      </c>
      <c r="D451" s="14" t="s">
        <v>43</v>
      </c>
      <c r="E451" s="14" t="s">
        <v>72</v>
      </c>
      <c r="F451" s="14" t="s">
        <v>488</v>
      </c>
      <c r="G451" s="15"/>
      <c r="H451" s="275"/>
      <c r="I451" s="275">
        <v>-134</v>
      </c>
    </row>
    <row r="452" spans="2:9" x14ac:dyDescent="0.2">
      <c r="B452" s="13">
        <v>45392</v>
      </c>
      <c r="C452" s="14" t="s">
        <v>18</v>
      </c>
      <c r="D452" s="14" t="s">
        <v>43</v>
      </c>
      <c r="E452" s="14" t="s">
        <v>73</v>
      </c>
      <c r="F452" s="14" t="s">
        <v>488</v>
      </c>
      <c r="G452" s="15"/>
      <c r="H452" s="275"/>
      <c r="I452" s="275">
        <v>-1600</v>
      </c>
    </row>
    <row r="453" spans="2:9" x14ac:dyDescent="0.2">
      <c r="B453" s="13">
        <v>45394</v>
      </c>
      <c r="C453" s="14" t="s">
        <v>24</v>
      </c>
      <c r="D453" s="14" t="s">
        <v>14</v>
      </c>
      <c r="E453" s="14" t="s">
        <v>18</v>
      </c>
      <c r="F453" s="14" t="s">
        <v>10</v>
      </c>
      <c r="G453" s="15">
        <v>-5000</v>
      </c>
      <c r="H453" s="275"/>
      <c r="I453" s="275"/>
    </row>
    <row r="454" spans="2:9" x14ac:dyDescent="0.2">
      <c r="B454" s="13">
        <v>45394</v>
      </c>
      <c r="C454" s="14" t="s">
        <v>18</v>
      </c>
      <c r="D454" s="14" t="s">
        <v>14</v>
      </c>
      <c r="E454" s="14" t="s">
        <v>24</v>
      </c>
      <c r="F454" s="14" t="s">
        <v>10</v>
      </c>
      <c r="G454" s="15">
        <v>5000</v>
      </c>
      <c r="H454" s="275"/>
      <c r="I454" s="275"/>
    </row>
    <row r="455" spans="2:9" x14ac:dyDescent="0.2">
      <c r="B455" s="13">
        <v>45395</v>
      </c>
      <c r="C455" s="14" t="s">
        <v>25</v>
      </c>
      <c r="D455" s="14" t="s">
        <v>126</v>
      </c>
      <c r="E455" s="14" t="s">
        <v>196</v>
      </c>
      <c r="F455" s="14" t="s">
        <v>551</v>
      </c>
      <c r="G455" s="15"/>
      <c r="H455" s="275"/>
      <c r="I455" s="275">
        <v>-1990</v>
      </c>
    </row>
    <row r="456" spans="2:9" x14ac:dyDescent="0.2">
      <c r="B456" s="13">
        <v>45395</v>
      </c>
      <c r="C456" s="14" t="s">
        <v>25</v>
      </c>
      <c r="D456" s="14" t="s">
        <v>31</v>
      </c>
      <c r="E456" s="14" t="s">
        <v>56</v>
      </c>
      <c r="F456" s="14" t="s">
        <v>80</v>
      </c>
      <c r="G456" s="15"/>
      <c r="H456" s="275"/>
      <c r="I456" s="275">
        <v>-148</v>
      </c>
    </row>
    <row r="457" spans="2:9" x14ac:dyDescent="0.2">
      <c r="B457" s="13">
        <v>45395</v>
      </c>
      <c r="C457" s="14" t="s">
        <v>25</v>
      </c>
      <c r="D457" s="14" t="s">
        <v>31</v>
      </c>
      <c r="E457" s="14" t="s">
        <v>56</v>
      </c>
      <c r="F457" s="14" t="s">
        <v>63</v>
      </c>
      <c r="G457" s="15"/>
      <c r="H457" s="275"/>
      <c r="I457" s="275">
        <v>-25</v>
      </c>
    </row>
    <row r="458" spans="2:9" x14ac:dyDescent="0.2">
      <c r="B458" s="13">
        <v>45395</v>
      </c>
      <c r="C458" s="14" t="s">
        <v>25</v>
      </c>
      <c r="D458" s="14" t="s">
        <v>31</v>
      </c>
      <c r="E458" s="14" t="s">
        <v>56</v>
      </c>
      <c r="F458" s="14" t="s">
        <v>550</v>
      </c>
      <c r="G458" s="15"/>
      <c r="H458" s="275"/>
      <c r="I458" s="275">
        <v>-38</v>
      </c>
    </row>
    <row r="459" spans="2:9" x14ac:dyDescent="0.2">
      <c r="B459" s="13">
        <v>45395</v>
      </c>
      <c r="C459" s="14" t="s">
        <v>25</v>
      </c>
      <c r="D459" s="14" t="s">
        <v>31</v>
      </c>
      <c r="E459" s="14" t="s">
        <v>56</v>
      </c>
      <c r="F459" s="14" t="s">
        <v>552</v>
      </c>
      <c r="G459" s="15"/>
      <c r="H459" s="275"/>
      <c r="I459" s="275">
        <v>-50</v>
      </c>
    </row>
    <row r="460" spans="2:9" x14ac:dyDescent="0.2">
      <c r="B460" s="13">
        <v>45395</v>
      </c>
      <c r="C460" s="14" t="s">
        <v>25</v>
      </c>
      <c r="D460" s="14" t="s">
        <v>31</v>
      </c>
      <c r="E460" s="14" t="s">
        <v>56</v>
      </c>
      <c r="F460" s="14" t="s">
        <v>553</v>
      </c>
      <c r="G460" s="15"/>
      <c r="H460" s="275"/>
      <c r="I460" s="275">
        <v>-20</v>
      </c>
    </row>
    <row r="461" spans="2:9" x14ac:dyDescent="0.2">
      <c r="B461" s="13">
        <v>45396</v>
      </c>
      <c r="C461" s="14" t="s">
        <v>25</v>
      </c>
      <c r="D461" s="14" t="s">
        <v>14</v>
      </c>
      <c r="E461" s="14" t="s">
        <v>18</v>
      </c>
      <c r="F461" s="14" t="s">
        <v>10</v>
      </c>
      <c r="G461" s="15">
        <v>3351</v>
      </c>
      <c r="H461" s="275"/>
      <c r="I461" s="275"/>
    </row>
    <row r="462" spans="2:9" x14ac:dyDescent="0.2">
      <c r="B462" s="13">
        <v>45396</v>
      </c>
      <c r="C462" s="14" t="s">
        <v>18</v>
      </c>
      <c r="D462" s="14" t="s">
        <v>14</v>
      </c>
      <c r="E462" s="14" t="s">
        <v>25</v>
      </c>
      <c r="F462" s="14" t="s">
        <v>10</v>
      </c>
      <c r="G462" s="15">
        <v>-3351</v>
      </c>
      <c r="H462" s="275"/>
      <c r="I462" s="275"/>
    </row>
    <row r="463" spans="2:9" x14ac:dyDescent="0.2">
      <c r="B463" s="13">
        <v>45396</v>
      </c>
      <c r="C463" s="14" t="s">
        <v>25</v>
      </c>
      <c r="D463" s="14" t="s">
        <v>126</v>
      </c>
      <c r="E463" s="14" t="s">
        <v>612</v>
      </c>
      <c r="F463" s="14" t="s">
        <v>556</v>
      </c>
      <c r="G463" s="15"/>
      <c r="H463" s="275"/>
      <c r="I463" s="275">
        <f>-20-16</f>
        <v>-36</v>
      </c>
    </row>
    <row r="464" spans="2:9" x14ac:dyDescent="0.2">
      <c r="B464" s="13">
        <v>45396</v>
      </c>
      <c r="C464" s="14" t="s">
        <v>16</v>
      </c>
      <c r="D464" s="14" t="s">
        <v>38</v>
      </c>
      <c r="E464" s="14" t="s">
        <v>159</v>
      </c>
      <c r="F464" s="14" t="s">
        <v>554</v>
      </c>
      <c r="G464" s="15"/>
      <c r="H464" s="275"/>
      <c r="I464" s="275">
        <v>-1200</v>
      </c>
    </row>
    <row r="465" spans="2:9" x14ac:dyDescent="0.2">
      <c r="B465" s="13">
        <v>45396</v>
      </c>
      <c r="C465" s="14" t="s">
        <v>25</v>
      </c>
      <c r="D465" s="14" t="s">
        <v>31</v>
      </c>
      <c r="E465" s="14" t="s">
        <v>56</v>
      </c>
      <c r="F465" s="14" t="s">
        <v>555</v>
      </c>
      <c r="G465" s="15"/>
      <c r="H465" s="275"/>
      <c r="I465" s="275">
        <v>-120</v>
      </c>
    </row>
    <row r="466" spans="2:9" x14ac:dyDescent="0.2">
      <c r="B466" s="13">
        <v>45396</v>
      </c>
      <c r="C466" s="14" t="s">
        <v>25</v>
      </c>
      <c r="D466" s="14" t="s">
        <v>31</v>
      </c>
      <c r="E466" s="14" t="s">
        <v>56</v>
      </c>
      <c r="F466" s="14" t="s">
        <v>63</v>
      </c>
      <c r="G466" s="15"/>
      <c r="H466" s="275"/>
      <c r="I466" s="275">
        <v>-44</v>
      </c>
    </row>
    <row r="467" spans="2:9" x14ac:dyDescent="0.2">
      <c r="B467" s="13">
        <v>45396</v>
      </c>
      <c r="C467" s="14" t="s">
        <v>25</v>
      </c>
      <c r="D467" s="14" t="s">
        <v>31</v>
      </c>
      <c r="E467" s="14" t="s">
        <v>56</v>
      </c>
      <c r="F467" s="14" t="s">
        <v>62</v>
      </c>
      <c r="G467" s="15"/>
      <c r="H467" s="275"/>
      <c r="I467" s="275">
        <v>-10</v>
      </c>
    </row>
    <row r="468" spans="2:9" x14ac:dyDescent="0.2">
      <c r="B468" s="13">
        <v>45396</v>
      </c>
      <c r="C468" s="14" t="s">
        <v>25</v>
      </c>
      <c r="D468" s="14" t="s">
        <v>31</v>
      </c>
      <c r="E468" s="14" t="s">
        <v>56</v>
      </c>
      <c r="F468" s="14" t="s">
        <v>557</v>
      </c>
      <c r="G468" s="15"/>
      <c r="H468" s="275"/>
      <c r="I468" s="275">
        <v>-25</v>
      </c>
    </row>
    <row r="469" spans="2:9" x14ac:dyDescent="0.2">
      <c r="B469" s="13">
        <v>45396</v>
      </c>
      <c r="C469" s="14" t="s">
        <v>25</v>
      </c>
      <c r="D469" s="14" t="s">
        <v>31</v>
      </c>
      <c r="E469" s="14" t="s">
        <v>56</v>
      </c>
      <c r="F469" s="14" t="s">
        <v>558</v>
      </c>
      <c r="G469" s="15"/>
      <c r="H469" s="275"/>
      <c r="I469" s="275">
        <f>-20-50</f>
        <v>-70</v>
      </c>
    </row>
    <row r="470" spans="2:9" x14ac:dyDescent="0.2">
      <c r="B470" s="13">
        <v>45397</v>
      </c>
      <c r="C470" s="14" t="s">
        <v>18</v>
      </c>
      <c r="D470" s="14" t="s">
        <v>185</v>
      </c>
      <c r="E470" s="14" t="s">
        <v>192</v>
      </c>
      <c r="F470" s="14" t="s">
        <v>560</v>
      </c>
      <c r="G470" s="15"/>
      <c r="H470" s="275"/>
      <c r="I470" s="275">
        <v>-500</v>
      </c>
    </row>
    <row r="471" spans="2:9" x14ac:dyDescent="0.2">
      <c r="B471" s="13">
        <v>45397</v>
      </c>
      <c r="C471" s="14" t="s">
        <v>18</v>
      </c>
      <c r="D471" s="14" t="s">
        <v>31</v>
      </c>
      <c r="E471" s="14" t="s">
        <v>32</v>
      </c>
      <c r="F471" s="14" t="s">
        <v>559</v>
      </c>
      <c r="G471" s="15"/>
      <c r="H471" s="275"/>
      <c r="I471" s="275">
        <v>-2500</v>
      </c>
    </row>
    <row r="472" spans="2:9" x14ac:dyDescent="0.2">
      <c r="B472" s="13">
        <v>45397</v>
      </c>
      <c r="C472" s="14" t="s">
        <v>18</v>
      </c>
      <c r="D472" s="14" t="s">
        <v>31</v>
      </c>
      <c r="E472" s="14" t="s">
        <v>56</v>
      </c>
      <c r="F472" s="14" t="s">
        <v>99</v>
      </c>
      <c r="G472" s="15"/>
      <c r="H472" s="275"/>
      <c r="I472" s="275">
        <v>-740</v>
      </c>
    </row>
    <row r="473" spans="2:9" x14ac:dyDescent="0.2">
      <c r="B473" s="13">
        <v>45397</v>
      </c>
      <c r="C473" s="14" t="s">
        <v>25</v>
      </c>
      <c r="D473" s="14" t="s">
        <v>31</v>
      </c>
      <c r="E473" s="14" t="s">
        <v>49</v>
      </c>
      <c r="F473" s="14" t="s">
        <v>100</v>
      </c>
      <c r="G473" s="15"/>
      <c r="H473" s="275"/>
      <c r="I473" s="275">
        <v>-65</v>
      </c>
    </row>
    <row r="474" spans="2:9" x14ac:dyDescent="0.2">
      <c r="B474" s="13">
        <v>45398</v>
      </c>
      <c r="C474" s="14" t="s">
        <v>18</v>
      </c>
      <c r="D474" s="14" t="s">
        <v>38</v>
      </c>
      <c r="E474" s="14" t="s">
        <v>146</v>
      </c>
      <c r="F474" s="14" t="s">
        <v>561</v>
      </c>
      <c r="G474" s="15"/>
      <c r="H474" s="275">
        <v>400</v>
      </c>
      <c r="I474" s="275"/>
    </row>
    <row r="475" spans="2:9" x14ac:dyDescent="0.2">
      <c r="B475" s="13">
        <v>45398</v>
      </c>
      <c r="C475" s="14" t="s">
        <v>16</v>
      </c>
      <c r="D475" s="14" t="s">
        <v>38</v>
      </c>
      <c r="E475" s="14" t="s">
        <v>83</v>
      </c>
      <c r="F475" s="14" t="s">
        <v>488</v>
      </c>
      <c r="G475" s="15"/>
      <c r="H475" s="275"/>
      <c r="I475" s="275">
        <v>-300</v>
      </c>
    </row>
    <row r="476" spans="2:9" x14ac:dyDescent="0.2">
      <c r="B476" s="13">
        <v>45398</v>
      </c>
      <c r="C476" s="14" t="s">
        <v>16</v>
      </c>
      <c r="D476" s="14" t="s">
        <v>38</v>
      </c>
      <c r="E476" s="14" t="s">
        <v>87</v>
      </c>
      <c r="F476" s="14" t="s">
        <v>488</v>
      </c>
      <c r="G476" s="15"/>
      <c r="H476" s="275"/>
      <c r="I476" s="275">
        <v>-719</v>
      </c>
    </row>
    <row r="477" spans="2:9" x14ac:dyDescent="0.2">
      <c r="B477" s="13">
        <v>45398</v>
      </c>
      <c r="C477" s="14" t="s">
        <v>16</v>
      </c>
      <c r="D477" s="14" t="s">
        <v>26</v>
      </c>
      <c r="E477" s="14" t="s">
        <v>27</v>
      </c>
      <c r="F477" s="14" t="s">
        <v>562</v>
      </c>
      <c r="G477" s="15"/>
      <c r="H477" s="275"/>
      <c r="I477" s="275">
        <v>-600</v>
      </c>
    </row>
    <row r="478" spans="2:9" x14ac:dyDescent="0.2">
      <c r="B478" s="13">
        <v>45398</v>
      </c>
      <c r="C478" s="14" t="s">
        <v>16</v>
      </c>
      <c r="D478" s="14" t="s">
        <v>26</v>
      </c>
      <c r="E478" s="14" t="s">
        <v>29</v>
      </c>
      <c r="F478" s="14" t="s">
        <v>563</v>
      </c>
      <c r="G478" s="15"/>
      <c r="H478" s="275"/>
      <c r="I478" s="275">
        <v>-4800</v>
      </c>
    </row>
    <row r="479" spans="2:9" x14ac:dyDescent="0.2">
      <c r="B479" s="13">
        <v>45398</v>
      </c>
      <c r="C479" s="14" t="s">
        <v>16</v>
      </c>
      <c r="D479" s="14" t="s">
        <v>43</v>
      </c>
      <c r="E479" s="14" t="s">
        <v>86</v>
      </c>
      <c r="F479" s="14" t="s">
        <v>488</v>
      </c>
      <c r="G479" s="15"/>
      <c r="H479" s="275"/>
      <c r="I479" s="275">
        <v>-285</v>
      </c>
    </row>
    <row r="480" spans="2:9" x14ac:dyDescent="0.2">
      <c r="B480" s="13">
        <v>45399</v>
      </c>
      <c r="C480" s="14" t="s">
        <v>16</v>
      </c>
      <c r="D480" s="14" t="s">
        <v>41</v>
      </c>
      <c r="E480" s="14" t="s">
        <v>47</v>
      </c>
      <c r="F480" s="14" t="s">
        <v>566</v>
      </c>
      <c r="G480" s="15"/>
      <c r="H480" s="275">
        <v>7000</v>
      </c>
      <c r="I480" s="275"/>
    </row>
    <row r="481" spans="2:9" x14ac:dyDescent="0.2">
      <c r="B481" s="13">
        <v>45399</v>
      </c>
      <c r="C481" s="14" t="s">
        <v>24</v>
      </c>
      <c r="D481" s="14" t="s">
        <v>41</v>
      </c>
      <c r="E481" s="14" t="s">
        <v>42</v>
      </c>
      <c r="F481" s="14" t="s">
        <v>564</v>
      </c>
      <c r="G481" s="15"/>
      <c r="H481" s="275">
        <v>11852</v>
      </c>
      <c r="I481" s="275"/>
    </row>
    <row r="482" spans="2:9" x14ac:dyDescent="0.2">
      <c r="B482" s="13">
        <v>45399</v>
      </c>
      <c r="C482" s="14" t="s">
        <v>25</v>
      </c>
      <c r="D482" s="14" t="s">
        <v>31</v>
      </c>
      <c r="E482" s="14" t="s">
        <v>49</v>
      </c>
      <c r="F482" s="14" t="s">
        <v>104</v>
      </c>
      <c r="G482" s="15"/>
      <c r="H482" s="275"/>
      <c r="I482" s="275">
        <v>-35</v>
      </c>
    </row>
    <row r="483" spans="2:9" x14ac:dyDescent="0.2">
      <c r="B483" s="13">
        <v>45399</v>
      </c>
      <c r="C483" s="14" t="s">
        <v>16</v>
      </c>
      <c r="D483" s="14" t="s">
        <v>43</v>
      </c>
      <c r="E483" s="14" t="s">
        <v>70</v>
      </c>
      <c r="F483" s="14" t="s">
        <v>565</v>
      </c>
      <c r="G483" s="15"/>
      <c r="H483" s="275"/>
      <c r="I483" s="275">
        <v>-1800</v>
      </c>
    </row>
    <row r="484" spans="2:9" x14ac:dyDescent="0.2">
      <c r="B484" s="13">
        <v>45400</v>
      </c>
      <c r="C484" s="14" t="s">
        <v>25</v>
      </c>
      <c r="D484" s="14" t="s">
        <v>31</v>
      </c>
      <c r="E484" s="14" t="s">
        <v>49</v>
      </c>
      <c r="F484" s="14" t="s">
        <v>567</v>
      </c>
      <c r="G484" s="15"/>
      <c r="H484" s="275"/>
      <c r="I484" s="275">
        <v>-21.5</v>
      </c>
    </row>
    <row r="485" spans="2:9" x14ac:dyDescent="0.2">
      <c r="B485" s="13">
        <v>45401</v>
      </c>
      <c r="C485" s="14" t="s">
        <v>25</v>
      </c>
      <c r="D485" s="14" t="s">
        <v>38</v>
      </c>
      <c r="E485" s="14" t="s">
        <v>146</v>
      </c>
      <c r="F485" s="14" t="s">
        <v>147</v>
      </c>
      <c r="G485" s="15"/>
      <c r="H485" s="275"/>
      <c r="I485" s="275">
        <v>-35</v>
      </c>
    </row>
    <row r="486" spans="2:9" x14ac:dyDescent="0.2">
      <c r="B486" s="13">
        <v>45401</v>
      </c>
      <c r="C486" s="14" t="s">
        <v>25</v>
      </c>
      <c r="D486" s="14" t="s">
        <v>31</v>
      </c>
      <c r="E486" s="14" t="s">
        <v>49</v>
      </c>
      <c r="F486" s="14" t="s">
        <v>487</v>
      </c>
      <c r="G486" s="15"/>
      <c r="H486" s="275"/>
      <c r="I486" s="275">
        <v>-10</v>
      </c>
    </row>
    <row r="487" spans="2:9" x14ac:dyDescent="0.2">
      <c r="B487" s="13">
        <v>45402</v>
      </c>
      <c r="C487" s="14" t="s">
        <v>25</v>
      </c>
      <c r="D487" s="14" t="s">
        <v>31</v>
      </c>
      <c r="E487" s="14" t="s">
        <v>56</v>
      </c>
      <c r="F487" s="14" t="s">
        <v>568</v>
      </c>
      <c r="G487" s="15"/>
      <c r="H487" s="275"/>
      <c r="I487" s="275">
        <v>-42</v>
      </c>
    </row>
    <row r="488" spans="2:9" x14ac:dyDescent="0.2">
      <c r="B488" s="13">
        <v>45402</v>
      </c>
      <c r="C488" s="14" t="s">
        <v>25</v>
      </c>
      <c r="D488" s="14" t="s">
        <v>31</v>
      </c>
      <c r="E488" s="14" t="s">
        <v>56</v>
      </c>
      <c r="F488" s="14" t="s">
        <v>569</v>
      </c>
      <c r="G488" s="15"/>
      <c r="H488" s="275"/>
      <c r="I488" s="275">
        <v>-135</v>
      </c>
    </row>
    <row r="489" spans="2:9" x14ac:dyDescent="0.2">
      <c r="B489" s="13">
        <v>45403</v>
      </c>
      <c r="C489" s="14" t="s">
        <v>25</v>
      </c>
      <c r="D489" s="14" t="s">
        <v>14</v>
      </c>
      <c r="E489" s="14" t="s">
        <v>18</v>
      </c>
      <c r="F489" s="14" t="s">
        <v>10</v>
      </c>
      <c r="G489" s="15">
        <v>-830</v>
      </c>
      <c r="H489" s="275"/>
      <c r="I489" s="275"/>
    </row>
    <row r="490" spans="2:9" x14ac:dyDescent="0.2">
      <c r="B490" s="13">
        <v>45403</v>
      </c>
      <c r="C490" s="14" t="s">
        <v>18</v>
      </c>
      <c r="D490" s="14" t="s">
        <v>14</v>
      </c>
      <c r="E490" s="14" t="s">
        <v>25</v>
      </c>
      <c r="F490" s="14" t="s">
        <v>10</v>
      </c>
      <c r="G490" s="15">
        <v>830</v>
      </c>
      <c r="H490" s="275"/>
      <c r="I490" s="275"/>
    </row>
    <row r="491" spans="2:9" x14ac:dyDescent="0.2">
      <c r="B491" s="13">
        <v>45403</v>
      </c>
      <c r="C491" s="14" t="s">
        <v>16</v>
      </c>
      <c r="D491" s="14" t="s">
        <v>38</v>
      </c>
      <c r="E491" s="14" t="s">
        <v>159</v>
      </c>
      <c r="F491" s="14" t="s">
        <v>534</v>
      </c>
      <c r="G491" s="15"/>
      <c r="H491" s="275"/>
      <c r="I491" s="275">
        <v>-1300</v>
      </c>
    </row>
    <row r="492" spans="2:9" x14ac:dyDescent="0.2">
      <c r="B492" s="13">
        <v>45403</v>
      </c>
      <c r="C492" s="14" t="s">
        <v>18</v>
      </c>
      <c r="D492" s="14" t="s">
        <v>38</v>
      </c>
      <c r="E492" s="14" t="s">
        <v>159</v>
      </c>
      <c r="F492" s="14" t="s">
        <v>534</v>
      </c>
      <c r="G492" s="15"/>
      <c r="H492" s="275">
        <v>1300</v>
      </c>
      <c r="I492" s="275"/>
    </row>
    <row r="493" spans="2:9" x14ac:dyDescent="0.2">
      <c r="B493" s="13">
        <v>45403</v>
      </c>
      <c r="C493" s="14" t="s">
        <v>25</v>
      </c>
      <c r="D493" s="14" t="s">
        <v>31</v>
      </c>
      <c r="E493" s="14" t="s">
        <v>56</v>
      </c>
      <c r="F493" s="14" t="s">
        <v>570</v>
      </c>
      <c r="G493" s="15"/>
      <c r="H493" s="275"/>
      <c r="I493" s="275">
        <v>-48</v>
      </c>
    </row>
    <row r="494" spans="2:9" x14ac:dyDescent="0.2">
      <c r="B494" s="13">
        <v>45403</v>
      </c>
      <c r="C494" s="14" t="s">
        <v>25</v>
      </c>
      <c r="D494" s="14" t="s">
        <v>31</v>
      </c>
      <c r="E494" s="14" t="s">
        <v>56</v>
      </c>
      <c r="F494" s="14" t="s">
        <v>571</v>
      </c>
      <c r="G494" s="15"/>
      <c r="H494" s="275"/>
      <c r="I494" s="275">
        <v>-60.5</v>
      </c>
    </row>
    <row r="495" spans="2:9" x14ac:dyDescent="0.2">
      <c r="B495" s="13">
        <v>45403</v>
      </c>
      <c r="C495" s="14" t="s">
        <v>25</v>
      </c>
      <c r="D495" s="14" t="s">
        <v>31</v>
      </c>
      <c r="E495" s="14" t="s">
        <v>56</v>
      </c>
      <c r="F495" s="14" t="s">
        <v>63</v>
      </c>
      <c r="G495" s="15"/>
      <c r="H495" s="275"/>
      <c r="I495" s="275">
        <v>-44</v>
      </c>
    </row>
    <row r="496" spans="2:9" x14ac:dyDescent="0.2">
      <c r="B496" s="13">
        <v>45403</v>
      </c>
      <c r="C496" s="14" t="s">
        <v>25</v>
      </c>
      <c r="D496" s="14" t="s">
        <v>31</v>
      </c>
      <c r="E496" s="14" t="s">
        <v>56</v>
      </c>
      <c r="F496" s="14" t="s">
        <v>572</v>
      </c>
      <c r="G496" s="15"/>
      <c r="H496" s="275"/>
      <c r="I496" s="275">
        <v>-16</v>
      </c>
    </row>
    <row r="497" spans="2:9" x14ac:dyDescent="0.2">
      <c r="B497" s="13">
        <v>45403</v>
      </c>
      <c r="C497" s="14" t="s">
        <v>25</v>
      </c>
      <c r="D497" s="14" t="s">
        <v>31</v>
      </c>
      <c r="E497" s="14" t="s">
        <v>56</v>
      </c>
      <c r="F497" s="14" t="s">
        <v>99</v>
      </c>
      <c r="G497" s="15"/>
      <c r="H497" s="275"/>
      <c r="I497" s="275">
        <v>-270.5</v>
      </c>
    </row>
    <row r="498" spans="2:9" x14ac:dyDescent="0.2">
      <c r="B498" s="13">
        <v>45404</v>
      </c>
      <c r="C498" s="14" t="s">
        <v>24</v>
      </c>
      <c r="D498" s="14" t="s">
        <v>14</v>
      </c>
      <c r="E498" s="14" t="s">
        <v>18</v>
      </c>
      <c r="F498" s="14" t="s">
        <v>10</v>
      </c>
      <c r="G498" s="15">
        <v>-5000</v>
      </c>
      <c r="H498" s="275"/>
      <c r="I498" s="275"/>
    </row>
    <row r="499" spans="2:9" x14ac:dyDescent="0.2">
      <c r="B499" s="13">
        <v>45404</v>
      </c>
      <c r="C499" s="14" t="s">
        <v>18</v>
      </c>
      <c r="D499" s="14" t="s">
        <v>14</v>
      </c>
      <c r="E499" s="14" t="s">
        <v>24</v>
      </c>
      <c r="F499" s="14" t="s">
        <v>10</v>
      </c>
      <c r="G499" s="15">
        <v>5000</v>
      </c>
      <c r="H499" s="275"/>
      <c r="I499" s="275"/>
    </row>
    <row r="500" spans="2:9" x14ac:dyDescent="0.2">
      <c r="B500" s="13">
        <v>45404</v>
      </c>
      <c r="C500" s="14" t="s">
        <v>18</v>
      </c>
      <c r="D500" s="14" t="s">
        <v>185</v>
      </c>
      <c r="E500" s="14" t="s">
        <v>192</v>
      </c>
      <c r="F500" s="14" t="s">
        <v>575</v>
      </c>
      <c r="G500" s="15"/>
      <c r="H500" s="275"/>
      <c r="I500" s="275">
        <v>-500</v>
      </c>
    </row>
    <row r="501" spans="2:9" x14ac:dyDescent="0.2">
      <c r="B501" s="13">
        <v>45404</v>
      </c>
      <c r="C501" s="14" t="s">
        <v>25</v>
      </c>
      <c r="D501" s="14" t="s">
        <v>126</v>
      </c>
      <c r="E501" s="14" t="s">
        <v>612</v>
      </c>
      <c r="F501" s="14" t="s">
        <v>576</v>
      </c>
      <c r="G501" s="15"/>
      <c r="H501" s="275"/>
      <c r="I501" s="275">
        <v>-439</v>
      </c>
    </row>
    <row r="502" spans="2:9" x14ac:dyDescent="0.2">
      <c r="B502" s="13">
        <v>45404</v>
      </c>
      <c r="C502" s="14" t="s">
        <v>16</v>
      </c>
      <c r="D502" s="14" t="s">
        <v>38</v>
      </c>
      <c r="E502" s="14" t="s">
        <v>102</v>
      </c>
      <c r="F502" s="14" t="s">
        <v>452</v>
      </c>
      <c r="G502" s="15"/>
      <c r="H502" s="275"/>
      <c r="I502" s="275">
        <v>-600</v>
      </c>
    </row>
    <row r="503" spans="2:9" x14ac:dyDescent="0.2">
      <c r="B503" s="13">
        <v>45404</v>
      </c>
      <c r="C503" s="14" t="s">
        <v>16</v>
      </c>
      <c r="D503" s="14" t="s">
        <v>38</v>
      </c>
      <c r="E503" s="14" t="s">
        <v>159</v>
      </c>
      <c r="F503" s="14" t="s">
        <v>574</v>
      </c>
      <c r="G503" s="15"/>
      <c r="H503" s="275"/>
      <c r="I503" s="275">
        <v>-500</v>
      </c>
    </row>
    <row r="504" spans="2:9" x14ac:dyDescent="0.2">
      <c r="B504" s="13">
        <v>45404</v>
      </c>
      <c r="C504" s="14" t="s">
        <v>18</v>
      </c>
      <c r="D504" s="14" t="s">
        <v>31</v>
      </c>
      <c r="E504" s="14" t="s">
        <v>32</v>
      </c>
      <c r="F504" s="14" t="s">
        <v>573</v>
      </c>
      <c r="G504" s="15"/>
      <c r="H504" s="275"/>
      <c r="I504" s="275">
        <v>-2500</v>
      </c>
    </row>
    <row r="505" spans="2:9" x14ac:dyDescent="0.2">
      <c r="B505" s="13">
        <v>45405</v>
      </c>
      <c r="C505" s="14" t="s">
        <v>18</v>
      </c>
      <c r="D505" s="14" t="s">
        <v>26</v>
      </c>
      <c r="E505" s="14" t="s">
        <v>29</v>
      </c>
      <c r="F505" s="14" t="s">
        <v>577</v>
      </c>
      <c r="G505" s="15"/>
      <c r="H505" s="275"/>
      <c r="I505" s="275">
        <v>-2000</v>
      </c>
    </row>
    <row r="506" spans="2:9" x14ac:dyDescent="0.2">
      <c r="B506" s="13">
        <v>45405</v>
      </c>
      <c r="C506" s="14" t="s">
        <v>16</v>
      </c>
      <c r="D506" s="14" t="s">
        <v>26</v>
      </c>
      <c r="E506" s="14" t="s">
        <v>29</v>
      </c>
      <c r="F506" s="14" t="s">
        <v>580</v>
      </c>
      <c r="G506" s="15"/>
      <c r="H506" s="275">
        <v>2000</v>
      </c>
      <c r="I506" s="275"/>
    </row>
    <row r="507" spans="2:9" x14ac:dyDescent="0.2">
      <c r="B507" s="13">
        <v>45406</v>
      </c>
      <c r="C507" s="14" t="s">
        <v>16</v>
      </c>
      <c r="D507" s="14" t="s">
        <v>41</v>
      </c>
      <c r="E507" s="14" t="s">
        <v>47</v>
      </c>
      <c r="F507" s="14" t="s">
        <v>579</v>
      </c>
      <c r="G507" s="15"/>
      <c r="H507" s="275">
        <v>7000</v>
      </c>
      <c r="I507" s="275"/>
    </row>
    <row r="508" spans="2:9" x14ac:dyDescent="0.2">
      <c r="B508" s="13">
        <v>45406</v>
      </c>
      <c r="C508" s="14" t="s">
        <v>25</v>
      </c>
      <c r="D508" s="14" t="s">
        <v>31</v>
      </c>
      <c r="E508" s="14" t="s">
        <v>49</v>
      </c>
      <c r="F508" s="14" t="s">
        <v>104</v>
      </c>
      <c r="G508" s="15"/>
      <c r="H508" s="275"/>
      <c r="I508" s="275">
        <v>-40</v>
      </c>
    </row>
    <row r="509" spans="2:9" x14ac:dyDescent="0.2">
      <c r="B509" s="13">
        <v>45406</v>
      </c>
      <c r="C509" s="14" t="s">
        <v>25</v>
      </c>
      <c r="D509" s="14" t="s">
        <v>31</v>
      </c>
      <c r="E509" s="14" t="s">
        <v>49</v>
      </c>
      <c r="F509" s="14" t="s">
        <v>578</v>
      </c>
      <c r="G509" s="15"/>
      <c r="H509" s="275"/>
      <c r="I509" s="275">
        <v>-64</v>
      </c>
    </row>
    <row r="510" spans="2:9" x14ac:dyDescent="0.2">
      <c r="B510" s="13">
        <v>45408</v>
      </c>
      <c r="C510" s="14" t="s">
        <v>25</v>
      </c>
      <c r="D510" s="14" t="s">
        <v>33</v>
      </c>
      <c r="E510" s="14" t="s">
        <v>34</v>
      </c>
      <c r="F510" s="14" t="s">
        <v>460</v>
      </c>
      <c r="G510" s="15"/>
      <c r="H510" s="275"/>
      <c r="I510" s="275">
        <f>-300</f>
        <v>-300</v>
      </c>
    </row>
    <row r="511" spans="2:9" x14ac:dyDescent="0.2">
      <c r="B511" s="13">
        <v>45409</v>
      </c>
      <c r="C511" s="14" t="s">
        <v>25</v>
      </c>
      <c r="D511" s="14" t="s">
        <v>31</v>
      </c>
      <c r="E511" s="14" t="s">
        <v>56</v>
      </c>
      <c r="F511" s="14" t="s">
        <v>581</v>
      </c>
      <c r="G511" s="15"/>
      <c r="H511" s="275"/>
      <c r="I511" s="275">
        <v>-58</v>
      </c>
    </row>
    <row r="512" spans="2:9" x14ac:dyDescent="0.2">
      <c r="B512" s="13">
        <v>45409</v>
      </c>
      <c r="C512" s="14" t="s">
        <v>25</v>
      </c>
      <c r="D512" s="14" t="s">
        <v>31</v>
      </c>
      <c r="E512" s="14" t="s">
        <v>56</v>
      </c>
      <c r="F512" s="14" t="s">
        <v>80</v>
      </c>
      <c r="G512" s="15"/>
      <c r="H512" s="275"/>
      <c r="I512" s="275">
        <v>-148</v>
      </c>
    </row>
    <row r="513" spans="2:9" x14ac:dyDescent="0.2">
      <c r="B513" s="13">
        <v>45409</v>
      </c>
      <c r="C513" s="14" t="s">
        <v>25</v>
      </c>
      <c r="D513" s="14" t="s">
        <v>31</v>
      </c>
      <c r="E513" s="14" t="s">
        <v>56</v>
      </c>
      <c r="F513" s="14" t="s">
        <v>466</v>
      </c>
      <c r="G513" s="15"/>
      <c r="H513" s="275"/>
      <c r="I513" s="275">
        <v>-180</v>
      </c>
    </row>
    <row r="514" spans="2:9" x14ac:dyDescent="0.2">
      <c r="B514" s="13">
        <v>45410</v>
      </c>
      <c r="C514" s="14" t="s">
        <v>25</v>
      </c>
      <c r="D514" s="14" t="s">
        <v>31</v>
      </c>
      <c r="E514" s="14" t="s">
        <v>56</v>
      </c>
      <c r="F514" s="14" t="s">
        <v>582</v>
      </c>
      <c r="G514" s="15"/>
      <c r="H514" s="275"/>
      <c r="I514" s="275">
        <v>-64.5</v>
      </c>
    </row>
    <row r="515" spans="2:9" x14ac:dyDescent="0.2">
      <c r="B515" s="13">
        <v>45410</v>
      </c>
      <c r="C515" s="14" t="s">
        <v>25</v>
      </c>
      <c r="D515" s="14" t="s">
        <v>31</v>
      </c>
      <c r="E515" s="14" t="s">
        <v>56</v>
      </c>
      <c r="F515" s="14" t="s">
        <v>583</v>
      </c>
      <c r="G515" s="15"/>
      <c r="H515" s="275"/>
      <c r="I515" s="275">
        <v>-118</v>
      </c>
    </row>
    <row r="516" spans="2:9" x14ac:dyDescent="0.2">
      <c r="B516" s="13">
        <v>45410</v>
      </c>
      <c r="C516" s="14" t="s">
        <v>25</v>
      </c>
      <c r="D516" s="14" t="s">
        <v>31</v>
      </c>
      <c r="E516" s="14" t="s">
        <v>56</v>
      </c>
      <c r="F516" s="14" t="s">
        <v>63</v>
      </c>
      <c r="G516" s="15"/>
      <c r="H516" s="275"/>
      <c r="I516" s="275">
        <v>-44</v>
      </c>
    </row>
    <row r="517" spans="2:9" x14ac:dyDescent="0.2">
      <c r="B517" s="13">
        <v>45410</v>
      </c>
      <c r="C517" s="14" t="s">
        <v>25</v>
      </c>
      <c r="D517" s="14" t="s">
        <v>31</v>
      </c>
      <c r="E517" s="14" t="s">
        <v>56</v>
      </c>
      <c r="F517" s="14" t="s">
        <v>584</v>
      </c>
      <c r="G517" s="15"/>
      <c r="H517" s="275"/>
      <c r="I517" s="275">
        <v>-31</v>
      </c>
    </row>
    <row r="518" spans="2:9" x14ac:dyDescent="0.2">
      <c r="B518" s="13">
        <v>45410</v>
      </c>
      <c r="C518" s="14" t="s">
        <v>25</v>
      </c>
      <c r="D518" s="14" t="s">
        <v>31</v>
      </c>
      <c r="E518" s="14" t="s">
        <v>56</v>
      </c>
      <c r="F518" s="14" t="s">
        <v>585</v>
      </c>
      <c r="G518" s="15"/>
      <c r="H518" s="275"/>
      <c r="I518" s="275">
        <v>-35</v>
      </c>
    </row>
    <row r="519" spans="2:9" x14ac:dyDescent="0.2">
      <c r="B519" s="13">
        <v>45410</v>
      </c>
      <c r="C519" s="14" t="s">
        <v>18</v>
      </c>
      <c r="D519" s="14" t="s">
        <v>31</v>
      </c>
      <c r="E519" s="14" t="s">
        <v>56</v>
      </c>
      <c r="F519" s="14" t="s">
        <v>99</v>
      </c>
      <c r="G519" s="15"/>
      <c r="H519" s="275">
        <f>50+300</f>
        <v>350</v>
      </c>
      <c r="I519" s="275"/>
    </row>
    <row r="520" spans="2:9" x14ac:dyDescent="0.2">
      <c r="B520" s="13">
        <v>45411</v>
      </c>
      <c r="C520" s="14" t="s">
        <v>25</v>
      </c>
      <c r="D520" s="14" t="s">
        <v>14</v>
      </c>
      <c r="E520" s="14" t="s">
        <v>18</v>
      </c>
      <c r="F520" s="14" t="s">
        <v>10</v>
      </c>
      <c r="G520" s="15">
        <f>500+60</f>
        <v>560</v>
      </c>
      <c r="H520" s="275"/>
      <c r="I520" s="275"/>
    </row>
    <row r="521" spans="2:9" x14ac:dyDescent="0.2">
      <c r="B521" s="13">
        <v>45411</v>
      </c>
      <c r="C521" s="14" t="s">
        <v>18</v>
      </c>
      <c r="D521" s="14" t="s">
        <v>14</v>
      </c>
      <c r="E521" s="14" t="s">
        <v>25</v>
      </c>
      <c r="F521" s="14" t="s">
        <v>10</v>
      </c>
      <c r="G521" s="15">
        <f>-500-60</f>
        <v>-560</v>
      </c>
      <c r="H521" s="275"/>
      <c r="I521" s="275"/>
    </row>
    <row r="522" spans="2:9" x14ac:dyDescent="0.2">
      <c r="B522" s="13">
        <v>45411</v>
      </c>
      <c r="C522" s="14" t="s">
        <v>18</v>
      </c>
      <c r="D522" s="14" t="s">
        <v>31</v>
      </c>
      <c r="E522" s="14" t="s">
        <v>32</v>
      </c>
      <c r="F522" s="14" t="s">
        <v>586</v>
      </c>
      <c r="G522" s="15"/>
      <c r="H522" s="275"/>
      <c r="I522" s="275">
        <v>-2500</v>
      </c>
    </row>
    <row r="523" spans="2:9" x14ac:dyDescent="0.2">
      <c r="B523" s="13">
        <v>45411</v>
      </c>
      <c r="C523" s="14" t="s">
        <v>18</v>
      </c>
      <c r="D523" s="14" t="s">
        <v>31</v>
      </c>
      <c r="E523" s="14" t="s">
        <v>49</v>
      </c>
      <c r="F523" s="14" t="s">
        <v>468</v>
      </c>
      <c r="G523" s="15"/>
      <c r="H523" s="275"/>
      <c r="I523" s="275">
        <f>-40-50</f>
        <v>-90</v>
      </c>
    </row>
    <row r="524" spans="2:9" x14ac:dyDescent="0.2">
      <c r="B524" s="13">
        <v>45411</v>
      </c>
      <c r="C524" s="14" t="s">
        <v>25</v>
      </c>
      <c r="D524" s="14" t="s">
        <v>31</v>
      </c>
      <c r="E524" s="14" t="s">
        <v>49</v>
      </c>
      <c r="F524" s="14" t="s">
        <v>101</v>
      </c>
      <c r="G524" s="15"/>
      <c r="H524" s="275"/>
      <c r="I524" s="275">
        <f>-35-6</f>
        <v>-41</v>
      </c>
    </row>
    <row r="525" spans="2:9" x14ac:dyDescent="0.2">
      <c r="B525" s="13">
        <v>45413</v>
      </c>
      <c r="C525" s="14" t="s">
        <v>25</v>
      </c>
      <c r="D525" s="14" t="s">
        <v>31</v>
      </c>
      <c r="E525" s="14" t="s">
        <v>49</v>
      </c>
      <c r="F525" s="14" t="s">
        <v>587</v>
      </c>
      <c r="G525" s="15"/>
      <c r="H525" s="275"/>
      <c r="I525" s="275">
        <v>-300</v>
      </c>
    </row>
    <row r="526" spans="2:9" x14ac:dyDescent="0.2">
      <c r="B526" s="13">
        <v>45414</v>
      </c>
      <c r="C526" s="14" t="s">
        <v>18</v>
      </c>
      <c r="D526" s="14" t="s">
        <v>33</v>
      </c>
      <c r="E526" s="14" t="s">
        <v>36</v>
      </c>
      <c r="F526" s="14" t="s">
        <v>588</v>
      </c>
      <c r="G526" s="15"/>
      <c r="H526" s="275"/>
      <c r="I526" s="275">
        <v>-4000</v>
      </c>
    </row>
    <row r="527" spans="2:9" x14ac:dyDescent="0.2">
      <c r="B527" s="13">
        <v>45414</v>
      </c>
      <c r="C527" s="14" t="s">
        <v>23</v>
      </c>
      <c r="D527" s="14" t="s">
        <v>14</v>
      </c>
      <c r="E527" s="14" t="s">
        <v>18</v>
      </c>
      <c r="F527" s="14" t="s">
        <v>10</v>
      </c>
      <c r="G527" s="15">
        <v>1000</v>
      </c>
      <c r="H527" s="275"/>
      <c r="I527" s="275"/>
    </row>
    <row r="528" spans="2:9" x14ac:dyDescent="0.2">
      <c r="B528" s="13">
        <v>45414</v>
      </c>
      <c r="C528" s="14" t="s">
        <v>24</v>
      </c>
      <c r="D528" s="14" t="s">
        <v>14</v>
      </c>
      <c r="E528" s="14" t="s">
        <v>18</v>
      </c>
      <c r="F528" s="14" t="s">
        <v>10</v>
      </c>
      <c r="G528" s="15">
        <v>-9000</v>
      </c>
      <c r="H528" s="275"/>
      <c r="I528" s="275"/>
    </row>
    <row r="529" spans="2:9" x14ac:dyDescent="0.2">
      <c r="B529" s="13">
        <v>45414</v>
      </c>
      <c r="C529" s="14" t="s">
        <v>24</v>
      </c>
      <c r="D529" s="14" t="s">
        <v>14</v>
      </c>
      <c r="E529" s="14" t="s">
        <v>21</v>
      </c>
      <c r="F529" s="14" t="s">
        <v>590</v>
      </c>
      <c r="G529" s="15">
        <v>50638.68</v>
      </c>
      <c r="H529" s="275"/>
      <c r="I529" s="275"/>
    </row>
    <row r="530" spans="2:9" x14ac:dyDescent="0.2">
      <c r="B530" s="13">
        <v>45414</v>
      </c>
      <c r="C530" s="14" t="s">
        <v>24</v>
      </c>
      <c r="D530" s="14" t="s">
        <v>14</v>
      </c>
      <c r="E530" s="14" t="s">
        <v>21</v>
      </c>
      <c r="F530" s="14" t="s">
        <v>591</v>
      </c>
      <c r="G530" s="15"/>
      <c r="H530" s="275">
        <v>713.62</v>
      </c>
      <c r="I530" s="275"/>
    </row>
    <row r="531" spans="2:9" x14ac:dyDescent="0.2">
      <c r="B531" s="13">
        <v>45414</v>
      </c>
      <c r="C531" s="14" t="s">
        <v>24</v>
      </c>
      <c r="D531" s="14" t="s">
        <v>14</v>
      </c>
      <c r="E531" s="14" t="s">
        <v>21</v>
      </c>
      <c r="F531" s="14" t="s">
        <v>592</v>
      </c>
      <c r="G531" s="15"/>
      <c r="H531" s="275"/>
      <c r="I531" s="275">
        <v>-62.95</v>
      </c>
    </row>
    <row r="532" spans="2:9" x14ac:dyDescent="0.2">
      <c r="B532" s="13">
        <v>45414</v>
      </c>
      <c r="C532" s="14" t="s">
        <v>24</v>
      </c>
      <c r="D532" s="14" t="s">
        <v>14</v>
      </c>
      <c r="E532" s="14" t="s">
        <v>21</v>
      </c>
      <c r="F532" s="14" t="s">
        <v>593</v>
      </c>
      <c r="G532" s="15">
        <v>-70000</v>
      </c>
      <c r="H532" s="275"/>
      <c r="I532" s="275"/>
    </row>
    <row r="533" spans="2:9" x14ac:dyDescent="0.2">
      <c r="B533" s="13">
        <v>45414</v>
      </c>
      <c r="C533" s="14" t="s">
        <v>18</v>
      </c>
      <c r="D533" s="14" t="s">
        <v>14</v>
      </c>
      <c r="E533" s="14" t="s">
        <v>23</v>
      </c>
      <c r="F533" s="14" t="s">
        <v>10</v>
      </c>
      <c r="G533" s="15">
        <v>-1000</v>
      </c>
      <c r="H533" s="275"/>
      <c r="I533" s="275"/>
    </row>
    <row r="534" spans="2:9" x14ac:dyDescent="0.2">
      <c r="B534" s="13">
        <v>45414</v>
      </c>
      <c r="C534" s="14" t="s">
        <v>18</v>
      </c>
      <c r="D534" s="14" t="s">
        <v>14</v>
      </c>
      <c r="E534" s="14" t="s">
        <v>24</v>
      </c>
      <c r="F534" s="14" t="s">
        <v>10</v>
      </c>
      <c r="G534" s="15">
        <v>5000</v>
      </c>
      <c r="H534" s="275"/>
      <c r="I534" s="275"/>
    </row>
    <row r="535" spans="2:9" x14ac:dyDescent="0.2">
      <c r="B535" s="13">
        <v>45414</v>
      </c>
      <c r="C535" s="14" t="s">
        <v>16</v>
      </c>
      <c r="D535" s="14" t="s">
        <v>14</v>
      </c>
      <c r="E535" s="14" t="s">
        <v>24</v>
      </c>
      <c r="F535" s="14" t="s">
        <v>589</v>
      </c>
      <c r="G535" s="15">
        <v>4000</v>
      </c>
      <c r="H535" s="275"/>
      <c r="I535" s="275"/>
    </row>
    <row r="536" spans="2:9" x14ac:dyDescent="0.2">
      <c r="B536" s="13">
        <v>45414</v>
      </c>
      <c r="C536" s="14" t="s">
        <v>21</v>
      </c>
      <c r="D536" s="14" t="s">
        <v>14</v>
      </c>
      <c r="E536" s="14" t="s">
        <v>24</v>
      </c>
      <c r="F536" s="14" t="s">
        <v>590</v>
      </c>
      <c r="G536" s="15">
        <v>-50638.68</v>
      </c>
      <c r="H536" s="275"/>
      <c r="I536" s="275"/>
    </row>
    <row r="537" spans="2:9" x14ac:dyDescent="0.2">
      <c r="B537" s="13">
        <v>45414</v>
      </c>
      <c r="C537" s="14" t="s">
        <v>21</v>
      </c>
      <c r="D537" s="14" t="s">
        <v>14</v>
      </c>
      <c r="E537" s="14" t="s">
        <v>24</v>
      </c>
      <c r="F537" s="14" t="s">
        <v>593</v>
      </c>
      <c r="G537" s="15">
        <v>70000</v>
      </c>
      <c r="H537" s="275"/>
      <c r="I537" s="275"/>
    </row>
    <row r="538" spans="2:9" x14ac:dyDescent="0.2">
      <c r="B538" s="13">
        <v>45414</v>
      </c>
      <c r="C538" s="14" t="s">
        <v>18</v>
      </c>
      <c r="D538" s="14" t="s">
        <v>38</v>
      </c>
      <c r="E538" s="14" t="s">
        <v>39</v>
      </c>
      <c r="F538" s="14" t="s">
        <v>588</v>
      </c>
      <c r="G538" s="15"/>
      <c r="H538" s="275"/>
      <c r="I538" s="275">
        <v>-179</v>
      </c>
    </row>
    <row r="539" spans="2:9" x14ac:dyDescent="0.2">
      <c r="B539" s="13">
        <v>45414</v>
      </c>
      <c r="C539" s="14" t="s">
        <v>16</v>
      </c>
      <c r="D539" s="14" t="s">
        <v>41</v>
      </c>
      <c r="E539" s="14" t="s">
        <v>47</v>
      </c>
      <c r="F539" s="14" t="s">
        <v>594</v>
      </c>
      <c r="G539" s="15"/>
      <c r="H539" s="275">
        <v>7000</v>
      </c>
      <c r="I539" s="275"/>
    </row>
    <row r="540" spans="2:9" x14ac:dyDescent="0.2">
      <c r="B540" s="13">
        <v>45414</v>
      </c>
      <c r="C540" s="14" t="s">
        <v>24</v>
      </c>
      <c r="D540" s="14" t="s">
        <v>41</v>
      </c>
      <c r="E540" s="14" t="s">
        <v>42</v>
      </c>
      <c r="F540" s="14" t="s">
        <v>588</v>
      </c>
      <c r="G540" s="15"/>
      <c r="H540" s="275">
        <v>22383.67</v>
      </c>
      <c r="I540" s="275"/>
    </row>
    <row r="541" spans="2:9" x14ac:dyDescent="0.2">
      <c r="B541" s="13">
        <v>45414</v>
      </c>
      <c r="C541" s="14" t="s">
        <v>18</v>
      </c>
      <c r="D541" s="14" t="s">
        <v>43</v>
      </c>
      <c r="E541" s="14" t="s">
        <v>44</v>
      </c>
      <c r="F541" s="14" t="s">
        <v>588</v>
      </c>
      <c r="G541" s="15"/>
      <c r="H541" s="275"/>
      <c r="I541" s="275">
        <v>-90</v>
      </c>
    </row>
    <row r="542" spans="2:9" x14ac:dyDescent="0.2">
      <c r="B542" s="13">
        <v>45415</v>
      </c>
      <c r="C542" s="14" t="s">
        <v>18</v>
      </c>
      <c r="D542" s="14" t="s">
        <v>14</v>
      </c>
      <c r="E542" s="14" t="s">
        <v>16</v>
      </c>
      <c r="F542" s="14" t="s">
        <v>10</v>
      </c>
      <c r="G542" s="15">
        <v>10000</v>
      </c>
      <c r="H542" s="275"/>
      <c r="I542" s="275"/>
    </row>
    <row r="543" spans="2:9" x14ac:dyDescent="0.2">
      <c r="B543" s="13">
        <v>45415</v>
      </c>
      <c r="C543" s="14" t="s">
        <v>16</v>
      </c>
      <c r="D543" s="14" t="s">
        <v>14</v>
      </c>
      <c r="E543" s="14" t="s">
        <v>18</v>
      </c>
      <c r="F543" s="14" t="s">
        <v>10</v>
      </c>
      <c r="G543" s="15">
        <v>-10000</v>
      </c>
      <c r="H543" s="275"/>
      <c r="I543" s="275"/>
    </row>
    <row r="544" spans="2:9" x14ac:dyDescent="0.2">
      <c r="B544" s="13">
        <v>45415</v>
      </c>
      <c r="C544" s="14" t="s">
        <v>16</v>
      </c>
      <c r="D544" s="14" t="s">
        <v>38</v>
      </c>
      <c r="E544" s="14" t="s">
        <v>159</v>
      </c>
      <c r="F544" s="14" t="s">
        <v>147</v>
      </c>
      <c r="G544" s="15"/>
      <c r="H544" s="275"/>
      <c r="I544" s="275">
        <f>-500</f>
        <v>-500</v>
      </c>
    </row>
    <row r="545" spans="2:9" x14ac:dyDescent="0.2">
      <c r="B545" s="13">
        <v>45415</v>
      </c>
      <c r="C545" s="14" t="s">
        <v>18</v>
      </c>
      <c r="D545" s="14" t="s">
        <v>26</v>
      </c>
      <c r="E545" s="14" t="s">
        <v>29</v>
      </c>
      <c r="F545" s="14" t="s">
        <v>596</v>
      </c>
      <c r="G545" s="15"/>
      <c r="H545" s="275"/>
      <c r="I545" s="275">
        <v>-5000</v>
      </c>
    </row>
    <row r="546" spans="2:9" x14ac:dyDescent="0.2">
      <c r="B546" s="13">
        <v>45415</v>
      </c>
      <c r="C546" s="14" t="s">
        <v>25</v>
      </c>
      <c r="D546" s="14" t="s">
        <v>31</v>
      </c>
      <c r="E546" s="14" t="s">
        <v>49</v>
      </c>
      <c r="F546" s="14" t="s">
        <v>600</v>
      </c>
      <c r="G546" s="15"/>
      <c r="H546" s="275"/>
      <c r="I546" s="275">
        <f>-16-45</f>
        <v>-61</v>
      </c>
    </row>
    <row r="547" spans="2:9" x14ac:dyDescent="0.2">
      <c r="B547" s="13">
        <v>45416</v>
      </c>
      <c r="C547" s="14" t="s">
        <v>16</v>
      </c>
      <c r="D547" s="14" t="s">
        <v>38</v>
      </c>
      <c r="E547" s="14" t="s">
        <v>159</v>
      </c>
      <c r="F547" s="14" t="s">
        <v>595</v>
      </c>
      <c r="G547" s="15"/>
      <c r="H547" s="275"/>
      <c r="I547" s="275">
        <v>-1500</v>
      </c>
    </row>
    <row r="548" spans="2:9" x14ac:dyDescent="0.2">
      <c r="B548" s="13">
        <v>45416</v>
      </c>
      <c r="C548" s="14" t="s">
        <v>25</v>
      </c>
      <c r="D548" s="14" t="s">
        <v>31</v>
      </c>
      <c r="E548" s="14" t="s">
        <v>56</v>
      </c>
      <c r="F548" s="14" t="s">
        <v>539</v>
      </c>
      <c r="G548" s="15"/>
      <c r="H548" s="275"/>
      <c r="I548" s="275">
        <v>-44</v>
      </c>
    </row>
    <row r="549" spans="2:9" x14ac:dyDescent="0.2">
      <c r="B549" s="13">
        <v>45416</v>
      </c>
      <c r="C549" s="14" t="s">
        <v>25</v>
      </c>
      <c r="D549" s="14" t="s">
        <v>31</v>
      </c>
      <c r="E549" s="14" t="s">
        <v>56</v>
      </c>
      <c r="F549" s="14" t="s">
        <v>80</v>
      </c>
      <c r="G549" s="15"/>
      <c r="H549" s="275"/>
      <c r="I549" s="275">
        <v>-164</v>
      </c>
    </row>
    <row r="550" spans="2:9" x14ac:dyDescent="0.2">
      <c r="B550" s="13">
        <v>45417</v>
      </c>
      <c r="C550" s="14" t="s">
        <v>25</v>
      </c>
      <c r="D550" s="14" t="s">
        <v>14</v>
      </c>
      <c r="E550" s="14" t="s">
        <v>18</v>
      </c>
      <c r="F550" s="14" t="s">
        <v>10</v>
      </c>
      <c r="G550" s="15">
        <v>1933</v>
      </c>
      <c r="H550" s="275"/>
      <c r="I550" s="275"/>
    </row>
    <row r="551" spans="2:9" x14ac:dyDescent="0.2">
      <c r="B551" s="13">
        <v>45417</v>
      </c>
      <c r="C551" s="14" t="s">
        <v>18</v>
      </c>
      <c r="D551" s="14" t="s">
        <v>14</v>
      </c>
      <c r="E551" s="14" t="s">
        <v>25</v>
      </c>
      <c r="F551" s="14" t="s">
        <v>10</v>
      </c>
      <c r="G551" s="15">
        <f>-1773-160</f>
        <v>-1933</v>
      </c>
      <c r="H551" s="275"/>
      <c r="I551" s="275"/>
    </row>
    <row r="552" spans="2:9" x14ac:dyDescent="0.2">
      <c r="B552" s="13">
        <v>45417</v>
      </c>
      <c r="C552" s="14" t="s">
        <v>25</v>
      </c>
      <c r="D552" s="14" t="s">
        <v>31</v>
      </c>
      <c r="E552" s="14" t="s">
        <v>56</v>
      </c>
      <c r="F552" s="14" t="s">
        <v>539</v>
      </c>
      <c r="G552" s="15"/>
      <c r="H552" s="275"/>
      <c r="I552" s="275">
        <v>-60</v>
      </c>
    </row>
    <row r="553" spans="2:9" x14ac:dyDescent="0.2">
      <c r="B553" s="13">
        <v>45417</v>
      </c>
      <c r="C553" s="14" t="s">
        <v>25</v>
      </c>
      <c r="D553" s="14" t="s">
        <v>31</v>
      </c>
      <c r="E553" s="14" t="s">
        <v>56</v>
      </c>
      <c r="F553" s="14" t="s">
        <v>475</v>
      </c>
      <c r="G553" s="15"/>
      <c r="H553" s="275"/>
      <c r="I553" s="275">
        <v>-120</v>
      </c>
    </row>
    <row r="554" spans="2:9" x14ac:dyDescent="0.2">
      <c r="B554" s="13">
        <v>45417</v>
      </c>
      <c r="C554" s="14" t="s">
        <v>25</v>
      </c>
      <c r="D554" s="14" t="s">
        <v>31</v>
      </c>
      <c r="E554" s="14" t="s">
        <v>56</v>
      </c>
      <c r="F554" s="14" t="s">
        <v>597</v>
      </c>
      <c r="G554" s="15"/>
      <c r="H554" s="275"/>
      <c r="I554" s="275">
        <f>-44-6</f>
        <v>-50</v>
      </c>
    </row>
    <row r="555" spans="2:9" x14ac:dyDescent="0.2">
      <c r="B555" s="13">
        <v>45417</v>
      </c>
      <c r="C555" s="14" t="s">
        <v>25</v>
      </c>
      <c r="D555" s="14" t="s">
        <v>31</v>
      </c>
      <c r="E555" s="14" t="s">
        <v>56</v>
      </c>
      <c r="F555" s="14" t="s">
        <v>598</v>
      </c>
      <c r="G555" s="15"/>
      <c r="H555" s="275"/>
      <c r="I555" s="275">
        <v>-20</v>
      </c>
    </row>
    <row r="556" spans="2:9" x14ac:dyDescent="0.2">
      <c r="B556" s="13">
        <v>45417</v>
      </c>
      <c r="C556" s="14" t="s">
        <v>25</v>
      </c>
      <c r="D556" s="14" t="s">
        <v>31</v>
      </c>
      <c r="E556" s="14" t="s">
        <v>56</v>
      </c>
      <c r="F556" s="14" t="s">
        <v>552</v>
      </c>
      <c r="G556" s="15"/>
      <c r="H556" s="275"/>
      <c r="I556" s="275">
        <v>-44</v>
      </c>
    </row>
    <row r="557" spans="2:9" x14ac:dyDescent="0.2">
      <c r="B557" s="13">
        <v>45418</v>
      </c>
      <c r="C557" s="14" t="s">
        <v>16</v>
      </c>
      <c r="D557" s="14" t="s">
        <v>38</v>
      </c>
      <c r="E557" s="14" t="s">
        <v>96</v>
      </c>
      <c r="F557" s="14" t="s">
        <v>97</v>
      </c>
      <c r="G557" s="15"/>
      <c r="H557" s="275"/>
      <c r="I557" s="275">
        <v>-1800</v>
      </c>
    </row>
    <row r="558" spans="2:9" x14ac:dyDescent="0.2">
      <c r="B558" s="13">
        <v>45418</v>
      </c>
      <c r="C558" s="14" t="s">
        <v>18</v>
      </c>
      <c r="D558" s="14" t="s">
        <v>31</v>
      </c>
      <c r="E558" s="14" t="s">
        <v>32</v>
      </c>
      <c r="F558" s="14" t="s">
        <v>599</v>
      </c>
      <c r="G558" s="15"/>
      <c r="H558" s="275"/>
      <c r="I558" s="275">
        <v>-2500</v>
      </c>
    </row>
    <row r="559" spans="2:9" x14ac:dyDescent="0.2">
      <c r="B559" s="13">
        <v>45418</v>
      </c>
      <c r="C559" s="14" t="s">
        <v>18</v>
      </c>
      <c r="D559" s="14" t="s">
        <v>31</v>
      </c>
      <c r="E559" s="14" t="s">
        <v>56</v>
      </c>
      <c r="F559" s="14" t="s">
        <v>99</v>
      </c>
      <c r="G559" s="15"/>
      <c r="H559" s="275">
        <v>402</v>
      </c>
      <c r="I559" s="275"/>
    </row>
    <row r="560" spans="2:9" x14ac:dyDescent="0.2">
      <c r="B560" s="13">
        <v>45418</v>
      </c>
      <c r="C560" s="14" t="s">
        <v>16</v>
      </c>
      <c r="D560" s="14" t="s">
        <v>43</v>
      </c>
      <c r="E560" s="14" t="s">
        <v>771</v>
      </c>
      <c r="F560" s="14" t="s">
        <v>588</v>
      </c>
      <c r="G560" s="15"/>
      <c r="H560" s="275"/>
      <c r="I560" s="275">
        <v>-389</v>
      </c>
    </row>
    <row r="561" spans="2:9" x14ac:dyDescent="0.2">
      <c r="B561" s="13">
        <v>45419</v>
      </c>
      <c r="C561" s="14" t="s">
        <v>16</v>
      </c>
      <c r="D561" s="14" t="s">
        <v>14</v>
      </c>
      <c r="E561" s="14" t="s">
        <v>16</v>
      </c>
      <c r="F561" s="14" t="s">
        <v>616</v>
      </c>
      <c r="G561" s="15"/>
      <c r="H561" s="275">
        <v>1.2</v>
      </c>
      <c r="I561" s="275"/>
    </row>
    <row r="562" spans="2:9" x14ac:dyDescent="0.2">
      <c r="B562" s="13">
        <v>45419</v>
      </c>
      <c r="C562" s="14" t="s">
        <v>18</v>
      </c>
      <c r="D562" s="14" t="s">
        <v>126</v>
      </c>
      <c r="E562" s="14" t="s">
        <v>614</v>
      </c>
      <c r="F562" s="14" t="s">
        <v>603</v>
      </c>
      <c r="G562" s="15"/>
      <c r="H562" s="275"/>
      <c r="I562" s="275">
        <v>-2000</v>
      </c>
    </row>
    <row r="563" spans="2:9" x14ac:dyDescent="0.2">
      <c r="B563" s="13">
        <v>45419</v>
      </c>
      <c r="C563" s="14" t="s">
        <v>18</v>
      </c>
      <c r="D563" s="14" t="s">
        <v>148</v>
      </c>
      <c r="E563" s="14" t="s">
        <v>149</v>
      </c>
      <c r="F563" s="14" t="s">
        <v>605</v>
      </c>
      <c r="G563" s="15"/>
      <c r="H563" s="275"/>
      <c r="I563" s="275">
        <v>-343</v>
      </c>
    </row>
    <row r="564" spans="2:9" x14ac:dyDescent="0.2">
      <c r="B564" s="13">
        <v>45419</v>
      </c>
      <c r="C564" s="14" t="s">
        <v>18</v>
      </c>
      <c r="D564" s="14" t="s">
        <v>148</v>
      </c>
      <c r="E564" s="14" t="s">
        <v>149</v>
      </c>
      <c r="F564" s="14" t="s">
        <v>607</v>
      </c>
      <c r="G564" s="15"/>
      <c r="H564" s="275"/>
      <c r="I564" s="275">
        <v>-85</v>
      </c>
    </row>
    <row r="565" spans="2:9" x14ac:dyDescent="0.2">
      <c r="B565" s="13">
        <v>45419</v>
      </c>
      <c r="C565" s="14" t="s">
        <v>18</v>
      </c>
      <c r="D565" s="14" t="s">
        <v>148</v>
      </c>
      <c r="E565" s="14" t="s">
        <v>149</v>
      </c>
      <c r="F565" s="14" t="s">
        <v>609</v>
      </c>
      <c r="G565" s="15"/>
      <c r="H565" s="275"/>
      <c r="I565" s="275">
        <f>-35</f>
        <v>-35</v>
      </c>
    </row>
    <row r="566" spans="2:9" x14ac:dyDescent="0.2">
      <c r="B566" s="13">
        <v>45419</v>
      </c>
      <c r="C566" s="14" t="s">
        <v>18</v>
      </c>
      <c r="D566" s="14" t="s">
        <v>26</v>
      </c>
      <c r="E566" s="14" t="s">
        <v>27</v>
      </c>
      <c r="F566" s="14" t="s">
        <v>608</v>
      </c>
      <c r="G566" s="15"/>
      <c r="H566" s="275"/>
      <c r="I566" s="275">
        <v>-180</v>
      </c>
    </row>
    <row r="567" spans="2:9" x14ac:dyDescent="0.2">
      <c r="B567" s="13">
        <v>45419</v>
      </c>
      <c r="C567" s="14" t="s">
        <v>18</v>
      </c>
      <c r="D567" s="14" t="s">
        <v>26</v>
      </c>
      <c r="E567" s="14" t="s">
        <v>29</v>
      </c>
      <c r="F567" s="14" t="s">
        <v>606</v>
      </c>
      <c r="G567" s="15"/>
      <c r="H567" s="275"/>
      <c r="I567" s="275">
        <v>-327</v>
      </c>
    </row>
    <row r="568" spans="2:9" x14ac:dyDescent="0.2">
      <c r="B568" s="13">
        <v>45419</v>
      </c>
      <c r="C568" s="14" t="s">
        <v>25</v>
      </c>
      <c r="D568" s="14" t="s">
        <v>31</v>
      </c>
      <c r="E568" s="14" t="s">
        <v>49</v>
      </c>
      <c r="F568" s="14" t="s">
        <v>604</v>
      </c>
      <c r="G568" s="15"/>
      <c r="H568" s="275"/>
      <c r="I568" s="275">
        <v>-24</v>
      </c>
    </row>
    <row r="569" spans="2:9" x14ac:dyDescent="0.2">
      <c r="B569" s="13">
        <v>45420</v>
      </c>
      <c r="C569" s="14" t="s">
        <v>18</v>
      </c>
      <c r="D569" s="14" t="s">
        <v>41</v>
      </c>
      <c r="E569" s="14" t="s">
        <v>45</v>
      </c>
      <c r="F569" s="14" t="s">
        <v>488</v>
      </c>
      <c r="G569" s="15"/>
      <c r="H569" s="275">
        <v>9000</v>
      </c>
      <c r="I569" s="275"/>
    </row>
    <row r="570" spans="2:9" x14ac:dyDescent="0.2">
      <c r="B570" s="13">
        <v>45420</v>
      </c>
      <c r="C570" s="14" t="s">
        <v>16</v>
      </c>
      <c r="D570" s="14" t="s">
        <v>41</v>
      </c>
      <c r="E570" s="14" t="s">
        <v>47</v>
      </c>
      <c r="F570" s="14" t="s">
        <v>610</v>
      </c>
      <c r="G570" s="15"/>
      <c r="H570" s="275">
        <v>7000</v>
      </c>
      <c r="I570" s="275"/>
    </row>
    <row r="571" spans="2:9" x14ac:dyDescent="0.2">
      <c r="B571" s="13">
        <v>45420</v>
      </c>
      <c r="C571" s="14" t="s">
        <v>24</v>
      </c>
      <c r="D571" s="14" t="s">
        <v>41</v>
      </c>
      <c r="E571" s="14" t="s">
        <v>46</v>
      </c>
      <c r="F571" s="14" t="s">
        <v>611</v>
      </c>
      <c r="G571" s="15"/>
      <c r="H571" s="275">
        <v>2383.33</v>
      </c>
      <c r="I571" s="275"/>
    </row>
    <row r="572" spans="2:9" x14ac:dyDescent="0.2">
      <c r="B572" s="13">
        <v>45420</v>
      </c>
      <c r="C572" s="14" t="s">
        <v>25</v>
      </c>
      <c r="D572" s="14" t="s">
        <v>31</v>
      </c>
      <c r="E572" s="14" t="s">
        <v>49</v>
      </c>
      <c r="F572" s="14" t="s">
        <v>78</v>
      </c>
      <c r="G572" s="15"/>
      <c r="H572" s="275"/>
      <c r="I572" s="275">
        <v>-50</v>
      </c>
    </row>
    <row r="573" spans="2:9" x14ac:dyDescent="0.2">
      <c r="B573" s="13">
        <v>45421</v>
      </c>
      <c r="C573" s="14" t="s">
        <v>18</v>
      </c>
      <c r="D573" s="14" t="s">
        <v>126</v>
      </c>
      <c r="E573" s="14" t="s">
        <v>613</v>
      </c>
      <c r="F573" s="14" t="s">
        <v>615</v>
      </c>
      <c r="G573" s="15"/>
      <c r="H573" s="275">
        <v>10000</v>
      </c>
      <c r="I573" s="275"/>
    </row>
    <row r="574" spans="2:9" x14ac:dyDescent="0.2">
      <c r="B574" s="13">
        <v>45422</v>
      </c>
      <c r="C574" s="14" t="s">
        <v>23</v>
      </c>
      <c r="D574" s="14" t="s">
        <v>14</v>
      </c>
      <c r="E574" s="14" t="s">
        <v>18</v>
      </c>
      <c r="F574" s="14" t="s">
        <v>10</v>
      </c>
      <c r="G574" s="15">
        <v>20000</v>
      </c>
      <c r="H574" s="275"/>
      <c r="I574" s="275"/>
    </row>
    <row r="575" spans="2:9" x14ac:dyDescent="0.2">
      <c r="B575" s="13">
        <v>45422</v>
      </c>
      <c r="C575" s="14" t="s">
        <v>20</v>
      </c>
      <c r="D575" s="14" t="s">
        <v>14</v>
      </c>
      <c r="E575" s="14" t="s">
        <v>20</v>
      </c>
      <c r="F575" s="14" t="s">
        <v>626</v>
      </c>
      <c r="G575" s="15"/>
      <c r="H575" s="275">
        <v>407.93</v>
      </c>
      <c r="I575" s="275"/>
    </row>
    <row r="576" spans="2:9" x14ac:dyDescent="0.2">
      <c r="B576" s="13">
        <v>45422</v>
      </c>
      <c r="C576" s="14" t="s">
        <v>18</v>
      </c>
      <c r="D576" s="14" t="s">
        <v>14</v>
      </c>
      <c r="E576" s="14" t="s">
        <v>23</v>
      </c>
      <c r="F576" s="14" t="s">
        <v>10</v>
      </c>
      <c r="G576" s="15">
        <v>-20000</v>
      </c>
      <c r="H576" s="275"/>
      <c r="I576" s="275"/>
    </row>
    <row r="577" spans="2:9" x14ac:dyDescent="0.2">
      <c r="B577" s="13">
        <v>45422</v>
      </c>
      <c r="C577" s="14" t="s">
        <v>25</v>
      </c>
      <c r="D577" s="14" t="s">
        <v>31</v>
      </c>
      <c r="E577" s="14" t="s">
        <v>49</v>
      </c>
      <c r="F577" s="14" t="s">
        <v>619</v>
      </c>
      <c r="G577" s="15"/>
      <c r="H577" s="275"/>
      <c r="I577" s="275">
        <v>-44</v>
      </c>
    </row>
    <row r="578" spans="2:9" x14ac:dyDescent="0.2">
      <c r="B578" s="13">
        <v>45422</v>
      </c>
      <c r="C578" s="14" t="s">
        <v>16</v>
      </c>
      <c r="D578" s="14" t="s">
        <v>43</v>
      </c>
      <c r="E578" s="14" t="s">
        <v>70</v>
      </c>
      <c r="F578" s="14" t="s">
        <v>488</v>
      </c>
      <c r="G578" s="15"/>
      <c r="H578" s="275"/>
      <c r="I578" s="275">
        <v>-300</v>
      </c>
    </row>
    <row r="579" spans="2:9" x14ac:dyDescent="0.2">
      <c r="B579" s="13">
        <v>45423</v>
      </c>
      <c r="C579" s="14" t="s">
        <v>18</v>
      </c>
      <c r="D579" s="14" t="s">
        <v>31</v>
      </c>
      <c r="E579" s="14" t="s">
        <v>56</v>
      </c>
      <c r="F579" s="14" t="s">
        <v>79</v>
      </c>
      <c r="G579" s="15"/>
      <c r="H579" s="275"/>
      <c r="I579" s="275">
        <v>-248</v>
      </c>
    </row>
    <row r="580" spans="2:9" x14ac:dyDescent="0.2">
      <c r="B580" s="13">
        <v>45423</v>
      </c>
      <c r="C580" s="14" t="s">
        <v>18</v>
      </c>
      <c r="D580" s="14" t="s">
        <v>31</v>
      </c>
      <c r="E580" s="14" t="s">
        <v>56</v>
      </c>
      <c r="F580" s="14" t="s">
        <v>620</v>
      </c>
      <c r="G580" s="15"/>
      <c r="H580" s="275"/>
      <c r="I580" s="275">
        <v>-48</v>
      </c>
    </row>
    <row r="581" spans="2:9" x14ac:dyDescent="0.2">
      <c r="B581" s="13">
        <v>45423</v>
      </c>
      <c r="C581" s="14" t="s">
        <v>18</v>
      </c>
      <c r="D581" s="14" t="s">
        <v>31</v>
      </c>
      <c r="E581" s="14" t="s">
        <v>56</v>
      </c>
      <c r="F581" s="14" t="s">
        <v>80</v>
      </c>
      <c r="G581" s="15"/>
      <c r="H581" s="275"/>
      <c r="I581" s="275">
        <v>-148</v>
      </c>
    </row>
    <row r="582" spans="2:9" x14ac:dyDescent="0.2">
      <c r="B582" s="13">
        <v>45423</v>
      </c>
      <c r="C582" s="14" t="s">
        <v>18</v>
      </c>
      <c r="D582" s="14" t="s">
        <v>31</v>
      </c>
      <c r="E582" s="14" t="s">
        <v>56</v>
      </c>
      <c r="F582" s="14" t="s">
        <v>621</v>
      </c>
      <c r="G582" s="15"/>
      <c r="H582" s="275"/>
      <c r="I582" s="275">
        <v>-100</v>
      </c>
    </row>
    <row r="583" spans="2:9" x14ac:dyDescent="0.2">
      <c r="B583" s="13">
        <v>45423</v>
      </c>
      <c r="C583" s="14" t="s">
        <v>18</v>
      </c>
      <c r="D583" s="14" t="s">
        <v>31</v>
      </c>
      <c r="E583" s="14" t="s">
        <v>56</v>
      </c>
      <c r="F583" s="14" t="s">
        <v>63</v>
      </c>
      <c r="G583" s="15"/>
      <c r="H583" s="275"/>
      <c r="I583" s="275">
        <v>-44</v>
      </c>
    </row>
    <row r="584" spans="2:9" x14ac:dyDescent="0.2">
      <c r="B584" s="13">
        <v>45423</v>
      </c>
      <c r="C584" s="14" t="s">
        <v>18</v>
      </c>
      <c r="D584" s="14" t="s">
        <v>31</v>
      </c>
      <c r="E584" s="14" t="s">
        <v>56</v>
      </c>
      <c r="F584" s="14" t="s">
        <v>168</v>
      </c>
      <c r="G584" s="15"/>
      <c r="H584" s="275"/>
      <c r="I584" s="275">
        <v>-25</v>
      </c>
    </row>
    <row r="585" spans="2:9" x14ac:dyDescent="0.2">
      <c r="B585" s="13">
        <v>45424</v>
      </c>
      <c r="C585" s="14" t="s">
        <v>25</v>
      </c>
      <c r="D585" s="14" t="s">
        <v>14</v>
      </c>
      <c r="E585" s="14" t="s">
        <v>18</v>
      </c>
      <c r="F585" s="14" t="s">
        <v>10</v>
      </c>
      <c r="G585" s="15">
        <f>284+20</f>
        <v>304</v>
      </c>
      <c r="H585" s="275"/>
      <c r="I585" s="275"/>
    </row>
    <row r="586" spans="2:9" x14ac:dyDescent="0.2">
      <c r="B586" s="13">
        <v>45424</v>
      </c>
      <c r="C586" s="14" t="s">
        <v>18</v>
      </c>
      <c r="D586" s="14" t="s">
        <v>14</v>
      </c>
      <c r="E586" s="14" t="s">
        <v>25</v>
      </c>
      <c r="F586" s="14" t="s">
        <v>10</v>
      </c>
      <c r="G586" s="15">
        <f>-284-20</f>
        <v>-304</v>
      </c>
      <c r="H586" s="275"/>
      <c r="I586" s="275"/>
    </row>
    <row r="587" spans="2:9" x14ac:dyDescent="0.2">
      <c r="B587" s="13">
        <v>45424</v>
      </c>
      <c r="C587" s="14" t="s">
        <v>18</v>
      </c>
      <c r="D587" s="14" t="s">
        <v>31</v>
      </c>
      <c r="E587" s="14" t="s">
        <v>56</v>
      </c>
      <c r="F587" s="14" t="s">
        <v>622</v>
      </c>
      <c r="G587" s="15"/>
      <c r="H587" s="275"/>
      <c r="I587" s="275">
        <v>-4</v>
      </c>
    </row>
    <row r="588" spans="2:9" x14ac:dyDescent="0.2">
      <c r="B588" s="13">
        <v>45424</v>
      </c>
      <c r="C588" s="14" t="s">
        <v>18</v>
      </c>
      <c r="D588" s="14" t="s">
        <v>31</v>
      </c>
      <c r="E588" s="14" t="s">
        <v>56</v>
      </c>
      <c r="F588" s="14" t="s">
        <v>623</v>
      </c>
      <c r="G588" s="15"/>
      <c r="H588" s="275"/>
      <c r="I588" s="275">
        <v>-181</v>
      </c>
    </row>
    <row r="589" spans="2:9" x14ac:dyDescent="0.2">
      <c r="B589" s="13">
        <v>45424</v>
      </c>
      <c r="C589" s="14" t="s">
        <v>18</v>
      </c>
      <c r="D589" s="14" t="s">
        <v>31</v>
      </c>
      <c r="E589" s="14" t="s">
        <v>56</v>
      </c>
      <c r="F589" s="14" t="s">
        <v>624</v>
      </c>
      <c r="G589" s="15"/>
      <c r="H589" s="275"/>
      <c r="I589" s="275">
        <v>-50</v>
      </c>
    </row>
    <row r="590" spans="2:9" x14ac:dyDescent="0.2">
      <c r="B590" s="13">
        <v>45424</v>
      </c>
      <c r="C590" s="14" t="s">
        <v>18</v>
      </c>
      <c r="D590" s="14" t="s">
        <v>31</v>
      </c>
      <c r="E590" s="14" t="s">
        <v>56</v>
      </c>
      <c r="F590" s="14" t="s">
        <v>99</v>
      </c>
      <c r="G590" s="15"/>
      <c r="H590" s="275"/>
      <c r="I590" s="275">
        <v>-78</v>
      </c>
    </row>
    <row r="591" spans="2:9" x14ac:dyDescent="0.2">
      <c r="B591" s="13">
        <v>45425</v>
      </c>
      <c r="C591" s="14" t="s">
        <v>18</v>
      </c>
      <c r="D591" s="14" t="s">
        <v>33</v>
      </c>
      <c r="E591" s="14" t="s">
        <v>34</v>
      </c>
      <c r="F591" s="14" t="s">
        <v>627</v>
      </c>
      <c r="G591" s="15"/>
      <c r="H591" s="275"/>
      <c r="I591" s="275">
        <v>-300</v>
      </c>
    </row>
    <row r="592" spans="2:9" x14ac:dyDescent="0.2">
      <c r="B592" s="13">
        <v>45425</v>
      </c>
      <c r="C592" s="14" t="s">
        <v>16</v>
      </c>
      <c r="D592" s="14" t="s">
        <v>38</v>
      </c>
      <c r="E592" s="14" t="s">
        <v>83</v>
      </c>
      <c r="F592" s="14" t="s">
        <v>588</v>
      </c>
      <c r="G592" s="15"/>
      <c r="H592" s="275"/>
      <c r="I592" s="275">
        <v>-300</v>
      </c>
    </row>
    <row r="593" spans="2:9" x14ac:dyDescent="0.2">
      <c r="B593" s="13">
        <v>45425</v>
      </c>
      <c r="C593" s="14" t="s">
        <v>18</v>
      </c>
      <c r="D593" s="14" t="s">
        <v>26</v>
      </c>
      <c r="E593" s="14" t="s">
        <v>27</v>
      </c>
      <c r="F593" s="14" t="s">
        <v>628</v>
      </c>
      <c r="G593" s="15"/>
      <c r="H593" s="275"/>
      <c r="I593" s="275">
        <f>-220</f>
        <v>-220</v>
      </c>
    </row>
    <row r="594" spans="2:9" x14ac:dyDescent="0.2">
      <c r="B594" s="13">
        <v>45425</v>
      </c>
      <c r="C594" s="14" t="s">
        <v>18</v>
      </c>
      <c r="D594" s="14" t="s">
        <v>26</v>
      </c>
      <c r="E594" s="14" t="s">
        <v>27</v>
      </c>
      <c r="F594" s="14" t="s">
        <v>629</v>
      </c>
      <c r="G594" s="15"/>
      <c r="H594" s="275"/>
      <c r="I594" s="275">
        <v>-265</v>
      </c>
    </row>
    <row r="595" spans="2:9" x14ac:dyDescent="0.2">
      <c r="B595" s="13">
        <v>45425</v>
      </c>
      <c r="C595" s="14" t="s">
        <v>18</v>
      </c>
      <c r="D595" s="14" t="s">
        <v>26</v>
      </c>
      <c r="E595" s="14" t="s">
        <v>27</v>
      </c>
      <c r="F595" s="14" t="s">
        <v>630</v>
      </c>
      <c r="G595" s="15"/>
      <c r="H595" s="275"/>
      <c r="I595" s="275">
        <v>-691</v>
      </c>
    </row>
    <row r="596" spans="2:9" x14ac:dyDescent="0.2">
      <c r="B596" s="13">
        <v>45425</v>
      </c>
      <c r="C596" s="14" t="s">
        <v>18</v>
      </c>
      <c r="D596" s="14" t="s">
        <v>26</v>
      </c>
      <c r="E596" s="14" t="s">
        <v>27</v>
      </c>
      <c r="F596" s="14" t="s">
        <v>631</v>
      </c>
      <c r="G596" s="15"/>
      <c r="H596" s="275"/>
      <c r="I596" s="275">
        <v>-199</v>
      </c>
    </row>
    <row r="597" spans="2:9" x14ac:dyDescent="0.2">
      <c r="B597" s="13">
        <v>45425</v>
      </c>
      <c r="C597" s="14" t="s">
        <v>18</v>
      </c>
      <c r="D597" s="14" t="s">
        <v>26</v>
      </c>
      <c r="E597" s="14" t="s">
        <v>27</v>
      </c>
      <c r="F597" s="14" t="s">
        <v>632</v>
      </c>
      <c r="G597" s="15"/>
      <c r="H597" s="275"/>
      <c r="I597" s="275">
        <v>-70</v>
      </c>
    </row>
    <row r="598" spans="2:9" x14ac:dyDescent="0.2">
      <c r="B598" s="13">
        <v>45425</v>
      </c>
      <c r="C598" s="14" t="s">
        <v>18</v>
      </c>
      <c r="D598" s="14" t="s">
        <v>31</v>
      </c>
      <c r="E598" s="14" t="s">
        <v>32</v>
      </c>
      <c r="F598" s="14" t="s">
        <v>625</v>
      </c>
      <c r="G598" s="15"/>
      <c r="H598" s="275"/>
      <c r="I598" s="275">
        <v>-2500</v>
      </c>
    </row>
    <row r="599" spans="2:9" x14ac:dyDescent="0.2">
      <c r="B599" s="13">
        <v>45426</v>
      </c>
      <c r="C599" s="14" t="s">
        <v>18</v>
      </c>
      <c r="D599" s="14" t="s">
        <v>43</v>
      </c>
      <c r="E599" s="14" t="s">
        <v>72</v>
      </c>
      <c r="F599" s="14" t="s">
        <v>588</v>
      </c>
      <c r="G599" s="15"/>
      <c r="H599" s="275"/>
      <c r="I599" s="275">
        <v>-135</v>
      </c>
    </row>
    <row r="600" spans="2:9" x14ac:dyDescent="0.2">
      <c r="B600" s="13">
        <v>45426</v>
      </c>
      <c r="C600" s="14" t="s">
        <v>18</v>
      </c>
      <c r="D600" s="14" t="s">
        <v>43</v>
      </c>
      <c r="E600" s="14" t="s">
        <v>73</v>
      </c>
      <c r="F600" s="14" t="s">
        <v>588</v>
      </c>
      <c r="G600" s="15"/>
      <c r="H600" s="275"/>
      <c r="I600" s="275">
        <v>-1600</v>
      </c>
    </row>
    <row r="601" spans="2:9" x14ac:dyDescent="0.2">
      <c r="B601" s="13">
        <v>45427</v>
      </c>
      <c r="C601" s="14" t="s">
        <v>25</v>
      </c>
      <c r="D601" s="14" t="s">
        <v>126</v>
      </c>
      <c r="E601" s="14" t="s">
        <v>612</v>
      </c>
      <c r="F601" s="14" t="s">
        <v>633</v>
      </c>
      <c r="G601" s="15"/>
      <c r="H601" s="275"/>
      <c r="I601" s="275">
        <v>-41</v>
      </c>
    </row>
    <row r="602" spans="2:9" x14ac:dyDescent="0.2">
      <c r="B602" s="13">
        <v>45427</v>
      </c>
      <c r="C602" s="14" t="s">
        <v>25</v>
      </c>
      <c r="D602" s="14" t="s">
        <v>148</v>
      </c>
      <c r="E602" s="14" t="s">
        <v>190</v>
      </c>
      <c r="F602" s="14" t="s">
        <v>634</v>
      </c>
      <c r="G602" s="15"/>
      <c r="H602" s="275"/>
      <c r="I602" s="275">
        <v>-70</v>
      </c>
    </row>
    <row r="603" spans="2:9" x14ac:dyDescent="0.2">
      <c r="B603" s="13">
        <v>45427</v>
      </c>
      <c r="C603" s="14" t="s">
        <v>16</v>
      </c>
      <c r="D603" s="14" t="s">
        <v>41</v>
      </c>
      <c r="E603" s="14" t="s">
        <v>47</v>
      </c>
      <c r="F603" s="14" t="s">
        <v>636</v>
      </c>
      <c r="G603" s="15"/>
      <c r="H603" s="275">
        <v>7000</v>
      </c>
      <c r="I603" s="275"/>
    </row>
    <row r="604" spans="2:9" x14ac:dyDescent="0.2">
      <c r="B604" s="13">
        <v>45427</v>
      </c>
      <c r="C604" s="14" t="s">
        <v>25</v>
      </c>
      <c r="D604" s="14" t="s">
        <v>31</v>
      </c>
      <c r="E604" s="14" t="s">
        <v>49</v>
      </c>
      <c r="F604" s="14" t="s">
        <v>104</v>
      </c>
      <c r="G604" s="15"/>
      <c r="H604" s="275"/>
      <c r="I604" s="275">
        <v>-40</v>
      </c>
    </row>
    <row r="605" spans="2:9" x14ac:dyDescent="0.2">
      <c r="B605" s="13">
        <v>45427</v>
      </c>
      <c r="C605" s="14" t="s">
        <v>25</v>
      </c>
      <c r="D605" s="14" t="s">
        <v>31</v>
      </c>
      <c r="E605" s="14" t="s">
        <v>49</v>
      </c>
      <c r="F605" s="14" t="s">
        <v>547</v>
      </c>
      <c r="G605" s="15"/>
      <c r="H605" s="275"/>
      <c r="I605" s="275">
        <v>-45</v>
      </c>
    </row>
    <row r="606" spans="2:9" x14ac:dyDescent="0.2">
      <c r="B606" s="13">
        <v>45427</v>
      </c>
      <c r="C606" s="14" t="s">
        <v>25</v>
      </c>
      <c r="D606" s="14" t="s">
        <v>31</v>
      </c>
      <c r="E606" s="14" t="s">
        <v>49</v>
      </c>
      <c r="F606" s="14" t="s">
        <v>635</v>
      </c>
      <c r="G606" s="15"/>
      <c r="H606" s="275"/>
      <c r="I606" s="275">
        <v>-17</v>
      </c>
    </row>
    <row r="607" spans="2:9" x14ac:dyDescent="0.2">
      <c r="B607" s="13">
        <v>45427</v>
      </c>
      <c r="C607" s="14" t="s">
        <v>16</v>
      </c>
      <c r="D607" s="14" t="s">
        <v>43</v>
      </c>
      <c r="E607" s="14" t="s">
        <v>86</v>
      </c>
      <c r="F607" s="14" t="s">
        <v>588</v>
      </c>
      <c r="G607" s="15"/>
      <c r="H607" s="275"/>
      <c r="I607" s="275">
        <v>-285</v>
      </c>
    </row>
    <row r="608" spans="2:9" x14ac:dyDescent="0.2">
      <c r="B608" s="13">
        <v>45428</v>
      </c>
      <c r="C608" s="14" t="s">
        <v>16</v>
      </c>
      <c r="D608" s="14" t="s">
        <v>38</v>
      </c>
      <c r="E608" s="14" t="s">
        <v>87</v>
      </c>
      <c r="F608" s="14" t="s">
        <v>588</v>
      </c>
      <c r="G608" s="15"/>
      <c r="H608" s="275"/>
      <c r="I608" s="275">
        <v>-719</v>
      </c>
    </row>
    <row r="609" spans="2:9" x14ac:dyDescent="0.2">
      <c r="B609" s="13">
        <v>45429</v>
      </c>
      <c r="C609" s="14" t="s">
        <v>24</v>
      </c>
      <c r="D609" s="14" t="s">
        <v>14</v>
      </c>
      <c r="E609" s="14" t="s">
        <v>18</v>
      </c>
      <c r="F609" s="14" t="s">
        <v>10</v>
      </c>
      <c r="G609" s="15">
        <v>-5000</v>
      </c>
      <c r="H609" s="275"/>
      <c r="I609" s="275"/>
    </row>
    <row r="610" spans="2:9" x14ac:dyDescent="0.2">
      <c r="B610" s="13">
        <v>45429</v>
      </c>
      <c r="C610" s="14" t="s">
        <v>18</v>
      </c>
      <c r="D610" s="14" t="s">
        <v>14</v>
      </c>
      <c r="E610" s="14" t="s">
        <v>24</v>
      </c>
      <c r="F610" s="14" t="s">
        <v>10</v>
      </c>
      <c r="G610" s="15">
        <v>5000</v>
      </c>
      <c r="H610" s="275"/>
      <c r="I610" s="275"/>
    </row>
    <row r="611" spans="2:9" x14ac:dyDescent="0.2">
      <c r="B611" s="13">
        <v>45430</v>
      </c>
      <c r="C611" s="14" t="s">
        <v>18</v>
      </c>
      <c r="D611" s="14" t="s">
        <v>31</v>
      </c>
      <c r="E611" s="14" t="s">
        <v>56</v>
      </c>
      <c r="F611" s="14" t="s">
        <v>80</v>
      </c>
      <c r="G611" s="15"/>
      <c r="H611" s="275"/>
      <c r="I611" s="275">
        <v>-148</v>
      </c>
    </row>
    <row r="612" spans="2:9" x14ac:dyDescent="0.2">
      <c r="B612" s="13">
        <v>45430</v>
      </c>
      <c r="C612" s="14" t="s">
        <v>18</v>
      </c>
      <c r="D612" s="14" t="s">
        <v>31</v>
      </c>
      <c r="E612" s="14" t="s">
        <v>56</v>
      </c>
      <c r="F612" s="14" t="s">
        <v>168</v>
      </c>
      <c r="G612" s="15"/>
      <c r="H612" s="275"/>
      <c r="I612" s="275">
        <v>-25</v>
      </c>
    </row>
    <row r="613" spans="2:9" x14ac:dyDescent="0.2">
      <c r="B613" s="13">
        <v>45430</v>
      </c>
      <c r="C613" s="14" t="s">
        <v>18</v>
      </c>
      <c r="D613" s="14" t="s">
        <v>31</v>
      </c>
      <c r="E613" s="14" t="s">
        <v>56</v>
      </c>
      <c r="F613" s="14" t="s">
        <v>644</v>
      </c>
      <c r="G613" s="15"/>
      <c r="H613" s="275"/>
      <c r="I613" s="275">
        <v>-15</v>
      </c>
    </row>
    <row r="614" spans="2:9" x14ac:dyDescent="0.2">
      <c r="B614" s="13">
        <v>45431</v>
      </c>
      <c r="C614" s="14" t="s">
        <v>25</v>
      </c>
      <c r="D614" s="14" t="s">
        <v>14</v>
      </c>
      <c r="E614" s="14" t="s">
        <v>18</v>
      </c>
      <c r="F614" s="14" t="s">
        <v>10</v>
      </c>
      <c r="G614" s="15">
        <v>-521</v>
      </c>
      <c r="H614" s="275"/>
      <c r="I614" s="275"/>
    </row>
    <row r="615" spans="2:9" x14ac:dyDescent="0.2">
      <c r="B615" s="13">
        <v>45431</v>
      </c>
      <c r="C615" s="14" t="s">
        <v>18</v>
      </c>
      <c r="D615" s="14" t="s">
        <v>14</v>
      </c>
      <c r="E615" s="14" t="s">
        <v>25</v>
      </c>
      <c r="F615" s="14" t="s">
        <v>10</v>
      </c>
      <c r="G615" s="15">
        <v>521</v>
      </c>
      <c r="H615" s="275"/>
      <c r="I615" s="275"/>
    </row>
    <row r="616" spans="2:9" x14ac:dyDescent="0.2">
      <c r="B616" s="13">
        <v>45431</v>
      </c>
      <c r="C616" s="14" t="s">
        <v>18</v>
      </c>
      <c r="D616" s="14" t="s">
        <v>148</v>
      </c>
      <c r="E616" s="14" t="s">
        <v>149</v>
      </c>
      <c r="F616" s="14" t="s">
        <v>641</v>
      </c>
      <c r="G616" s="15"/>
      <c r="H616" s="275"/>
      <c r="I616" s="275">
        <v>-150</v>
      </c>
    </row>
    <row r="617" spans="2:9" x14ac:dyDescent="0.2">
      <c r="B617" s="13">
        <v>45431</v>
      </c>
      <c r="C617" s="14" t="s">
        <v>18</v>
      </c>
      <c r="D617" s="14" t="s">
        <v>148</v>
      </c>
      <c r="E617" s="14" t="s">
        <v>149</v>
      </c>
      <c r="F617" s="14" t="s">
        <v>642</v>
      </c>
      <c r="G617" s="15"/>
      <c r="H617" s="275"/>
      <c r="I617" s="275">
        <v>-300</v>
      </c>
    </row>
    <row r="618" spans="2:9" x14ac:dyDescent="0.2">
      <c r="B618" s="13">
        <v>45431</v>
      </c>
      <c r="C618" s="14" t="s">
        <v>18</v>
      </c>
      <c r="D618" s="14" t="s">
        <v>41</v>
      </c>
      <c r="E618" s="14" t="s">
        <v>42</v>
      </c>
      <c r="F618" s="14" t="s">
        <v>643</v>
      </c>
      <c r="G618" s="15"/>
      <c r="H618" s="275">
        <v>250</v>
      </c>
      <c r="I618" s="275"/>
    </row>
    <row r="619" spans="2:9" x14ac:dyDescent="0.2">
      <c r="B619" s="13">
        <v>45431</v>
      </c>
      <c r="C619" s="14" t="s">
        <v>18</v>
      </c>
      <c r="D619" s="14" t="s">
        <v>31</v>
      </c>
      <c r="E619" s="14" t="s">
        <v>56</v>
      </c>
      <c r="F619" s="14" t="s">
        <v>99</v>
      </c>
      <c r="G619" s="15"/>
      <c r="H619" s="275"/>
      <c r="I619" s="275">
        <v>-193</v>
      </c>
    </row>
    <row r="620" spans="2:9" x14ac:dyDescent="0.2">
      <c r="B620" s="13">
        <v>45432</v>
      </c>
      <c r="C620" s="14" t="s">
        <v>23</v>
      </c>
      <c r="D620" s="14" t="s">
        <v>14</v>
      </c>
      <c r="E620" s="14" t="s">
        <v>18</v>
      </c>
      <c r="F620" s="14" t="s">
        <v>10</v>
      </c>
      <c r="G620" s="15">
        <v>15000</v>
      </c>
      <c r="H620" s="275"/>
      <c r="I620" s="275"/>
    </row>
    <row r="621" spans="2:9" x14ac:dyDescent="0.2">
      <c r="B621" s="13">
        <v>45432</v>
      </c>
      <c r="C621" s="14" t="s">
        <v>18</v>
      </c>
      <c r="D621" s="14" t="s">
        <v>14</v>
      </c>
      <c r="E621" s="14" t="s">
        <v>23</v>
      </c>
      <c r="F621" s="14" t="s">
        <v>10</v>
      </c>
      <c r="G621" s="15">
        <v>-15000</v>
      </c>
      <c r="H621" s="275"/>
      <c r="I621" s="275"/>
    </row>
    <row r="622" spans="2:9" x14ac:dyDescent="0.2">
      <c r="B622" s="13">
        <v>45432</v>
      </c>
      <c r="C622" s="14" t="s">
        <v>25</v>
      </c>
      <c r="D622" s="14" t="s">
        <v>185</v>
      </c>
      <c r="E622" s="14" t="s">
        <v>188</v>
      </c>
      <c r="F622" s="14" t="s">
        <v>638</v>
      </c>
      <c r="G622" s="15"/>
      <c r="H622" s="275"/>
      <c r="I622" s="275">
        <v>-179</v>
      </c>
    </row>
    <row r="623" spans="2:9" x14ac:dyDescent="0.2">
      <c r="B623" s="13">
        <v>45432</v>
      </c>
      <c r="C623" s="14" t="s">
        <v>18</v>
      </c>
      <c r="D623" s="14" t="s">
        <v>126</v>
      </c>
      <c r="E623" s="14" t="s">
        <v>614</v>
      </c>
      <c r="F623" s="14" t="s">
        <v>639</v>
      </c>
      <c r="G623" s="15"/>
      <c r="H623" s="275"/>
      <c r="I623" s="275">
        <f>-100</f>
        <v>-100</v>
      </c>
    </row>
    <row r="624" spans="2:9" x14ac:dyDescent="0.2">
      <c r="B624" s="13">
        <v>45432</v>
      </c>
      <c r="C624" s="14" t="s">
        <v>16</v>
      </c>
      <c r="D624" s="14" t="s">
        <v>38</v>
      </c>
      <c r="E624" s="14" t="s">
        <v>159</v>
      </c>
      <c r="F624" s="14" t="s">
        <v>462</v>
      </c>
      <c r="G624" s="15"/>
      <c r="H624" s="275"/>
      <c r="I624" s="275">
        <v>-3570</v>
      </c>
    </row>
    <row r="625" spans="2:9" x14ac:dyDescent="0.2">
      <c r="B625" s="13">
        <v>45432</v>
      </c>
      <c r="C625" s="14" t="s">
        <v>18</v>
      </c>
      <c r="D625" s="14" t="s">
        <v>26</v>
      </c>
      <c r="E625" s="14" t="s">
        <v>29</v>
      </c>
      <c r="F625" s="14" t="s">
        <v>534</v>
      </c>
      <c r="G625" s="15"/>
      <c r="H625" s="275"/>
      <c r="I625" s="275">
        <v>-1300</v>
      </c>
    </row>
    <row r="626" spans="2:9" x14ac:dyDescent="0.2">
      <c r="B626" s="13">
        <v>45432</v>
      </c>
      <c r="C626" s="14" t="s">
        <v>16</v>
      </c>
      <c r="D626" s="14" t="s">
        <v>26</v>
      </c>
      <c r="E626" s="14" t="s">
        <v>29</v>
      </c>
      <c r="F626" s="14" t="s">
        <v>540</v>
      </c>
      <c r="G626" s="15"/>
      <c r="H626" s="275">
        <v>1300</v>
      </c>
      <c r="I626" s="275"/>
    </row>
    <row r="627" spans="2:9" x14ac:dyDescent="0.2">
      <c r="B627" s="13">
        <v>45432</v>
      </c>
      <c r="C627" s="14" t="s">
        <v>18</v>
      </c>
      <c r="D627" s="14" t="s">
        <v>31</v>
      </c>
      <c r="E627" s="14" t="s">
        <v>32</v>
      </c>
      <c r="F627" s="14" t="s">
        <v>640</v>
      </c>
      <c r="G627" s="15"/>
      <c r="H627" s="275"/>
      <c r="I627" s="275">
        <v>-2500</v>
      </c>
    </row>
    <row r="628" spans="2:9" x14ac:dyDescent="0.2">
      <c r="B628" s="13">
        <v>45433</v>
      </c>
      <c r="C628" s="14" t="s">
        <v>18</v>
      </c>
      <c r="D628" s="14" t="s">
        <v>38</v>
      </c>
      <c r="E628" s="14" t="s">
        <v>159</v>
      </c>
      <c r="F628" s="14" t="s">
        <v>647</v>
      </c>
      <c r="G628" s="15"/>
      <c r="H628" s="275">
        <v>3570</v>
      </c>
      <c r="I628" s="275"/>
    </row>
    <row r="629" spans="2:9" x14ac:dyDescent="0.2">
      <c r="B629" s="13">
        <v>45433</v>
      </c>
      <c r="C629" s="14" t="s">
        <v>16</v>
      </c>
      <c r="D629" s="14" t="s">
        <v>26</v>
      </c>
      <c r="E629" s="14" t="s">
        <v>29</v>
      </c>
      <c r="F629" s="14" t="s">
        <v>646</v>
      </c>
      <c r="G629" s="15"/>
      <c r="H629" s="275"/>
      <c r="I629" s="275">
        <v>-4800</v>
      </c>
    </row>
    <row r="630" spans="2:9" x14ac:dyDescent="0.2">
      <c r="B630" s="13">
        <v>45434</v>
      </c>
      <c r="C630" s="14" t="s">
        <v>662</v>
      </c>
      <c r="D630" s="14" t="s">
        <v>14</v>
      </c>
      <c r="E630" s="14" t="s">
        <v>16</v>
      </c>
      <c r="F630" s="14" t="s">
        <v>663</v>
      </c>
      <c r="G630" s="15">
        <v>10000</v>
      </c>
      <c r="H630" s="275"/>
      <c r="I630" s="275"/>
    </row>
    <row r="631" spans="2:9" x14ac:dyDescent="0.2">
      <c r="B631" s="13">
        <v>45434</v>
      </c>
      <c r="C631" s="14" t="s">
        <v>16</v>
      </c>
      <c r="D631" s="14" t="s">
        <v>14</v>
      </c>
      <c r="E631" s="14" t="s">
        <v>662</v>
      </c>
      <c r="F631" s="14" t="s">
        <v>663</v>
      </c>
      <c r="G631" s="15">
        <v>-10000</v>
      </c>
      <c r="H631" s="275"/>
      <c r="I631" s="275"/>
    </row>
    <row r="632" spans="2:9" x14ac:dyDescent="0.2">
      <c r="B632" s="13">
        <v>45434</v>
      </c>
      <c r="C632" s="14" t="s">
        <v>18</v>
      </c>
      <c r="D632" s="14" t="s">
        <v>126</v>
      </c>
      <c r="E632" s="14" t="s">
        <v>612</v>
      </c>
      <c r="F632" s="14" t="s">
        <v>650</v>
      </c>
      <c r="G632" s="15"/>
      <c r="H632" s="275"/>
      <c r="I632" s="275">
        <v>-235</v>
      </c>
    </row>
    <row r="633" spans="2:9" x14ac:dyDescent="0.2">
      <c r="B633" s="13">
        <v>45434</v>
      </c>
      <c r="C633" s="14" t="s">
        <v>25</v>
      </c>
      <c r="D633" s="14" t="s">
        <v>31</v>
      </c>
      <c r="E633" s="14" t="s">
        <v>49</v>
      </c>
      <c r="F633" s="14" t="s">
        <v>104</v>
      </c>
      <c r="G633" s="15"/>
      <c r="H633" s="275"/>
      <c r="I633" s="275">
        <v>-40</v>
      </c>
    </row>
    <row r="634" spans="2:9" x14ac:dyDescent="0.2">
      <c r="B634" s="13">
        <v>45434</v>
      </c>
      <c r="C634" s="14" t="s">
        <v>25</v>
      </c>
      <c r="D634" s="14" t="s">
        <v>31</v>
      </c>
      <c r="E634" s="14" t="s">
        <v>49</v>
      </c>
      <c r="F634" s="14" t="s">
        <v>664</v>
      </c>
      <c r="G634" s="15"/>
      <c r="H634" s="275"/>
      <c r="I634" s="275">
        <v>-2</v>
      </c>
    </row>
    <row r="635" spans="2:9" x14ac:dyDescent="0.2">
      <c r="B635" s="13">
        <v>45435</v>
      </c>
      <c r="C635" s="14" t="s">
        <v>16</v>
      </c>
      <c r="D635" s="14" t="s">
        <v>41</v>
      </c>
      <c r="E635" s="14" t="s">
        <v>47</v>
      </c>
      <c r="F635" s="14" t="s">
        <v>661</v>
      </c>
      <c r="G635" s="15"/>
      <c r="H635" s="275">
        <v>7000</v>
      </c>
      <c r="I635" s="275"/>
    </row>
    <row r="636" spans="2:9" x14ac:dyDescent="0.2">
      <c r="B636" s="13">
        <v>45436</v>
      </c>
      <c r="C636" s="14" t="s">
        <v>24</v>
      </c>
      <c r="D636" s="14" t="s">
        <v>14</v>
      </c>
      <c r="E636" s="14" t="s">
        <v>18</v>
      </c>
      <c r="F636" s="14" t="s">
        <v>10</v>
      </c>
      <c r="G636" s="15">
        <v>-9000</v>
      </c>
      <c r="H636" s="275"/>
      <c r="I636" s="275"/>
    </row>
    <row r="637" spans="2:9" x14ac:dyDescent="0.2">
      <c r="B637" s="13">
        <v>45436</v>
      </c>
      <c r="C637" s="14" t="s">
        <v>18</v>
      </c>
      <c r="D637" s="14" t="s">
        <v>14</v>
      </c>
      <c r="E637" s="14" t="s">
        <v>24</v>
      </c>
      <c r="F637" s="14" t="s">
        <v>10</v>
      </c>
      <c r="G637" s="15">
        <v>9000</v>
      </c>
      <c r="H637" s="275"/>
      <c r="I637" s="275"/>
    </row>
    <row r="638" spans="2:9" x14ac:dyDescent="0.2">
      <c r="B638" s="13">
        <v>45436</v>
      </c>
      <c r="C638" s="14" t="s">
        <v>16</v>
      </c>
      <c r="D638" s="14" t="s">
        <v>38</v>
      </c>
      <c r="E638" s="14" t="s">
        <v>113</v>
      </c>
      <c r="F638" s="14" t="s">
        <v>588</v>
      </c>
      <c r="G638" s="15"/>
      <c r="H638" s="275"/>
      <c r="I638" s="275">
        <v>-682</v>
      </c>
    </row>
    <row r="639" spans="2:9" x14ac:dyDescent="0.2">
      <c r="B639" s="13">
        <v>45436</v>
      </c>
      <c r="C639" s="14" t="s">
        <v>18</v>
      </c>
      <c r="D639" s="14" t="s">
        <v>31</v>
      </c>
      <c r="E639" s="14" t="s">
        <v>56</v>
      </c>
      <c r="F639" s="14" t="s">
        <v>666</v>
      </c>
      <c r="G639" s="15"/>
      <c r="H639" s="275"/>
      <c r="I639" s="275">
        <v>-70</v>
      </c>
    </row>
    <row r="640" spans="2:9" x14ac:dyDescent="0.2">
      <c r="B640" s="13">
        <v>45436</v>
      </c>
      <c r="C640" s="14" t="s">
        <v>18</v>
      </c>
      <c r="D640" s="14" t="s">
        <v>31</v>
      </c>
      <c r="E640" s="14" t="s">
        <v>56</v>
      </c>
      <c r="F640" s="14" t="s">
        <v>80</v>
      </c>
      <c r="G640" s="15"/>
      <c r="H640" s="275"/>
      <c r="I640" s="275">
        <v>-345</v>
      </c>
    </row>
    <row r="641" spans="2:9" x14ac:dyDescent="0.2">
      <c r="B641" s="13">
        <v>45436</v>
      </c>
      <c r="C641" s="14" t="s">
        <v>18</v>
      </c>
      <c r="D641" s="14" t="s">
        <v>31</v>
      </c>
      <c r="E641" s="14" t="s">
        <v>56</v>
      </c>
      <c r="F641" s="14" t="s">
        <v>667</v>
      </c>
      <c r="G641" s="15"/>
      <c r="H641" s="275"/>
      <c r="I641" s="275">
        <f>-157-39</f>
        <v>-196</v>
      </c>
    </row>
    <row r="642" spans="2:9" x14ac:dyDescent="0.2">
      <c r="B642" s="13">
        <v>45436</v>
      </c>
      <c r="C642" s="14" t="s">
        <v>18</v>
      </c>
      <c r="D642" s="14" t="s">
        <v>31</v>
      </c>
      <c r="E642" s="14" t="s">
        <v>56</v>
      </c>
      <c r="F642" s="14" t="s">
        <v>668</v>
      </c>
      <c r="G642" s="15"/>
      <c r="H642" s="275"/>
      <c r="I642" s="275">
        <f>-11-71</f>
        <v>-82</v>
      </c>
    </row>
    <row r="643" spans="2:9" x14ac:dyDescent="0.2">
      <c r="B643" s="13">
        <v>45438</v>
      </c>
      <c r="C643" s="14" t="s">
        <v>18</v>
      </c>
      <c r="D643" s="14" t="s">
        <v>31</v>
      </c>
      <c r="E643" s="14" t="s">
        <v>56</v>
      </c>
      <c r="F643" s="14" t="s">
        <v>666</v>
      </c>
      <c r="G643" s="15"/>
      <c r="H643" s="275"/>
      <c r="I643" s="275">
        <v>-70</v>
      </c>
    </row>
    <row r="644" spans="2:9" x14ac:dyDescent="0.2">
      <c r="B644" s="13">
        <v>45438</v>
      </c>
      <c r="C644" s="14" t="s">
        <v>18</v>
      </c>
      <c r="D644" s="14" t="s">
        <v>31</v>
      </c>
      <c r="E644" s="14" t="s">
        <v>56</v>
      </c>
      <c r="F644" s="14" t="s">
        <v>669</v>
      </c>
      <c r="G644" s="15"/>
      <c r="H644" s="275"/>
      <c r="I644" s="275">
        <v>-100</v>
      </c>
    </row>
    <row r="645" spans="2:9" x14ac:dyDescent="0.2">
      <c r="B645" s="13">
        <v>45438</v>
      </c>
      <c r="C645" s="14" t="s">
        <v>18</v>
      </c>
      <c r="D645" s="14" t="s">
        <v>31</v>
      </c>
      <c r="E645" s="14" t="s">
        <v>56</v>
      </c>
      <c r="F645" s="14" t="s">
        <v>670</v>
      </c>
      <c r="G645" s="15"/>
      <c r="H645" s="275"/>
      <c r="I645" s="275">
        <v>-25</v>
      </c>
    </row>
    <row r="646" spans="2:9" x14ac:dyDescent="0.2">
      <c r="B646" s="13">
        <v>45438</v>
      </c>
      <c r="C646" s="14" t="s">
        <v>18</v>
      </c>
      <c r="D646" s="14" t="s">
        <v>31</v>
      </c>
      <c r="E646" s="14" t="s">
        <v>56</v>
      </c>
      <c r="F646" s="14" t="s">
        <v>671</v>
      </c>
      <c r="G646" s="15"/>
      <c r="H646" s="275"/>
      <c r="I646" s="275">
        <v>-15</v>
      </c>
    </row>
    <row r="647" spans="2:9" x14ac:dyDescent="0.2">
      <c r="B647" s="13">
        <v>45438</v>
      </c>
      <c r="C647" s="14" t="s">
        <v>18</v>
      </c>
      <c r="D647" s="14" t="s">
        <v>31</v>
      </c>
      <c r="E647" s="14" t="s">
        <v>56</v>
      </c>
      <c r="F647" s="14" t="s">
        <v>672</v>
      </c>
      <c r="G647" s="15"/>
      <c r="H647" s="275"/>
      <c r="I647" s="275">
        <v>-35</v>
      </c>
    </row>
    <row r="648" spans="2:9" x14ac:dyDescent="0.2">
      <c r="B648" s="13">
        <v>45439</v>
      </c>
      <c r="C648" s="14" t="s">
        <v>25</v>
      </c>
      <c r="D648" s="14" t="s">
        <v>14</v>
      </c>
      <c r="E648" s="14" t="s">
        <v>18</v>
      </c>
      <c r="F648" s="14" t="s">
        <v>10</v>
      </c>
      <c r="G648" s="15">
        <v>657</v>
      </c>
      <c r="H648" s="275"/>
      <c r="I648" s="275"/>
    </row>
    <row r="649" spans="2:9" x14ac:dyDescent="0.2">
      <c r="B649" s="13">
        <v>45439</v>
      </c>
      <c r="C649" s="14" t="s">
        <v>18</v>
      </c>
      <c r="D649" s="14" t="s">
        <v>14</v>
      </c>
      <c r="E649" s="14" t="s">
        <v>25</v>
      </c>
      <c r="F649" s="14" t="s">
        <v>10</v>
      </c>
      <c r="G649" s="15">
        <v>-657</v>
      </c>
      <c r="H649" s="275"/>
      <c r="I649" s="275"/>
    </row>
    <row r="650" spans="2:9" x14ac:dyDescent="0.2">
      <c r="B650" s="13">
        <v>45439</v>
      </c>
      <c r="C650" s="14" t="s">
        <v>16</v>
      </c>
      <c r="D650" s="14" t="s">
        <v>38</v>
      </c>
      <c r="E650" s="14" t="s">
        <v>210</v>
      </c>
      <c r="F650" s="14" t="s">
        <v>673</v>
      </c>
      <c r="G650" s="15"/>
      <c r="H650" s="275"/>
      <c r="I650" s="275">
        <v>-500</v>
      </c>
    </row>
    <row r="651" spans="2:9" x14ac:dyDescent="0.2">
      <c r="B651" s="13">
        <v>45439</v>
      </c>
      <c r="C651" s="14" t="s">
        <v>18</v>
      </c>
      <c r="D651" s="14" t="s">
        <v>31</v>
      </c>
      <c r="E651" s="14" t="s">
        <v>32</v>
      </c>
      <c r="F651" s="14" t="s">
        <v>665</v>
      </c>
      <c r="G651" s="15"/>
      <c r="H651" s="275"/>
      <c r="I651" s="275">
        <v>-2500</v>
      </c>
    </row>
    <row r="652" spans="2:9" x14ac:dyDescent="0.2">
      <c r="B652" s="13">
        <v>45439</v>
      </c>
      <c r="C652" s="14" t="s">
        <v>25</v>
      </c>
      <c r="D652" s="14" t="s">
        <v>31</v>
      </c>
      <c r="E652" s="14" t="s">
        <v>49</v>
      </c>
      <c r="F652" s="14" t="s">
        <v>468</v>
      </c>
      <c r="G652" s="15"/>
      <c r="H652" s="275"/>
      <c r="I652" s="275">
        <v>-58</v>
      </c>
    </row>
    <row r="653" spans="2:9" x14ac:dyDescent="0.2">
      <c r="B653" s="13">
        <v>45441</v>
      </c>
      <c r="C653" s="14" t="s">
        <v>16</v>
      </c>
      <c r="D653" s="14" t="s">
        <v>41</v>
      </c>
      <c r="E653" s="14" t="s">
        <v>47</v>
      </c>
      <c r="F653" s="14" t="s">
        <v>674</v>
      </c>
      <c r="G653" s="15"/>
      <c r="H653" s="275">
        <v>7000</v>
      </c>
      <c r="I653" s="275"/>
    </row>
    <row r="654" spans="2:9" x14ac:dyDescent="0.2">
      <c r="B654" s="13">
        <v>45441</v>
      </c>
      <c r="C654" s="14" t="s">
        <v>25</v>
      </c>
      <c r="D654" s="14" t="s">
        <v>31</v>
      </c>
      <c r="E654" s="14" t="s">
        <v>49</v>
      </c>
      <c r="F654" s="14" t="s">
        <v>547</v>
      </c>
      <c r="G654" s="15"/>
      <c r="H654" s="275"/>
      <c r="I654" s="275">
        <v>-50</v>
      </c>
    </row>
    <row r="655" spans="2:9" x14ac:dyDescent="0.2">
      <c r="B655" s="13">
        <v>45441</v>
      </c>
      <c r="C655" s="14" t="s">
        <v>25</v>
      </c>
      <c r="D655" s="14" t="s">
        <v>31</v>
      </c>
      <c r="E655" s="14" t="s">
        <v>49</v>
      </c>
      <c r="F655" s="14" t="s">
        <v>675</v>
      </c>
      <c r="G655" s="15"/>
      <c r="H655" s="275"/>
      <c r="I655" s="275">
        <v>-30</v>
      </c>
    </row>
    <row r="656" spans="2:9" x14ac:dyDescent="0.2">
      <c r="B656" s="13">
        <v>45442</v>
      </c>
      <c r="C656" s="14" t="s">
        <v>24</v>
      </c>
      <c r="D656" s="14" t="s">
        <v>14</v>
      </c>
      <c r="E656" s="14" t="s">
        <v>21</v>
      </c>
      <c r="F656" s="14" t="s">
        <v>590</v>
      </c>
      <c r="G656" s="15">
        <v>70000</v>
      </c>
      <c r="H656" s="275"/>
      <c r="I656" s="275"/>
    </row>
    <row r="657" spans="2:9" x14ac:dyDescent="0.2">
      <c r="B657" s="13">
        <v>45442</v>
      </c>
      <c r="C657" s="14" t="s">
        <v>21</v>
      </c>
      <c r="D657" s="14" t="s">
        <v>14</v>
      </c>
      <c r="E657" s="14" t="s">
        <v>24</v>
      </c>
      <c r="F657" s="14" t="s">
        <v>590</v>
      </c>
      <c r="G657" s="15">
        <v>-70000</v>
      </c>
      <c r="H657" s="275"/>
      <c r="I657" s="275"/>
    </row>
    <row r="658" spans="2:9" x14ac:dyDescent="0.2">
      <c r="B658" s="13">
        <v>45442</v>
      </c>
      <c r="C658" s="14" t="s">
        <v>24</v>
      </c>
      <c r="D658" s="14" t="s">
        <v>14</v>
      </c>
      <c r="E658" s="14" t="s">
        <v>24</v>
      </c>
      <c r="F658" s="14" t="s">
        <v>440</v>
      </c>
      <c r="G658" s="15"/>
      <c r="H658" s="275">
        <v>208.66</v>
      </c>
      <c r="I658" s="275"/>
    </row>
    <row r="659" spans="2:9" x14ac:dyDescent="0.2">
      <c r="B659" s="13">
        <v>45442</v>
      </c>
      <c r="C659" s="14" t="s">
        <v>24</v>
      </c>
      <c r="D659" s="14" t="s">
        <v>14</v>
      </c>
      <c r="E659" s="14" t="s">
        <v>24</v>
      </c>
      <c r="F659" s="14" t="s">
        <v>676</v>
      </c>
      <c r="G659" s="15"/>
      <c r="H659" s="275"/>
      <c r="I659" s="275">
        <v>-26.77</v>
      </c>
    </row>
    <row r="660" spans="2:9" x14ac:dyDescent="0.2">
      <c r="B660" s="13">
        <v>45443</v>
      </c>
      <c r="C660" s="14" t="s">
        <v>24</v>
      </c>
      <c r="D660" s="14" t="s">
        <v>14</v>
      </c>
      <c r="E660" s="14" t="s">
        <v>18</v>
      </c>
      <c r="F660" s="14" t="s">
        <v>10</v>
      </c>
      <c r="G660" s="15">
        <v>-9000</v>
      </c>
      <c r="H660" s="275"/>
      <c r="I660" s="275"/>
    </row>
    <row r="661" spans="2:9" x14ac:dyDescent="0.2">
      <c r="B661" s="13">
        <v>45443</v>
      </c>
      <c r="C661" s="14" t="s">
        <v>18</v>
      </c>
      <c r="D661" s="14" t="s">
        <v>14</v>
      </c>
      <c r="E661" s="14" t="s">
        <v>24</v>
      </c>
      <c r="F661" s="14" t="s">
        <v>10</v>
      </c>
      <c r="G661" s="15">
        <v>9000</v>
      </c>
      <c r="H661" s="275"/>
      <c r="I661" s="275"/>
    </row>
    <row r="662" spans="2:9" x14ac:dyDescent="0.2">
      <c r="B662" s="13">
        <v>45444</v>
      </c>
      <c r="C662" s="14" t="s">
        <v>24</v>
      </c>
      <c r="D662" s="14" t="s">
        <v>14</v>
      </c>
      <c r="E662" s="14" t="s">
        <v>21</v>
      </c>
      <c r="F662" s="14" t="s">
        <v>442</v>
      </c>
      <c r="G662" s="15">
        <v>-71000</v>
      </c>
      <c r="H662" s="275"/>
      <c r="I662" s="275"/>
    </row>
    <row r="663" spans="2:9" x14ac:dyDescent="0.2">
      <c r="B663" s="13">
        <v>45444</v>
      </c>
      <c r="C663" s="14" t="s">
        <v>21</v>
      </c>
      <c r="D663" s="14" t="s">
        <v>14</v>
      </c>
      <c r="E663" s="14" t="s">
        <v>24</v>
      </c>
      <c r="F663" s="14" t="s">
        <v>442</v>
      </c>
      <c r="G663" s="15">
        <v>71000</v>
      </c>
      <c r="H663" s="275"/>
      <c r="I663" s="275"/>
    </row>
    <row r="664" spans="2:9" x14ac:dyDescent="0.2">
      <c r="B664" s="13">
        <v>45444</v>
      </c>
      <c r="C664" s="14" t="s">
        <v>18</v>
      </c>
      <c r="D664" s="14" t="s">
        <v>31</v>
      </c>
      <c r="E664" s="14" t="s">
        <v>56</v>
      </c>
      <c r="F664" s="14" t="s">
        <v>677</v>
      </c>
      <c r="G664" s="15"/>
      <c r="H664" s="275"/>
      <c r="I664" s="275">
        <v>-70</v>
      </c>
    </row>
    <row r="665" spans="2:9" x14ac:dyDescent="0.2">
      <c r="B665" s="13">
        <v>45444</v>
      </c>
      <c r="C665" s="14" t="s">
        <v>18</v>
      </c>
      <c r="D665" s="14" t="s">
        <v>31</v>
      </c>
      <c r="E665" s="14" t="s">
        <v>56</v>
      </c>
      <c r="F665" s="14" t="s">
        <v>678</v>
      </c>
      <c r="G665" s="15"/>
      <c r="H665" s="275"/>
      <c r="I665" s="275">
        <v>-63</v>
      </c>
    </row>
    <row r="666" spans="2:9" x14ac:dyDescent="0.2">
      <c r="B666" s="13">
        <v>45444</v>
      </c>
      <c r="C666" s="14" t="s">
        <v>16</v>
      </c>
      <c r="D666" s="14" t="s">
        <v>43</v>
      </c>
      <c r="E666" s="14" t="s">
        <v>118</v>
      </c>
      <c r="F666" s="14" t="s">
        <v>588</v>
      </c>
      <c r="G666" s="15"/>
      <c r="H666" s="275"/>
      <c r="I666" s="275">
        <v>-287</v>
      </c>
    </row>
    <row r="667" spans="2:9" x14ac:dyDescent="0.2">
      <c r="B667" s="13">
        <v>45445</v>
      </c>
      <c r="C667" s="14" t="s">
        <v>18</v>
      </c>
      <c r="D667" s="14" t="s">
        <v>31</v>
      </c>
      <c r="E667" s="14" t="s">
        <v>56</v>
      </c>
      <c r="F667" s="14" t="s">
        <v>679</v>
      </c>
      <c r="G667" s="15"/>
      <c r="H667" s="275"/>
      <c r="I667" s="275">
        <v>-122</v>
      </c>
    </row>
    <row r="668" spans="2:9" x14ac:dyDescent="0.2">
      <c r="B668" s="13">
        <v>45445</v>
      </c>
      <c r="C668" s="14" t="s">
        <v>18</v>
      </c>
      <c r="D668" s="14" t="s">
        <v>31</v>
      </c>
      <c r="E668" s="14" t="s">
        <v>56</v>
      </c>
      <c r="F668" s="14" t="s">
        <v>680</v>
      </c>
      <c r="G668" s="15"/>
      <c r="H668" s="275"/>
      <c r="I668" s="275">
        <v>-173</v>
      </c>
    </row>
    <row r="669" spans="2:9" x14ac:dyDescent="0.2">
      <c r="B669" s="13">
        <v>45445</v>
      </c>
      <c r="C669" s="14" t="s">
        <v>18</v>
      </c>
      <c r="D669" s="14" t="s">
        <v>31</v>
      </c>
      <c r="E669" s="14" t="s">
        <v>56</v>
      </c>
      <c r="F669" s="14" t="s">
        <v>635</v>
      </c>
      <c r="G669" s="15"/>
      <c r="H669" s="275"/>
      <c r="I669" s="275">
        <v>-19</v>
      </c>
    </row>
    <row r="670" spans="2:9" x14ac:dyDescent="0.2">
      <c r="B670" s="13">
        <v>45445</v>
      </c>
      <c r="C670" s="14" t="s">
        <v>25</v>
      </c>
      <c r="D670" s="14" t="s">
        <v>31</v>
      </c>
      <c r="E670" s="14" t="s">
        <v>56</v>
      </c>
      <c r="F670" s="14" t="s">
        <v>99</v>
      </c>
      <c r="G670" s="15"/>
      <c r="H670" s="275"/>
      <c r="I670" s="275">
        <v>-280</v>
      </c>
    </row>
    <row r="671" spans="2:9" x14ac:dyDescent="0.2">
      <c r="B671" s="13">
        <v>45446</v>
      </c>
      <c r="C671" s="14" t="s">
        <v>18</v>
      </c>
      <c r="D671" s="14" t="s">
        <v>33</v>
      </c>
      <c r="E671" s="14" t="s">
        <v>34</v>
      </c>
      <c r="F671" s="14" t="s">
        <v>683</v>
      </c>
      <c r="G671" s="15"/>
      <c r="H671" s="275"/>
      <c r="I671" s="275">
        <f>-300-5</f>
        <v>-305</v>
      </c>
    </row>
    <row r="672" spans="2:9" x14ac:dyDescent="0.2">
      <c r="B672" s="13">
        <v>45446</v>
      </c>
      <c r="C672" s="14" t="s">
        <v>18</v>
      </c>
      <c r="D672" s="14" t="s">
        <v>33</v>
      </c>
      <c r="E672" s="14" t="s">
        <v>107</v>
      </c>
      <c r="F672" s="14" t="s">
        <v>685</v>
      </c>
      <c r="G672" s="15"/>
      <c r="H672" s="275"/>
      <c r="I672" s="275">
        <v>-58</v>
      </c>
    </row>
    <row r="673" spans="2:9" x14ac:dyDescent="0.2">
      <c r="B673" s="13">
        <v>45446</v>
      </c>
      <c r="C673" s="14" t="s">
        <v>18</v>
      </c>
      <c r="D673" s="14" t="s">
        <v>33</v>
      </c>
      <c r="E673" s="14" t="s">
        <v>36</v>
      </c>
      <c r="F673" s="14" t="s">
        <v>682</v>
      </c>
      <c r="G673" s="15"/>
      <c r="H673" s="275"/>
      <c r="I673" s="275">
        <v>-18765.689999999999</v>
      </c>
    </row>
    <row r="674" spans="2:9" x14ac:dyDescent="0.2">
      <c r="B674" s="13">
        <v>45446</v>
      </c>
      <c r="C674" s="14" t="s">
        <v>18</v>
      </c>
      <c r="D674" s="14" t="s">
        <v>14</v>
      </c>
      <c r="E674" s="14" t="s">
        <v>16</v>
      </c>
      <c r="F674" s="14" t="s">
        <v>10</v>
      </c>
      <c r="G674" s="15">
        <v>10000</v>
      </c>
      <c r="H674" s="275"/>
      <c r="I674" s="275"/>
    </row>
    <row r="675" spans="2:9" x14ac:dyDescent="0.2">
      <c r="B675" s="13">
        <v>45446</v>
      </c>
      <c r="C675" s="14" t="s">
        <v>16</v>
      </c>
      <c r="D675" s="14" t="s">
        <v>14</v>
      </c>
      <c r="E675" s="14" t="s">
        <v>18</v>
      </c>
      <c r="F675" s="14" t="s">
        <v>10</v>
      </c>
      <c r="G675" s="15">
        <v>-10000</v>
      </c>
      <c r="H675" s="275"/>
      <c r="I675" s="275"/>
    </row>
    <row r="676" spans="2:9" x14ac:dyDescent="0.2">
      <c r="B676" s="13">
        <v>45446</v>
      </c>
      <c r="C676" s="14" t="s">
        <v>25</v>
      </c>
      <c r="D676" s="14" t="s">
        <v>14</v>
      </c>
      <c r="E676" s="14" t="s">
        <v>18</v>
      </c>
      <c r="F676" s="14" t="s">
        <v>10</v>
      </c>
      <c r="G676" s="15">
        <f>174-5</f>
        <v>169</v>
      </c>
      <c r="H676" s="275"/>
      <c r="I676" s="275"/>
    </row>
    <row r="677" spans="2:9" x14ac:dyDescent="0.2">
      <c r="B677" s="13">
        <v>45446</v>
      </c>
      <c r="C677" s="14" t="s">
        <v>23</v>
      </c>
      <c r="D677" s="14" t="s">
        <v>14</v>
      </c>
      <c r="E677" s="14" t="s">
        <v>18</v>
      </c>
      <c r="F677" s="14" t="s">
        <v>10</v>
      </c>
      <c r="G677" s="15">
        <v>1234.31</v>
      </c>
      <c r="H677" s="275"/>
      <c r="I677" s="275"/>
    </row>
    <row r="678" spans="2:9" x14ac:dyDescent="0.2">
      <c r="B678" s="13">
        <v>45446</v>
      </c>
      <c r="C678" s="14" t="s">
        <v>18</v>
      </c>
      <c r="D678" s="14" t="s">
        <v>14</v>
      </c>
      <c r="E678" s="14" t="s">
        <v>23</v>
      </c>
      <c r="F678" s="14" t="s">
        <v>10</v>
      </c>
      <c r="G678" s="15">
        <v>-1234.31</v>
      </c>
      <c r="H678" s="275"/>
      <c r="I678" s="275"/>
    </row>
    <row r="679" spans="2:9" x14ac:dyDescent="0.2">
      <c r="B679" s="13">
        <v>45446</v>
      </c>
      <c r="C679" s="14" t="s">
        <v>18</v>
      </c>
      <c r="D679" s="14" t="s">
        <v>14</v>
      </c>
      <c r="E679" s="14" t="s">
        <v>25</v>
      </c>
      <c r="F679" s="14" t="s">
        <v>10</v>
      </c>
      <c r="G679" s="15">
        <f>-174+5</f>
        <v>-169</v>
      </c>
      <c r="H679" s="275"/>
      <c r="I679" s="275"/>
    </row>
    <row r="680" spans="2:9" x14ac:dyDescent="0.2">
      <c r="B680" s="13">
        <v>45446</v>
      </c>
      <c r="C680" s="14" t="s">
        <v>18</v>
      </c>
      <c r="D680" s="14" t="s">
        <v>38</v>
      </c>
      <c r="E680" s="14" t="s">
        <v>39</v>
      </c>
      <c r="F680" s="14" t="s">
        <v>682</v>
      </c>
      <c r="G680" s="15"/>
      <c r="H680" s="275"/>
      <c r="I680" s="275">
        <v>-286</v>
      </c>
    </row>
    <row r="681" spans="2:9" x14ac:dyDescent="0.2">
      <c r="B681" s="13">
        <v>45446</v>
      </c>
      <c r="C681" s="14" t="s">
        <v>24</v>
      </c>
      <c r="D681" s="14" t="s">
        <v>41</v>
      </c>
      <c r="E681" s="14" t="s">
        <v>42</v>
      </c>
      <c r="F681" s="14" t="s">
        <v>682</v>
      </c>
      <c r="G681" s="15"/>
      <c r="H681" s="275">
        <v>22383.67</v>
      </c>
      <c r="I681" s="275"/>
    </row>
    <row r="682" spans="2:9" x14ac:dyDescent="0.2">
      <c r="B682" s="13">
        <v>45446</v>
      </c>
      <c r="C682" s="14" t="s">
        <v>18</v>
      </c>
      <c r="D682" s="14" t="s">
        <v>26</v>
      </c>
      <c r="E682" s="14" t="s">
        <v>27</v>
      </c>
      <c r="F682" s="14" t="s">
        <v>684</v>
      </c>
      <c r="G682" s="15"/>
      <c r="H682" s="275"/>
      <c r="I682" s="275">
        <v>-146</v>
      </c>
    </row>
    <row r="683" spans="2:9" x14ac:dyDescent="0.2">
      <c r="B683" s="13">
        <v>45446</v>
      </c>
      <c r="C683" s="14" t="s">
        <v>18</v>
      </c>
      <c r="D683" s="14" t="s">
        <v>31</v>
      </c>
      <c r="E683" s="14" t="s">
        <v>32</v>
      </c>
      <c r="F683" s="14" t="s">
        <v>681</v>
      </c>
      <c r="G683" s="15"/>
      <c r="H683" s="275"/>
      <c r="I683" s="275">
        <v>-2500</v>
      </c>
    </row>
    <row r="684" spans="2:9" x14ac:dyDescent="0.2">
      <c r="B684" s="13">
        <v>45446</v>
      </c>
      <c r="C684" s="14" t="s">
        <v>18</v>
      </c>
      <c r="D684" s="14" t="s">
        <v>43</v>
      </c>
      <c r="E684" s="14" t="s">
        <v>44</v>
      </c>
      <c r="F684" s="14" t="s">
        <v>682</v>
      </c>
      <c r="G684" s="15"/>
      <c r="H684" s="275"/>
      <c r="I684" s="275">
        <v>-99</v>
      </c>
    </row>
    <row r="685" spans="2:9" x14ac:dyDescent="0.2">
      <c r="B685" s="13">
        <v>45447</v>
      </c>
      <c r="C685" s="14" t="s">
        <v>16</v>
      </c>
      <c r="D685" s="14" t="s">
        <v>26</v>
      </c>
      <c r="E685" s="14" t="s">
        <v>29</v>
      </c>
      <c r="F685" s="14" t="s">
        <v>686</v>
      </c>
      <c r="G685" s="15"/>
      <c r="H685" s="275"/>
      <c r="I685" s="275">
        <f>-2700-2150</f>
        <v>-4850</v>
      </c>
    </row>
    <row r="686" spans="2:9" x14ac:dyDescent="0.2">
      <c r="B686" s="13">
        <v>45448</v>
      </c>
      <c r="C686" s="14" t="s">
        <v>16</v>
      </c>
      <c r="D686" s="14" t="s">
        <v>38</v>
      </c>
      <c r="E686" s="14" t="s">
        <v>96</v>
      </c>
      <c r="F686" s="14" t="s">
        <v>687</v>
      </c>
      <c r="G686" s="15"/>
      <c r="H686" s="275"/>
      <c r="I686" s="275">
        <v>-1800</v>
      </c>
    </row>
    <row r="687" spans="2:9" x14ac:dyDescent="0.2">
      <c r="B687" s="13">
        <v>45448</v>
      </c>
      <c r="C687" s="14" t="s">
        <v>18</v>
      </c>
      <c r="D687" s="14" t="s">
        <v>41</v>
      </c>
      <c r="E687" s="14" t="s">
        <v>45</v>
      </c>
      <c r="F687" s="14" t="s">
        <v>588</v>
      </c>
      <c r="G687" s="15"/>
      <c r="H687" s="275">
        <v>9000</v>
      </c>
      <c r="I687" s="275"/>
    </row>
    <row r="688" spans="2:9" x14ac:dyDescent="0.2">
      <c r="B688" s="13">
        <v>45448</v>
      </c>
      <c r="C688" s="14" t="s">
        <v>25</v>
      </c>
      <c r="D688" s="14" t="s">
        <v>31</v>
      </c>
      <c r="E688" s="14" t="s">
        <v>49</v>
      </c>
      <c r="F688" s="14" t="s">
        <v>78</v>
      </c>
      <c r="G688" s="15"/>
      <c r="H688" s="275"/>
      <c r="I688" s="275">
        <v>-30</v>
      </c>
    </row>
    <row r="689" spans="2:9" x14ac:dyDescent="0.2">
      <c r="B689" s="13">
        <v>45448</v>
      </c>
      <c r="C689" s="14" t="s">
        <v>25</v>
      </c>
      <c r="D689" s="14" t="s">
        <v>31</v>
      </c>
      <c r="E689" s="14" t="s">
        <v>49</v>
      </c>
      <c r="F689" s="14" t="s">
        <v>104</v>
      </c>
      <c r="G689" s="15"/>
      <c r="H689" s="275"/>
      <c r="I689" s="275">
        <v>-40</v>
      </c>
    </row>
    <row r="690" spans="2:9" x14ac:dyDescent="0.2">
      <c r="B690" s="13">
        <v>45448</v>
      </c>
      <c r="C690" s="14" t="s">
        <v>25</v>
      </c>
      <c r="D690" s="14" t="s">
        <v>31</v>
      </c>
      <c r="E690" s="14" t="s">
        <v>49</v>
      </c>
      <c r="F690" s="14" t="s">
        <v>688</v>
      </c>
      <c r="G690" s="15"/>
      <c r="H690" s="275"/>
      <c r="I690" s="275">
        <v>-30</v>
      </c>
    </row>
    <row r="691" spans="2:9" x14ac:dyDescent="0.2">
      <c r="B691" s="13">
        <v>45449</v>
      </c>
      <c r="C691" s="14" t="s">
        <v>16</v>
      </c>
      <c r="D691" s="14" t="s">
        <v>41</v>
      </c>
      <c r="E691" s="14" t="s">
        <v>47</v>
      </c>
      <c r="F691" s="14" t="s">
        <v>689</v>
      </c>
      <c r="G691" s="15"/>
      <c r="H691" s="275">
        <v>7000</v>
      </c>
      <c r="I691" s="275"/>
    </row>
    <row r="692" spans="2:9" x14ac:dyDescent="0.2">
      <c r="B692" s="13">
        <v>45449</v>
      </c>
      <c r="C692" s="14" t="s">
        <v>24</v>
      </c>
      <c r="D692" s="14" t="s">
        <v>41</v>
      </c>
      <c r="E692" s="14" t="s">
        <v>46</v>
      </c>
      <c r="F692" s="14" t="s">
        <v>682</v>
      </c>
      <c r="G692" s="15"/>
      <c r="H692" s="275">
        <v>2383.3200000000002</v>
      </c>
      <c r="I692" s="275"/>
    </row>
    <row r="693" spans="2:9" x14ac:dyDescent="0.2">
      <c r="B693" s="13">
        <v>45450</v>
      </c>
      <c r="C693" s="14" t="s">
        <v>16</v>
      </c>
      <c r="D693" s="14" t="s">
        <v>14</v>
      </c>
      <c r="E693" s="14" t="s">
        <v>16</v>
      </c>
      <c r="F693" s="14" t="s">
        <v>690</v>
      </c>
      <c r="G693" s="15"/>
      <c r="H693" s="275">
        <v>1.25</v>
      </c>
      <c r="I693" s="275"/>
    </row>
    <row r="694" spans="2:9" x14ac:dyDescent="0.2">
      <c r="B694" s="13">
        <v>45450</v>
      </c>
      <c r="C694" s="14" t="s">
        <v>25</v>
      </c>
      <c r="D694" s="14" t="s">
        <v>31</v>
      </c>
      <c r="E694" s="14" t="s">
        <v>49</v>
      </c>
      <c r="F694" s="14" t="s">
        <v>691</v>
      </c>
      <c r="G694" s="15"/>
      <c r="H694" s="275"/>
      <c r="I694" s="275">
        <v>-65</v>
      </c>
    </row>
    <row r="695" spans="2:9" x14ac:dyDescent="0.2">
      <c r="B695" s="13">
        <v>45450</v>
      </c>
      <c r="C695" s="14" t="s">
        <v>16</v>
      </c>
      <c r="D695" s="14" t="s">
        <v>43</v>
      </c>
      <c r="E695" s="14" t="s">
        <v>70</v>
      </c>
      <c r="F695" s="14" t="s">
        <v>588</v>
      </c>
      <c r="G695" s="15"/>
      <c r="H695" s="275"/>
      <c r="I695" s="275">
        <v>-300</v>
      </c>
    </row>
    <row r="696" spans="2:9" x14ac:dyDescent="0.2">
      <c r="B696" s="13">
        <v>45451</v>
      </c>
      <c r="C696" s="14" t="s">
        <v>18</v>
      </c>
      <c r="D696" s="14" t="s">
        <v>31</v>
      </c>
      <c r="E696" s="14" t="s">
        <v>56</v>
      </c>
      <c r="F696" s="14" t="s">
        <v>692</v>
      </c>
      <c r="G696" s="15"/>
      <c r="H696" s="275"/>
      <c r="I696" s="275">
        <v>-120</v>
      </c>
    </row>
    <row r="697" spans="2:9" x14ac:dyDescent="0.2">
      <c r="B697" s="13">
        <v>45452</v>
      </c>
      <c r="C697" s="14" t="s">
        <v>16</v>
      </c>
      <c r="D697" s="14" t="s">
        <v>38</v>
      </c>
      <c r="E697" s="14" t="s">
        <v>159</v>
      </c>
      <c r="F697" s="14" t="s">
        <v>699</v>
      </c>
      <c r="G697" s="15"/>
      <c r="H697" s="275"/>
      <c r="I697" s="275">
        <v>-1000</v>
      </c>
    </row>
    <row r="698" spans="2:9" x14ac:dyDescent="0.2">
      <c r="B698" s="13">
        <v>45452</v>
      </c>
      <c r="C698" s="14" t="s">
        <v>18</v>
      </c>
      <c r="D698" s="14" t="s">
        <v>31</v>
      </c>
      <c r="E698" s="14" t="s">
        <v>56</v>
      </c>
      <c r="F698" s="14" t="s">
        <v>693</v>
      </c>
      <c r="G698" s="15"/>
      <c r="H698" s="275"/>
      <c r="I698" s="275">
        <v>-58</v>
      </c>
    </row>
    <row r="699" spans="2:9" x14ac:dyDescent="0.2">
      <c r="B699" s="13">
        <v>45452</v>
      </c>
      <c r="C699" s="14" t="s">
        <v>18</v>
      </c>
      <c r="D699" s="14" t="s">
        <v>31</v>
      </c>
      <c r="E699" s="14" t="s">
        <v>56</v>
      </c>
      <c r="F699" s="14" t="s">
        <v>694</v>
      </c>
      <c r="G699" s="15"/>
      <c r="H699" s="275"/>
      <c r="I699" s="275">
        <v>-102</v>
      </c>
    </row>
    <row r="700" spans="2:9" x14ac:dyDescent="0.2">
      <c r="B700" s="13">
        <v>45452</v>
      </c>
      <c r="C700" s="14" t="s">
        <v>18</v>
      </c>
      <c r="D700" s="14" t="s">
        <v>31</v>
      </c>
      <c r="E700" s="14" t="s">
        <v>56</v>
      </c>
      <c r="F700" s="14" t="s">
        <v>695</v>
      </c>
      <c r="G700" s="15"/>
      <c r="H700" s="275"/>
      <c r="I700" s="275">
        <v>-20</v>
      </c>
    </row>
    <row r="701" spans="2:9" x14ac:dyDescent="0.2">
      <c r="B701" s="13">
        <v>45452</v>
      </c>
      <c r="C701" s="14" t="s">
        <v>18</v>
      </c>
      <c r="D701" s="14" t="s">
        <v>31</v>
      </c>
      <c r="E701" s="14" t="s">
        <v>56</v>
      </c>
      <c r="F701" s="14" t="s">
        <v>696</v>
      </c>
      <c r="G701" s="15"/>
      <c r="H701" s="275"/>
      <c r="I701" s="275">
        <v>-79</v>
      </c>
    </row>
    <row r="702" spans="2:9" x14ac:dyDescent="0.2">
      <c r="B702" s="13">
        <v>45452</v>
      </c>
      <c r="C702" s="14" t="s">
        <v>25</v>
      </c>
      <c r="D702" s="14" t="s">
        <v>31</v>
      </c>
      <c r="E702" s="14" t="s">
        <v>56</v>
      </c>
      <c r="F702" s="14" t="s">
        <v>99</v>
      </c>
      <c r="G702" s="15"/>
      <c r="H702" s="275"/>
      <c r="I702" s="275">
        <v>-65</v>
      </c>
    </row>
    <row r="703" spans="2:9" x14ac:dyDescent="0.2">
      <c r="B703" s="13">
        <v>45453</v>
      </c>
      <c r="C703" s="14" t="s">
        <v>16</v>
      </c>
      <c r="D703" s="14" t="s">
        <v>14</v>
      </c>
      <c r="E703" s="14" t="s">
        <v>16</v>
      </c>
      <c r="F703" s="14" t="s">
        <v>700</v>
      </c>
      <c r="G703" s="15"/>
      <c r="H703" s="275">
        <v>8675.33</v>
      </c>
      <c r="I703" s="275"/>
    </row>
    <row r="704" spans="2:9" x14ac:dyDescent="0.2">
      <c r="B704" s="13">
        <v>45453</v>
      </c>
      <c r="C704" s="14" t="s">
        <v>16</v>
      </c>
      <c r="D704" s="14" t="s">
        <v>14</v>
      </c>
      <c r="E704" s="14" t="s">
        <v>16</v>
      </c>
      <c r="F704" s="14" t="s">
        <v>701</v>
      </c>
      <c r="G704" s="15"/>
      <c r="H704" s="275"/>
      <c r="I704" s="275">
        <v>-387.87</v>
      </c>
    </row>
    <row r="705" spans="2:9" x14ac:dyDescent="0.2">
      <c r="B705" s="13">
        <v>45453</v>
      </c>
      <c r="C705" s="14" t="s">
        <v>25</v>
      </c>
      <c r="D705" s="14" t="s">
        <v>14</v>
      </c>
      <c r="E705" s="14" t="s">
        <v>18</v>
      </c>
      <c r="F705" s="14" t="s">
        <v>10</v>
      </c>
      <c r="G705" s="15">
        <v>2711</v>
      </c>
      <c r="H705" s="275"/>
      <c r="I705" s="275"/>
    </row>
    <row r="706" spans="2:9" x14ac:dyDescent="0.2">
      <c r="B706" s="13">
        <v>45453</v>
      </c>
      <c r="C706" s="14" t="s">
        <v>16</v>
      </c>
      <c r="D706" s="14" t="s">
        <v>14</v>
      </c>
      <c r="E706" s="14" t="s">
        <v>22</v>
      </c>
      <c r="F706" s="14" t="s">
        <v>702</v>
      </c>
      <c r="G706" s="15">
        <v>312000</v>
      </c>
      <c r="H706" s="275"/>
      <c r="I706" s="275"/>
    </row>
    <row r="707" spans="2:9" x14ac:dyDescent="0.2">
      <c r="B707" s="13">
        <v>45453</v>
      </c>
      <c r="C707" s="14" t="s">
        <v>22</v>
      </c>
      <c r="D707" s="14" t="s">
        <v>14</v>
      </c>
      <c r="E707" s="14" t="s">
        <v>22</v>
      </c>
      <c r="F707" s="14" t="s">
        <v>702</v>
      </c>
      <c r="G707" s="15">
        <v>-312000</v>
      </c>
      <c r="H707" s="275"/>
      <c r="I707" s="275"/>
    </row>
    <row r="708" spans="2:9" x14ac:dyDescent="0.2">
      <c r="B708" s="13">
        <v>45453</v>
      </c>
      <c r="C708" s="14" t="s">
        <v>18</v>
      </c>
      <c r="D708" s="14" t="s">
        <v>14</v>
      </c>
      <c r="E708" s="14" t="s">
        <v>25</v>
      </c>
      <c r="F708" s="14" t="s">
        <v>10</v>
      </c>
      <c r="G708" s="15">
        <v>-2711</v>
      </c>
      <c r="H708" s="275"/>
      <c r="I708" s="275"/>
    </row>
    <row r="709" spans="2:9" x14ac:dyDescent="0.2">
      <c r="B709" s="13">
        <v>45453</v>
      </c>
      <c r="C709" s="14" t="s">
        <v>18</v>
      </c>
      <c r="D709" s="14" t="s">
        <v>31</v>
      </c>
      <c r="E709" s="14" t="s">
        <v>32</v>
      </c>
      <c r="F709" s="14" t="s">
        <v>697</v>
      </c>
      <c r="G709" s="15"/>
      <c r="H709" s="275"/>
      <c r="I709" s="275">
        <v>-2500</v>
      </c>
    </row>
    <row r="710" spans="2:9" x14ac:dyDescent="0.2">
      <c r="B710" s="13">
        <v>45454</v>
      </c>
      <c r="C710" s="14" t="s">
        <v>16</v>
      </c>
      <c r="D710" s="14" t="s">
        <v>38</v>
      </c>
      <c r="E710" s="14" t="s">
        <v>159</v>
      </c>
      <c r="F710" s="14" t="s">
        <v>703</v>
      </c>
      <c r="G710" s="15"/>
      <c r="H710" s="275"/>
      <c r="I710" s="275">
        <v>-2000</v>
      </c>
    </row>
    <row r="711" spans="2:9" x14ac:dyDescent="0.2">
      <c r="B711" s="13">
        <v>45455</v>
      </c>
      <c r="C711" s="14" t="s">
        <v>16</v>
      </c>
      <c r="D711" s="14" t="s">
        <v>41</v>
      </c>
      <c r="E711" s="14" t="s">
        <v>47</v>
      </c>
      <c r="F711" s="14" t="s">
        <v>704</v>
      </c>
      <c r="G711" s="15"/>
      <c r="H711" s="275">
        <v>7000</v>
      </c>
      <c r="I711" s="275"/>
    </row>
    <row r="712" spans="2:9" x14ac:dyDescent="0.2">
      <c r="B712" s="13">
        <v>45456</v>
      </c>
      <c r="C712" s="14" t="s">
        <v>25</v>
      </c>
      <c r="D712" s="14" t="s">
        <v>31</v>
      </c>
      <c r="E712" s="14" t="s">
        <v>49</v>
      </c>
      <c r="F712" s="14" t="s">
        <v>635</v>
      </c>
      <c r="G712" s="15"/>
      <c r="H712" s="275"/>
      <c r="I712" s="275">
        <v>-19</v>
      </c>
    </row>
    <row r="713" spans="2:9" x14ac:dyDescent="0.2">
      <c r="B713" s="13">
        <v>45457</v>
      </c>
      <c r="C713" s="14" t="s">
        <v>24</v>
      </c>
      <c r="D713" s="14" t="s">
        <v>14</v>
      </c>
      <c r="E713" s="14" t="s">
        <v>18</v>
      </c>
      <c r="F713" s="14" t="s">
        <v>10</v>
      </c>
      <c r="G713" s="15">
        <v>-9000</v>
      </c>
      <c r="H713" s="275"/>
      <c r="I713" s="275"/>
    </row>
    <row r="714" spans="2:9" x14ac:dyDescent="0.2">
      <c r="B714" s="13">
        <v>45457</v>
      </c>
      <c r="C714" s="14" t="s">
        <v>18</v>
      </c>
      <c r="D714" s="14" t="s">
        <v>14</v>
      </c>
      <c r="E714" s="14" t="s">
        <v>24</v>
      </c>
      <c r="F714" s="14" t="s">
        <v>10</v>
      </c>
      <c r="G714" s="15">
        <v>9000</v>
      </c>
      <c r="H714" s="275"/>
      <c r="I714" s="275"/>
    </row>
    <row r="715" spans="2:9" x14ac:dyDescent="0.2">
      <c r="B715" s="13">
        <v>45457</v>
      </c>
      <c r="C715" s="14" t="s">
        <v>18</v>
      </c>
      <c r="D715" s="14" t="s">
        <v>31</v>
      </c>
      <c r="E715" s="14" t="s">
        <v>56</v>
      </c>
      <c r="F715" s="14" t="s">
        <v>705</v>
      </c>
      <c r="G715" s="15"/>
      <c r="H715" s="275"/>
      <c r="I715" s="275">
        <v>-1001</v>
      </c>
    </row>
    <row r="716" spans="2:9" x14ac:dyDescent="0.2">
      <c r="B716" s="13">
        <v>45457</v>
      </c>
      <c r="C716" s="14" t="s">
        <v>18</v>
      </c>
      <c r="D716" s="14" t="s">
        <v>43</v>
      </c>
      <c r="E716" s="14" t="s">
        <v>72</v>
      </c>
      <c r="F716" s="14" t="s">
        <v>588</v>
      </c>
      <c r="G716" s="15"/>
      <c r="H716" s="275"/>
      <c r="I716" s="275">
        <v>-134</v>
      </c>
    </row>
    <row r="717" spans="2:9" x14ac:dyDescent="0.2">
      <c r="B717" s="13">
        <v>45457</v>
      </c>
      <c r="C717" s="14" t="s">
        <v>18</v>
      </c>
      <c r="D717" s="14" t="s">
        <v>43</v>
      </c>
      <c r="E717" s="14" t="s">
        <v>73</v>
      </c>
      <c r="F717" s="14" t="s">
        <v>588</v>
      </c>
      <c r="G717" s="15"/>
      <c r="H717" s="275"/>
      <c r="I717" s="275">
        <v>-1600</v>
      </c>
    </row>
    <row r="718" spans="2:9" x14ac:dyDescent="0.2">
      <c r="B718" s="13">
        <v>45459</v>
      </c>
      <c r="C718" s="14" t="s">
        <v>25</v>
      </c>
      <c r="D718" s="14" t="s">
        <v>31</v>
      </c>
      <c r="E718" s="14" t="s">
        <v>56</v>
      </c>
      <c r="F718" s="14" t="s">
        <v>706</v>
      </c>
      <c r="G718" s="15"/>
      <c r="H718" s="275"/>
      <c r="I718" s="275">
        <v>-76</v>
      </c>
    </row>
    <row r="719" spans="2:9" x14ac:dyDescent="0.2">
      <c r="B719" s="13">
        <v>45460</v>
      </c>
      <c r="C719" s="14" t="s">
        <v>25</v>
      </c>
      <c r="D719" s="14" t="s">
        <v>14</v>
      </c>
      <c r="E719" s="14" t="s">
        <v>18</v>
      </c>
      <c r="F719" s="14" t="s">
        <v>10</v>
      </c>
      <c r="G719" s="15">
        <v>-2635</v>
      </c>
      <c r="H719" s="275"/>
      <c r="I719" s="275"/>
    </row>
    <row r="720" spans="2:9" x14ac:dyDescent="0.2">
      <c r="B720" s="13">
        <v>45460</v>
      </c>
      <c r="C720" s="14" t="s">
        <v>18</v>
      </c>
      <c r="D720" s="14" t="s">
        <v>14</v>
      </c>
      <c r="E720" s="14" t="s">
        <v>25</v>
      </c>
      <c r="F720" s="14" t="s">
        <v>10</v>
      </c>
      <c r="G720" s="15">
        <v>2635</v>
      </c>
      <c r="H720" s="275"/>
      <c r="I720" s="275"/>
    </row>
    <row r="721" spans="2:9" x14ac:dyDescent="0.2">
      <c r="B721" s="13">
        <v>45460</v>
      </c>
      <c r="C721" s="14" t="s">
        <v>16</v>
      </c>
      <c r="D721" s="14" t="s">
        <v>38</v>
      </c>
      <c r="E721" s="14" t="s">
        <v>83</v>
      </c>
      <c r="F721" s="14" t="s">
        <v>682</v>
      </c>
      <c r="G721" s="15"/>
      <c r="H721" s="275"/>
      <c r="I721" s="275">
        <v>-300</v>
      </c>
    </row>
    <row r="722" spans="2:9" x14ac:dyDescent="0.2">
      <c r="B722" s="13">
        <v>45460</v>
      </c>
      <c r="C722" s="14" t="s">
        <v>16</v>
      </c>
      <c r="D722" s="14" t="s">
        <v>38</v>
      </c>
      <c r="E722" s="14" t="s">
        <v>87</v>
      </c>
      <c r="F722" s="14" t="s">
        <v>682</v>
      </c>
      <c r="G722" s="15"/>
      <c r="H722" s="275"/>
      <c r="I722" s="275">
        <v>-660</v>
      </c>
    </row>
    <row r="723" spans="2:9" x14ac:dyDescent="0.2">
      <c r="B723" s="13">
        <v>45460</v>
      </c>
      <c r="C723" s="14" t="s">
        <v>18</v>
      </c>
      <c r="D723" s="14" t="s">
        <v>31</v>
      </c>
      <c r="E723" s="14" t="s">
        <v>32</v>
      </c>
      <c r="F723" s="14" t="s">
        <v>707</v>
      </c>
      <c r="G723" s="15"/>
      <c r="H723" s="275"/>
      <c r="I723" s="275">
        <v>-2500</v>
      </c>
    </row>
    <row r="724" spans="2:9" x14ac:dyDescent="0.2">
      <c r="B724" s="13">
        <v>45460</v>
      </c>
      <c r="C724" s="14" t="s">
        <v>16</v>
      </c>
      <c r="D724" s="14" t="s">
        <v>43</v>
      </c>
      <c r="E724" s="14" t="s">
        <v>86</v>
      </c>
      <c r="F724" s="14" t="s">
        <v>682</v>
      </c>
      <c r="G724" s="15"/>
      <c r="H724" s="275"/>
      <c r="I724" s="275">
        <v>-285</v>
      </c>
    </row>
    <row r="725" spans="2:9" x14ac:dyDescent="0.2">
      <c r="B725" s="13">
        <v>45461</v>
      </c>
      <c r="C725" s="14" t="s">
        <v>18</v>
      </c>
      <c r="D725" s="14" t="s">
        <v>14</v>
      </c>
      <c r="E725" s="14" t="s">
        <v>16</v>
      </c>
      <c r="F725" s="14" t="s">
        <v>710</v>
      </c>
      <c r="G725" s="15">
        <v>3681.27</v>
      </c>
      <c r="H725" s="275"/>
      <c r="I725" s="275"/>
    </row>
    <row r="726" spans="2:9" x14ac:dyDescent="0.2">
      <c r="B726" s="13">
        <v>45461</v>
      </c>
      <c r="C726" s="14" t="s">
        <v>16</v>
      </c>
      <c r="D726" s="14" t="s">
        <v>14</v>
      </c>
      <c r="E726" s="14" t="s">
        <v>18</v>
      </c>
      <c r="F726" s="14" t="s">
        <v>710</v>
      </c>
      <c r="G726" s="15">
        <v>-3681.27</v>
      </c>
      <c r="H726" s="275"/>
      <c r="I726" s="275"/>
    </row>
    <row r="727" spans="2:9" x14ac:dyDescent="0.2">
      <c r="B727" s="13">
        <v>45461</v>
      </c>
      <c r="C727" s="14" t="s">
        <v>18</v>
      </c>
      <c r="D727" s="14" t="s">
        <v>14</v>
      </c>
      <c r="E727" s="14" t="s">
        <v>18</v>
      </c>
      <c r="F727" s="14" t="s">
        <v>711</v>
      </c>
      <c r="G727" s="15"/>
      <c r="H727" s="275">
        <v>2.73</v>
      </c>
      <c r="I727" s="275"/>
    </row>
    <row r="728" spans="2:9" x14ac:dyDescent="0.2">
      <c r="B728" s="13">
        <v>45461</v>
      </c>
      <c r="C728" s="14" t="s">
        <v>18</v>
      </c>
      <c r="D728" s="14" t="s">
        <v>26</v>
      </c>
      <c r="E728" s="14" t="s">
        <v>29</v>
      </c>
      <c r="F728" s="14" t="s">
        <v>719</v>
      </c>
      <c r="G728" s="15"/>
      <c r="H728" s="275"/>
      <c r="I728" s="275">
        <v>-2000</v>
      </c>
    </row>
    <row r="729" spans="2:9" x14ac:dyDescent="0.2">
      <c r="B729" s="13">
        <v>45461</v>
      </c>
      <c r="C729" s="14" t="s">
        <v>18</v>
      </c>
      <c r="D729" s="14" t="s">
        <v>26</v>
      </c>
      <c r="E729" s="14" t="s">
        <v>29</v>
      </c>
      <c r="F729" s="14" t="s">
        <v>99</v>
      </c>
      <c r="G729" s="15"/>
      <c r="H729" s="275">
        <v>3</v>
      </c>
      <c r="I729" s="275"/>
    </row>
    <row r="730" spans="2:9" x14ac:dyDescent="0.2">
      <c r="B730" s="13">
        <v>45461</v>
      </c>
      <c r="C730" s="14" t="s">
        <v>25</v>
      </c>
      <c r="D730" s="14" t="s">
        <v>31</v>
      </c>
      <c r="E730" s="14" t="s">
        <v>49</v>
      </c>
      <c r="F730" s="14" t="s">
        <v>712</v>
      </c>
      <c r="G730" s="15"/>
      <c r="H730" s="275"/>
      <c r="I730" s="275">
        <v>-30</v>
      </c>
    </row>
    <row r="731" spans="2:9" x14ac:dyDescent="0.2">
      <c r="B731" s="13">
        <v>45462</v>
      </c>
      <c r="C731" s="14" t="s">
        <v>16</v>
      </c>
      <c r="D731" s="14" t="s">
        <v>41</v>
      </c>
      <c r="E731" s="14" t="s">
        <v>47</v>
      </c>
      <c r="F731" s="14" t="s">
        <v>713</v>
      </c>
      <c r="G731" s="15"/>
      <c r="H731" s="275">
        <v>7000</v>
      </c>
      <c r="I731" s="275"/>
    </row>
    <row r="732" spans="2:9" x14ac:dyDescent="0.2">
      <c r="B732" s="13">
        <v>45462</v>
      </c>
      <c r="C732" s="14" t="s">
        <v>25</v>
      </c>
      <c r="D732" s="14" t="s">
        <v>31</v>
      </c>
      <c r="E732" s="14" t="s">
        <v>49</v>
      </c>
      <c r="F732" s="14" t="s">
        <v>104</v>
      </c>
      <c r="G732" s="15"/>
      <c r="H732" s="275"/>
      <c r="I732" s="275">
        <v>-40</v>
      </c>
    </row>
    <row r="733" spans="2:9" x14ac:dyDescent="0.2">
      <c r="B733" s="13">
        <v>45463</v>
      </c>
      <c r="C733" s="14" t="s">
        <v>16</v>
      </c>
      <c r="D733" s="14" t="s">
        <v>43</v>
      </c>
      <c r="E733" s="14" t="s">
        <v>771</v>
      </c>
      <c r="F733" s="14" t="s">
        <v>682</v>
      </c>
      <c r="G733" s="15"/>
      <c r="H733" s="275"/>
      <c r="I733" s="275">
        <v>-389</v>
      </c>
    </row>
    <row r="734" spans="2:9" x14ac:dyDescent="0.2">
      <c r="B734" s="13">
        <v>45464</v>
      </c>
      <c r="C734" s="14" t="s">
        <v>24</v>
      </c>
      <c r="D734" s="14" t="s">
        <v>14</v>
      </c>
      <c r="E734" s="14" t="s">
        <v>18</v>
      </c>
      <c r="F734" s="14" t="s">
        <v>10</v>
      </c>
      <c r="G734" s="15">
        <v>-9000</v>
      </c>
      <c r="H734" s="275"/>
      <c r="I734" s="275"/>
    </row>
    <row r="735" spans="2:9" x14ac:dyDescent="0.2">
      <c r="B735" s="13">
        <v>45464</v>
      </c>
      <c r="C735" s="14" t="s">
        <v>662</v>
      </c>
      <c r="D735" s="14" t="s">
        <v>14</v>
      </c>
      <c r="E735" s="14" t="s">
        <v>662</v>
      </c>
      <c r="F735" s="14" t="s">
        <v>728</v>
      </c>
      <c r="G735" s="15"/>
      <c r="H735" s="275">
        <v>16.670000000000002</v>
      </c>
      <c r="I735" s="275"/>
    </row>
    <row r="736" spans="2:9" x14ac:dyDescent="0.2">
      <c r="B736" s="13">
        <v>45464</v>
      </c>
      <c r="C736" s="14" t="s">
        <v>18</v>
      </c>
      <c r="D736" s="14" t="s">
        <v>14</v>
      </c>
      <c r="E736" s="14" t="s">
        <v>24</v>
      </c>
      <c r="F736" s="14" t="s">
        <v>10</v>
      </c>
      <c r="G736" s="15">
        <v>9000</v>
      </c>
      <c r="H736" s="275"/>
      <c r="I736" s="275"/>
    </row>
    <row r="737" spans="2:9" x14ac:dyDescent="0.2">
      <c r="B737" s="13">
        <v>45464</v>
      </c>
      <c r="C737" s="14" t="s">
        <v>25</v>
      </c>
      <c r="D737" s="14" t="s">
        <v>31</v>
      </c>
      <c r="E737" s="14" t="s">
        <v>49</v>
      </c>
      <c r="F737" s="14" t="s">
        <v>714</v>
      </c>
      <c r="G737" s="15"/>
      <c r="H737" s="275"/>
      <c r="I737" s="275">
        <v>-126</v>
      </c>
    </row>
    <row r="738" spans="2:9" x14ac:dyDescent="0.2">
      <c r="B738" s="13">
        <v>45464</v>
      </c>
      <c r="C738" s="14" t="s">
        <v>25</v>
      </c>
      <c r="D738" s="14" t="s">
        <v>31</v>
      </c>
      <c r="E738" s="14" t="s">
        <v>49</v>
      </c>
      <c r="F738" s="14" t="s">
        <v>715</v>
      </c>
      <c r="G738" s="15"/>
      <c r="H738" s="275"/>
      <c r="I738" s="275">
        <v>-90</v>
      </c>
    </row>
    <row r="739" spans="2:9" x14ac:dyDescent="0.2">
      <c r="B739" s="13">
        <v>45465</v>
      </c>
      <c r="C739" s="14" t="s">
        <v>25</v>
      </c>
      <c r="D739" s="14" t="s">
        <v>31</v>
      </c>
      <c r="E739" s="14" t="s">
        <v>56</v>
      </c>
      <c r="F739" s="14" t="s">
        <v>716</v>
      </c>
      <c r="G739" s="15"/>
      <c r="H739" s="275"/>
      <c r="I739" s="275">
        <v>-110</v>
      </c>
    </row>
    <row r="740" spans="2:9" x14ac:dyDescent="0.2">
      <c r="B740" s="13">
        <v>45466</v>
      </c>
      <c r="C740" s="14" t="s">
        <v>25</v>
      </c>
      <c r="D740" s="14" t="s">
        <v>31</v>
      </c>
      <c r="E740" s="14" t="s">
        <v>56</v>
      </c>
      <c r="F740" s="14" t="s">
        <v>717</v>
      </c>
      <c r="G740" s="15"/>
      <c r="H740" s="275"/>
      <c r="I740" s="275">
        <f>-70</f>
        <v>-70</v>
      </c>
    </row>
    <row r="741" spans="2:9" x14ac:dyDescent="0.2">
      <c r="B741" s="13">
        <v>45466</v>
      </c>
      <c r="C741" s="14" t="s">
        <v>25</v>
      </c>
      <c r="D741" s="14" t="s">
        <v>31</v>
      </c>
      <c r="E741" s="14" t="s">
        <v>56</v>
      </c>
      <c r="F741" s="14" t="s">
        <v>694</v>
      </c>
      <c r="G741" s="15"/>
      <c r="H741" s="275"/>
      <c r="I741" s="275">
        <f>-151</f>
        <v>-151</v>
      </c>
    </row>
    <row r="742" spans="2:9" x14ac:dyDescent="0.2">
      <c r="B742" s="13">
        <v>45467</v>
      </c>
      <c r="C742" s="14" t="s">
        <v>25</v>
      </c>
      <c r="D742" s="14" t="s">
        <v>14</v>
      </c>
      <c r="E742" s="14" t="s">
        <v>18</v>
      </c>
      <c r="F742" s="14" t="s">
        <v>10</v>
      </c>
      <c r="G742" s="15">
        <v>687</v>
      </c>
      <c r="H742" s="275"/>
      <c r="I742" s="275"/>
    </row>
    <row r="743" spans="2:9" x14ac:dyDescent="0.2">
      <c r="B743" s="13">
        <v>45467</v>
      </c>
      <c r="C743" s="14" t="s">
        <v>18</v>
      </c>
      <c r="D743" s="14" t="s">
        <v>14</v>
      </c>
      <c r="E743" s="14" t="s">
        <v>25</v>
      </c>
      <c r="F743" s="14" t="s">
        <v>10</v>
      </c>
      <c r="G743" s="15">
        <v>-687</v>
      </c>
      <c r="H743" s="275"/>
      <c r="I743" s="275"/>
    </row>
    <row r="744" spans="2:9" x14ac:dyDescent="0.2">
      <c r="B744" s="13">
        <v>45467</v>
      </c>
      <c r="C744" s="14" t="s">
        <v>18</v>
      </c>
      <c r="D744" s="14" t="s">
        <v>31</v>
      </c>
      <c r="E744" s="14" t="s">
        <v>32</v>
      </c>
      <c r="F744" s="14" t="s">
        <v>718</v>
      </c>
      <c r="G744" s="15"/>
      <c r="H744" s="275"/>
      <c r="I744" s="275">
        <v>-2500</v>
      </c>
    </row>
    <row r="745" spans="2:9" x14ac:dyDescent="0.2">
      <c r="B745" s="13">
        <v>45469</v>
      </c>
      <c r="C745" s="14" t="s">
        <v>16</v>
      </c>
      <c r="D745" s="14" t="s">
        <v>41</v>
      </c>
      <c r="E745" s="14" t="s">
        <v>47</v>
      </c>
      <c r="F745" s="14" t="s">
        <v>720</v>
      </c>
      <c r="G745" s="15"/>
      <c r="H745" s="275">
        <v>7000</v>
      </c>
      <c r="I745" s="275"/>
    </row>
    <row r="746" spans="2:9" x14ac:dyDescent="0.2">
      <c r="B746" s="13">
        <v>45469</v>
      </c>
      <c r="C746" s="14" t="s">
        <v>25</v>
      </c>
      <c r="D746" s="14" t="s">
        <v>31</v>
      </c>
      <c r="E746" s="14" t="s">
        <v>49</v>
      </c>
      <c r="F746" s="14" t="s">
        <v>721</v>
      </c>
      <c r="G746" s="15"/>
      <c r="H746" s="275"/>
      <c r="I746" s="275">
        <v>-125</v>
      </c>
    </row>
    <row r="747" spans="2:9" x14ac:dyDescent="0.2">
      <c r="B747" s="13">
        <v>45470</v>
      </c>
      <c r="C747" s="14" t="s">
        <v>16</v>
      </c>
      <c r="D747" s="14" t="s">
        <v>126</v>
      </c>
      <c r="E747" s="14" t="s">
        <v>614</v>
      </c>
      <c r="F747" s="14" t="s">
        <v>722</v>
      </c>
      <c r="G747" s="15"/>
      <c r="H747" s="275"/>
      <c r="I747" s="275">
        <v>-1</v>
      </c>
    </row>
    <row r="748" spans="2:9" x14ac:dyDescent="0.2">
      <c r="B748" s="13">
        <v>45470</v>
      </c>
      <c r="C748" s="14" t="s">
        <v>16</v>
      </c>
      <c r="D748" s="14" t="s">
        <v>126</v>
      </c>
      <c r="E748" s="14" t="s">
        <v>614</v>
      </c>
      <c r="F748" s="14" t="s">
        <v>723</v>
      </c>
      <c r="G748" s="15"/>
      <c r="H748" s="275"/>
      <c r="I748" s="275">
        <v>-1</v>
      </c>
    </row>
    <row r="749" spans="2:9" x14ac:dyDescent="0.2">
      <c r="B749" s="13">
        <v>45472</v>
      </c>
      <c r="C749" s="14" t="s">
        <v>25</v>
      </c>
      <c r="D749" s="14" t="s">
        <v>14</v>
      </c>
      <c r="E749" s="14" t="s">
        <v>18</v>
      </c>
      <c r="F749" s="14" t="s">
        <v>10</v>
      </c>
      <c r="G749" s="15">
        <v>1100</v>
      </c>
      <c r="H749" s="275"/>
      <c r="I749" s="275"/>
    </row>
    <row r="750" spans="2:9" x14ac:dyDescent="0.2">
      <c r="B750" s="13">
        <v>45472</v>
      </c>
      <c r="C750" s="14" t="s">
        <v>18</v>
      </c>
      <c r="D750" s="14" t="s">
        <v>14</v>
      </c>
      <c r="E750" s="14" t="s">
        <v>25</v>
      </c>
      <c r="F750" s="14" t="s">
        <v>10</v>
      </c>
      <c r="G750" s="15">
        <v>-1100</v>
      </c>
      <c r="H750" s="275"/>
      <c r="I750" s="275"/>
    </row>
    <row r="751" spans="2:9" x14ac:dyDescent="0.2">
      <c r="B751" s="13">
        <v>45472</v>
      </c>
      <c r="C751" s="14" t="s">
        <v>25</v>
      </c>
      <c r="D751" s="14" t="s">
        <v>31</v>
      </c>
      <c r="E751" s="14" t="s">
        <v>56</v>
      </c>
      <c r="F751" s="14" t="s">
        <v>666</v>
      </c>
      <c r="G751" s="15"/>
      <c r="H751" s="275"/>
      <c r="I751" s="275">
        <v>-126</v>
      </c>
    </row>
    <row r="752" spans="2:9" x14ac:dyDescent="0.2">
      <c r="B752" s="13">
        <v>45472</v>
      </c>
      <c r="C752" s="14" t="s">
        <v>25</v>
      </c>
      <c r="D752" s="14" t="s">
        <v>31</v>
      </c>
      <c r="E752" s="14" t="s">
        <v>56</v>
      </c>
      <c r="F752" s="14" t="s">
        <v>724</v>
      </c>
      <c r="G752" s="15"/>
      <c r="H752" s="275"/>
      <c r="I752" s="275">
        <v>-86</v>
      </c>
    </row>
    <row r="753" spans="2:9" x14ac:dyDescent="0.2">
      <c r="B753" s="13">
        <v>45472</v>
      </c>
      <c r="C753" s="14" t="s">
        <v>25</v>
      </c>
      <c r="D753" s="14" t="s">
        <v>31</v>
      </c>
      <c r="E753" s="14" t="s">
        <v>56</v>
      </c>
      <c r="F753" s="14" t="s">
        <v>725</v>
      </c>
      <c r="G753" s="15"/>
      <c r="H753" s="275"/>
      <c r="I753" s="275">
        <v>-22</v>
      </c>
    </row>
    <row r="754" spans="2:9" x14ac:dyDescent="0.2">
      <c r="B754" s="13">
        <v>45472</v>
      </c>
      <c r="C754" s="14" t="s">
        <v>25</v>
      </c>
      <c r="D754" s="14" t="s">
        <v>31</v>
      </c>
      <c r="E754" s="14" t="s">
        <v>56</v>
      </c>
      <c r="F754" s="14" t="s">
        <v>80</v>
      </c>
      <c r="G754" s="15"/>
      <c r="H754" s="275"/>
      <c r="I754" s="275">
        <v>-148</v>
      </c>
    </row>
    <row r="755" spans="2:9" x14ac:dyDescent="0.2">
      <c r="B755" s="13">
        <v>45472</v>
      </c>
      <c r="C755" s="14" t="s">
        <v>25</v>
      </c>
      <c r="D755" s="14" t="s">
        <v>31</v>
      </c>
      <c r="E755" s="14" t="s">
        <v>56</v>
      </c>
      <c r="F755" s="14" t="s">
        <v>63</v>
      </c>
      <c r="G755" s="15"/>
      <c r="H755" s="275"/>
      <c r="I755" s="275">
        <v>-25</v>
      </c>
    </row>
    <row r="756" spans="2:9" x14ac:dyDescent="0.2">
      <c r="B756" s="13">
        <v>45472</v>
      </c>
      <c r="C756" s="14" t="s">
        <v>25</v>
      </c>
      <c r="D756" s="14" t="s">
        <v>31</v>
      </c>
      <c r="E756" s="14" t="s">
        <v>56</v>
      </c>
      <c r="F756" s="14" t="s">
        <v>99</v>
      </c>
      <c r="G756" s="15"/>
      <c r="H756" s="275"/>
      <c r="I756" s="275">
        <f>-120.5</f>
        <v>-120.5</v>
      </c>
    </row>
    <row r="757" spans="2:9" x14ac:dyDescent="0.2">
      <c r="B757" s="13">
        <v>45473</v>
      </c>
      <c r="C757" s="14" t="s">
        <v>25</v>
      </c>
      <c r="D757" s="14" t="s">
        <v>31</v>
      </c>
      <c r="E757" s="14" t="s">
        <v>56</v>
      </c>
      <c r="F757" s="14" t="s">
        <v>62</v>
      </c>
      <c r="G757" s="15"/>
      <c r="H757" s="275"/>
      <c r="I757" s="275">
        <v>-12</v>
      </c>
    </row>
    <row r="758" spans="2:9" x14ac:dyDescent="0.2">
      <c r="B758" s="13">
        <v>45473</v>
      </c>
      <c r="C758" s="14" t="s">
        <v>25</v>
      </c>
      <c r="D758" s="14" t="s">
        <v>31</v>
      </c>
      <c r="E758" s="14" t="s">
        <v>56</v>
      </c>
      <c r="F758" s="14" t="s">
        <v>726</v>
      </c>
      <c r="G758" s="15"/>
      <c r="H758" s="275"/>
      <c r="I758" s="275">
        <v>-20</v>
      </c>
    </row>
    <row r="759" spans="2:9" x14ac:dyDescent="0.2">
      <c r="B759" s="13">
        <v>45473</v>
      </c>
      <c r="C759" s="14" t="s">
        <v>25</v>
      </c>
      <c r="D759" s="14" t="s">
        <v>31</v>
      </c>
      <c r="E759" s="14" t="s">
        <v>56</v>
      </c>
      <c r="F759" s="14" t="s">
        <v>63</v>
      </c>
      <c r="G759" s="15"/>
      <c r="H759" s="275"/>
      <c r="I759" s="275">
        <v>-44</v>
      </c>
    </row>
    <row r="760" spans="2:9" x14ac:dyDescent="0.2">
      <c r="B760" s="13">
        <v>45473</v>
      </c>
      <c r="C760" s="14" t="s">
        <v>25</v>
      </c>
      <c r="D760" s="14" t="s">
        <v>31</v>
      </c>
      <c r="E760" s="14" t="s">
        <v>56</v>
      </c>
      <c r="F760" s="14" t="s">
        <v>165</v>
      </c>
      <c r="G760" s="15"/>
      <c r="H760" s="275"/>
      <c r="I760" s="275">
        <f>-218-39.5</f>
        <v>-257.5</v>
      </c>
    </row>
    <row r="761" spans="2:9" x14ac:dyDescent="0.2">
      <c r="B761" s="13">
        <v>45474</v>
      </c>
      <c r="C761" s="14" t="s">
        <v>24</v>
      </c>
      <c r="D761" s="14" t="s">
        <v>14</v>
      </c>
      <c r="E761" s="14" t="s">
        <v>21</v>
      </c>
      <c r="F761" s="14" t="s">
        <v>590</v>
      </c>
      <c r="G761" s="15">
        <v>71000</v>
      </c>
      <c r="H761" s="275"/>
      <c r="I761" s="275"/>
    </row>
    <row r="762" spans="2:9" x14ac:dyDescent="0.2">
      <c r="B762" s="13">
        <v>45474</v>
      </c>
      <c r="C762" s="14" t="s">
        <v>24</v>
      </c>
      <c r="D762" s="14" t="s">
        <v>14</v>
      </c>
      <c r="E762" s="14" t="s">
        <v>24</v>
      </c>
      <c r="F762" s="14" t="s">
        <v>676</v>
      </c>
      <c r="G762" s="15"/>
      <c r="H762" s="275"/>
      <c r="I762" s="275">
        <v>-29.09</v>
      </c>
    </row>
    <row r="763" spans="2:9" x14ac:dyDescent="0.2">
      <c r="B763" s="13">
        <v>45474</v>
      </c>
      <c r="C763" s="14" t="s">
        <v>21</v>
      </c>
      <c r="D763" s="14" t="s">
        <v>14</v>
      </c>
      <c r="E763" s="14" t="s">
        <v>24</v>
      </c>
      <c r="F763" s="14" t="s">
        <v>590</v>
      </c>
      <c r="G763" s="15">
        <v>-71000</v>
      </c>
      <c r="H763" s="275"/>
      <c r="I763" s="275"/>
    </row>
    <row r="764" spans="2:9" x14ac:dyDescent="0.2">
      <c r="B764" s="13">
        <v>45474</v>
      </c>
      <c r="C764" s="14" t="s">
        <v>24</v>
      </c>
      <c r="D764" s="14" t="s">
        <v>14</v>
      </c>
      <c r="E764" s="14" t="s">
        <v>24</v>
      </c>
      <c r="F764" s="14" t="s">
        <v>440</v>
      </c>
      <c r="G764" s="15"/>
      <c r="H764" s="275">
        <v>228.41</v>
      </c>
      <c r="I764" s="275"/>
    </row>
    <row r="765" spans="2:9" x14ac:dyDescent="0.2">
      <c r="B765" s="13">
        <v>45474</v>
      </c>
      <c r="C765" s="14" t="s">
        <v>16</v>
      </c>
      <c r="D765" s="14" t="s">
        <v>38</v>
      </c>
      <c r="E765" s="14" t="s">
        <v>96</v>
      </c>
      <c r="F765" s="14" t="s">
        <v>729</v>
      </c>
      <c r="G765" s="15"/>
      <c r="H765" s="275"/>
      <c r="I765" s="275">
        <v>-1860</v>
      </c>
    </row>
    <row r="766" spans="2:9" x14ac:dyDescent="0.2">
      <c r="B766" s="13">
        <v>45474</v>
      </c>
      <c r="C766" s="14" t="s">
        <v>24</v>
      </c>
      <c r="D766" s="14" t="s">
        <v>41</v>
      </c>
      <c r="E766" s="14" t="s">
        <v>42</v>
      </c>
      <c r="F766" s="14" t="s">
        <v>732</v>
      </c>
      <c r="G766" s="15"/>
      <c r="H766" s="275">
        <v>22383.67</v>
      </c>
      <c r="I766" s="275"/>
    </row>
    <row r="767" spans="2:9" x14ac:dyDescent="0.2">
      <c r="B767" s="13">
        <v>45474</v>
      </c>
      <c r="C767" s="14" t="s">
        <v>18</v>
      </c>
      <c r="D767" s="14" t="s">
        <v>31</v>
      </c>
      <c r="E767" s="14" t="s">
        <v>32</v>
      </c>
      <c r="F767" s="14" t="s">
        <v>727</v>
      </c>
      <c r="G767" s="15"/>
      <c r="H767" s="275"/>
      <c r="I767" s="275">
        <v>-2500</v>
      </c>
    </row>
    <row r="768" spans="2:9" x14ac:dyDescent="0.2">
      <c r="B768" s="13">
        <v>45476</v>
      </c>
      <c r="C768" s="14" t="s">
        <v>25</v>
      </c>
      <c r="D768" s="14" t="s">
        <v>126</v>
      </c>
      <c r="E768" s="14" t="s">
        <v>612</v>
      </c>
      <c r="F768" s="14" t="s">
        <v>730</v>
      </c>
      <c r="G768" s="15"/>
      <c r="H768" s="275"/>
      <c r="I768" s="275">
        <v>-289</v>
      </c>
    </row>
    <row r="769" spans="2:9" x14ac:dyDescent="0.2">
      <c r="B769" s="13">
        <v>45476</v>
      </c>
      <c r="C769" s="14" t="s">
        <v>18</v>
      </c>
      <c r="D769" s="14" t="s">
        <v>41</v>
      </c>
      <c r="E769" s="14" t="s">
        <v>45</v>
      </c>
      <c r="F769" s="14" t="s">
        <v>682</v>
      </c>
      <c r="G769" s="15"/>
      <c r="H769" s="275">
        <v>9000</v>
      </c>
      <c r="I769" s="275"/>
    </row>
    <row r="770" spans="2:9" x14ac:dyDescent="0.2">
      <c r="B770" s="13">
        <v>45476</v>
      </c>
      <c r="C770" s="14" t="s">
        <v>25</v>
      </c>
      <c r="D770" s="14" t="s">
        <v>31</v>
      </c>
      <c r="E770" s="14" t="s">
        <v>49</v>
      </c>
      <c r="F770" s="14" t="s">
        <v>78</v>
      </c>
      <c r="G770" s="15"/>
      <c r="H770" s="275"/>
      <c r="I770" s="275">
        <v>-30</v>
      </c>
    </row>
    <row r="771" spans="2:9" x14ac:dyDescent="0.2">
      <c r="B771" s="13">
        <v>45476</v>
      </c>
      <c r="C771" s="14" t="s">
        <v>25</v>
      </c>
      <c r="D771" s="14" t="s">
        <v>31</v>
      </c>
      <c r="E771" s="14" t="s">
        <v>49</v>
      </c>
      <c r="F771" s="14" t="s">
        <v>604</v>
      </c>
      <c r="G771" s="15"/>
      <c r="H771" s="275"/>
      <c r="I771" s="275">
        <v>-4</v>
      </c>
    </row>
    <row r="772" spans="2:9" x14ac:dyDescent="0.2">
      <c r="B772" s="13">
        <v>45477</v>
      </c>
      <c r="C772" s="14" t="s">
        <v>24</v>
      </c>
      <c r="D772" s="14" t="s">
        <v>14</v>
      </c>
      <c r="E772" s="14" t="s">
        <v>21</v>
      </c>
      <c r="F772" s="14" t="s">
        <v>442</v>
      </c>
      <c r="G772" s="15">
        <v>-100000</v>
      </c>
      <c r="H772" s="275"/>
      <c r="I772" s="275"/>
    </row>
    <row r="773" spans="2:9" x14ac:dyDescent="0.2">
      <c r="B773" s="13">
        <v>45477</v>
      </c>
      <c r="C773" s="14" t="s">
        <v>21</v>
      </c>
      <c r="D773" s="14" t="s">
        <v>14</v>
      </c>
      <c r="E773" s="14" t="s">
        <v>24</v>
      </c>
      <c r="F773" s="14" t="s">
        <v>442</v>
      </c>
      <c r="G773" s="15">
        <v>100000</v>
      </c>
      <c r="H773" s="275"/>
      <c r="I773" s="275"/>
    </row>
    <row r="774" spans="2:9" x14ac:dyDescent="0.2">
      <c r="B774" s="13">
        <v>45477</v>
      </c>
      <c r="C774" s="14" t="s">
        <v>16</v>
      </c>
      <c r="D774" s="14" t="s">
        <v>41</v>
      </c>
      <c r="E774" s="14" t="s">
        <v>47</v>
      </c>
      <c r="F774" s="14" t="s">
        <v>731</v>
      </c>
      <c r="G774" s="15"/>
      <c r="H774" s="275">
        <v>7000</v>
      </c>
      <c r="I774" s="275"/>
    </row>
    <row r="775" spans="2:9" x14ac:dyDescent="0.2">
      <c r="B775" s="13">
        <v>45477</v>
      </c>
      <c r="C775" s="14" t="s">
        <v>24</v>
      </c>
      <c r="D775" s="14" t="s">
        <v>41</v>
      </c>
      <c r="E775" s="14" t="s">
        <v>46</v>
      </c>
      <c r="F775" s="14" t="s">
        <v>732</v>
      </c>
      <c r="G775" s="15"/>
      <c r="H775" s="275">
        <v>2383.3200000000002</v>
      </c>
      <c r="I775" s="275"/>
    </row>
    <row r="776" spans="2:9" x14ac:dyDescent="0.2">
      <c r="B776" s="13">
        <v>45478</v>
      </c>
      <c r="C776" s="14" t="s">
        <v>24</v>
      </c>
      <c r="D776" s="14" t="s">
        <v>14</v>
      </c>
      <c r="E776" s="14" t="s">
        <v>18</v>
      </c>
      <c r="F776" s="14" t="s">
        <v>10</v>
      </c>
      <c r="G776" s="15">
        <v>-9000</v>
      </c>
      <c r="H776" s="275"/>
      <c r="I776" s="275"/>
    </row>
    <row r="777" spans="2:9" x14ac:dyDescent="0.2">
      <c r="B777" s="13">
        <v>45478</v>
      </c>
      <c r="C777" s="14" t="s">
        <v>18</v>
      </c>
      <c r="D777" s="14" t="s">
        <v>14</v>
      </c>
      <c r="E777" s="14" t="s">
        <v>24</v>
      </c>
      <c r="F777" s="14" t="s">
        <v>10</v>
      </c>
      <c r="G777" s="15">
        <v>9000</v>
      </c>
      <c r="H777" s="275"/>
      <c r="I777" s="275"/>
    </row>
    <row r="778" spans="2:9" x14ac:dyDescent="0.2">
      <c r="B778" s="13">
        <v>45478</v>
      </c>
      <c r="C778" s="14" t="s">
        <v>18</v>
      </c>
      <c r="D778" s="14" t="s">
        <v>38</v>
      </c>
      <c r="E778" s="14" t="s">
        <v>39</v>
      </c>
      <c r="F778" s="14" t="s">
        <v>732</v>
      </c>
      <c r="G778" s="15"/>
      <c r="H778" s="275"/>
      <c r="I778" s="275">
        <v>-185</v>
      </c>
    </row>
    <row r="779" spans="2:9" x14ac:dyDescent="0.2">
      <c r="B779" s="13">
        <v>45478</v>
      </c>
      <c r="C779" s="14" t="s">
        <v>18</v>
      </c>
      <c r="D779" s="14" t="s">
        <v>43</v>
      </c>
      <c r="E779" s="14" t="s">
        <v>44</v>
      </c>
      <c r="F779" s="14" t="s">
        <v>732</v>
      </c>
      <c r="G779" s="15"/>
      <c r="H779" s="275"/>
      <c r="I779" s="275">
        <v>-99</v>
      </c>
    </row>
    <row r="780" spans="2:9" x14ac:dyDescent="0.2">
      <c r="B780" s="13">
        <v>45478</v>
      </c>
      <c r="C780" s="14" t="s">
        <v>16</v>
      </c>
      <c r="D780" s="14" t="s">
        <v>43</v>
      </c>
      <c r="E780" s="14" t="s">
        <v>771</v>
      </c>
      <c r="F780" s="14" t="s">
        <v>732</v>
      </c>
      <c r="G780" s="15"/>
      <c r="H780" s="275"/>
      <c r="I780" s="275">
        <v>-389</v>
      </c>
    </row>
    <row r="781" spans="2:9" x14ac:dyDescent="0.2">
      <c r="B781" s="13">
        <v>45479</v>
      </c>
      <c r="C781" s="14" t="s">
        <v>18</v>
      </c>
      <c r="D781" s="14" t="s">
        <v>38</v>
      </c>
      <c r="E781" s="14" t="s">
        <v>159</v>
      </c>
      <c r="F781" s="14" t="s">
        <v>574</v>
      </c>
      <c r="G781" s="15">
        <v>-500</v>
      </c>
      <c r="H781" s="275"/>
      <c r="I781" s="275"/>
    </row>
    <row r="782" spans="2:9" x14ac:dyDescent="0.2">
      <c r="B782" s="13">
        <v>45479</v>
      </c>
      <c r="C782" s="14" t="s">
        <v>16</v>
      </c>
      <c r="D782" s="14" t="s">
        <v>38</v>
      </c>
      <c r="E782" s="14" t="s">
        <v>159</v>
      </c>
      <c r="F782" s="14" t="s">
        <v>574</v>
      </c>
      <c r="G782" s="15">
        <v>500</v>
      </c>
      <c r="H782" s="275"/>
      <c r="I782" s="275"/>
    </row>
    <row r="783" spans="2:9" x14ac:dyDescent="0.2">
      <c r="B783" s="13">
        <v>45479</v>
      </c>
      <c r="C783" s="14" t="s">
        <v>18</v>
      </c>
      <c r="D783" s="14" t="s">
        <v>31</v>
      </c>
      <c r="E783" s="14" t="s">
        <v>56</v>
      </c>
      <c r="F783" s="14" t="s">
        <v>733</v>
      </c>
      <c r="G783" s="15"/>
      <c r="H783" s="275"/>
      <c r="I783" s="275">
        <v>-82</v>
      </c>
    </row>
    <row r="784" spans="2:9" x14ac:dyDescent="0.2">
      <c r="B784" s="13">
        <v>45479</v>
      </c>
      <c r="C784" s="14" t="s">
        <v>18</v>
      </c>
      <c r="D784" s="14" t="s">
        <v>31</v>
      </c>
      <c r="E784" s="14" t="s">
        <v>56</v>
      </c>
      <c r="F784" s="14" t="s">
        <v>677</v>
      </c>
      <c r="G784" s="15"/>
      <c r="H784" s="275"/>
      <c r="I784" s="275">
        <v>-140</v>
      </c>
    </row>
    <row r="785" spans="2:9" x14ac:dyDescent="0.2">
      <c r="B785" s="13">
        <v>45479</v>
      </c>
      <c r="C785" s="14" t="s">
        <v>18</v>
      </c>
      <c r="D785" s="14" t="s">
        <v>31</v>
      </c>
      <c r="E785" s="14" t="s">
        <v>56</v>
      </c>
      <c r="F785" s="14" t="s">
        <v>734</v>
      </c>
      <c r="G785" s="15"/>
      <c r="H785" s="275"/>
      <c r="I785" s="275">
        <v>-86</v>
      </c>
    </row>
    <row r="786" spans="2:9" x14ac:dyDescent="0.2">
      <c r="B786" s="13">
        <v>45479</v>
      </c>
      <c r="C786" s="14" t="s">
        <v>18</v>
      </c>
      <c r="D786" s="14" t="s">
        <v>31</v>
      </c>
      <c r="E786" s="14" t="s">
        <v>56</v>
      </c>
      <c r="F786" s="14" t="s">
        <v>538</v>
      </c>
      <c r="G786" s="15"/>
      <c r="H786" s="275"/>
      <c r="I786" s="275">
        <v>-378</v>
      </c>
    </row>
    <row r="787" spans="2:9" x14ac:dyDescent="0.2">
      <c r="B787" s="13">
        <v>45479</v>
      </c>
      <c r="C787" s="14" t="s">
        <v>18</v>
      </c>
      <c r="D787" s="14" t="s">
        <v>31</v>
      </c>
      <c r="E787" s="14" t="s">
        <v>56</v>
      </c>
      <c r="F787" s="14" t="s">
        <v>735</v>
      </c>
      <c r="G787" s="15"/>
      <c r="H787" s="275"/>
      <c r="I787" s="275">
        <v>-39</v>
      </c>
    </row>
    <row r="788" spans="2:9" x14ac:dyDescent="0.2">
      <c r="B788" s="13">
        <v>45479</v>
      </c>
      <c r="C788" s="14" t="s">
        <v>18</v>
      </c>
      <c r="D788" s="14" t="s">
        <v>31</v>
      </c>
      <c r="E788" s="14" t="s">
        <v>56</v>
      </c>
      <c r="F788" s="14" t="s">
        <v>736</v>
      </c>
      <c r="G788" s="15"/>
      <c r="H788" s="275"/>
      <c r="I788" s="275">
        <v>-3</v>
      </c>
    </row>
    <row r="789" spans="2:9" x14ac:dyDescent="0.2">
      <c r="B789" s="13">
        <v>45480</v>
      </c>
      <c r="C789" s="14" t="s">
        <v>16</v>
      </c>
      <c r="D789" s="14" t="s">
        <v>14</v>
      </c>
      <c r="E789" s="14" t="s">
        <v>16</v>
      </c>
      <c r="F789" s="14" t="s">
        <v>743</v>
      </c>
      <c r="G789" s="15"/>
      <c r="H789" s="275">
        <f>1.59+1.89</f>
        <v>3.48</v>
      </c>
      <c r="I789" s="275"/>
    </row>
    <row r="790" spans="2:9" x14ac:dyDescent="0.2">
      <c r="B790" s="13">
        <v>45480</v>
      </c>
      <c r="C790" s="14" t="s">
        <v>16</v>
      </c>
      <c r="D790" s="14" t="s">
        <v>14</v>
      </c>
      <c r="E790" s="14" t="s">
        <v>16</v>
      </c>
      <c r="F790" s="14" t="s">
        <v>701</v>
      </c>
      <c r="G790" s="15"/>
      <c r="H790" s="275"/>
      <c r="I790" s="275">
        <v>-3.48</v>
      </c>
    </row>
    <row r="791" spans="2:9" x14ac:dyDescent="0.2">
      <c r="B791" s="13">
        <v>45480</v>
      </c>
      <c r="C791" s="14" t="s">
        <v>25</v>
      </c>
      <c r="D791" s="14" t="s">
        <v>14</v>
      </c>
      <c r="E791" s="14" t="s">
        <v>18</v>
      </c>
      <c r="F791" s="14" t="s">
        <v>10</v>
      </c>
      <c r="G791" s="15">
        <v>214</v>
      </c>
      <c r="H791" s="275"/>
      <c r="I791" s="275"/>
    </row>
    <row r="792" spans="2:9" x14ac:dyDescent="0.2">
      <c r="B792" s="13">
        <v>45480</v>
      </c>
      <c r="C792" s="14" t="s">
        <v>18</v>
      </c>
      <c r="D792" s="14" t="s">
        <v>14</v>
      </c>
      <c r="E792" s="14" t="s">
        <v>25</v>
      </c>
      <c r="F792" s="14" t="s">
        <v>10</v>
      </c>
      <c r="G792" s="15">
        <v>-214</v>
      </c>
      <c r="H792" s="275"/>
      <c r="I792" s="275"/>
    </row>
    <row r="793" spans="2:9" x14ac:dyDescent="0.2">
      <c r="B793" s="13">
        <v>45480</v>
      </c>
      <c r="C793" s="14" t="s">
        <v>18</v>
      </c>
      <c r="D793" s="14" t="s">
        <v>31</v>
      </c>
      <c r="E793" s="14" t="s">
        <v>56</v>
      </c>
      <c r="F793" s="14" t="s">
        <v>737</v>
      </c>
      <c r="G793" s="15"/>
      <c r="H793" s="275"/>
      <c r="I793" s="275">
        <v>-190</v>
      </c>
    </row>
    <row r="794" spans="2:9" x14ac:dyDescent="0.2">
      <c r="B794" s="13">
        <v>45480</v>
      </c>
      <c r="C794" s="14" t="s">
        <v>18</v>
      </c>
      <c r="D794" s="14" t="s">
        <v>31</v>
      </c>
      <c r="E794" s="14" t="s">
        <v>56</v>
      </c>
      <c r="F794" s="14" t="s">
        <v>137</v>
      </c>
      <c r="G794" s="15"/>
      <c r="H794" s="275"/>
      <c r="I794" s="275">
        <v>-149</v>
      </c>
    </row>
    <row r="795" spans="2:9" x14ac:dyDescent="0.2">
      <c r="B795" s="13">
        <v>45480</v>
      </c>
      <c r="C795" s="14" t="s">
        <v>18</v>
      </c>
      <c r="D795" s="14" t="s">
        <v>31</v>
      </c>
      <c r="E795" s="14" t="s">
        <v>56</v>
      </c>
      <c r="F795" s="14" t="s">
        <v>738</v>
      </c>
      <c r="G795" s="15"/>
      <c r="H795" s="275"/>
      <c r="I795" s="275">
        <f>-35</f>
        <v>-35</v>
      </c>
    </row>
    <row r="796" spans="2:9" x14ac:dyDescent="0.2">
      <c r="B796" s="13">
        <v>45480</v>
      </c>
      <c r="C796" s="14" t="s">
        <v>25</v>
      </c>
      <c r="D796" s="14" t="s">
        <v>31</v>
      </c>
      <c r="E796" s="14" t="s">
        <v>56</v>
      </c>
      <c r="F796" s="14" t="s">
        <v>99</v>
      </c>
      <c r="G796" s="15"/>
      <c r="H796" s="275"/>
      <c r="I796" s="275">
        <v>-75</v>
      </c>
    </row>
    <row r="797" spans="2:9" x14ac:dyDescent="0.2">
      <c r="B797" s="13">
        <v>45481</v>
      </c>
      <c r="C797" s="14" t="s">
        <v>18</v>
      </c>
      <c r="D797" s="14" t="s">
        <v>14</v>
      </c>
      <c r="E797" s="14" t="s">
        <v>16</v>
      </c>
      <c r="F797" s="14" t="s">
        <v>477</v>
      </c>
      <c r="G797" s="15">
        <v>-2000</v>
      </c>
      <c r="H797" s="275"/>
      <c r="I797" s="275"/>
    </row>
    <row r="798" spans="2:9" x14ac:dyDescent="0.2">
      <c r="B798" s="13">
        <v>45481</v>
      </c>
      <c r="C798" s="14" t="s">
        <v>16</v>
      </c>
      <c r="D798" s="14" t="s">
        <v>14</v>
      </c>
      <c r="E798" s="14" t="s">
        <v>18</v>
      </c>
      <c r="F798" s="14" t="s">
        <v>477</v>
      </c>
      <c r="G798" s="15">
        <v>2000</v>
      </c>
      <c r="H798" s="275"/>
      <c r="I798" s="275"/>
    </row>
    <row r="799" spans="2:9" x14ac:dyDescent="0.2">
      <c r="B799" s="13">
        <v>45481</v>
      </c>
      <c r="C799" s="14" t="s">
        <v>18</v>
      </c>
      <c r="D799" s="14" t="s">
        <v>31</v>
      </c>
      <c r="E799" s="14" t="s">
        <v>32</v>
      </c>
      <c r="F799" s="14" t="s">
        <v>739</v>
      </c>
      <c r="G799" s="15"/>
      <c r="H799" s="275"/>
      <c r="I799" s="275">
        <v>-2500</v>
      </c>
    </row>
    <row r="800" spans="2:9" x14ac:dyDescent="0.2">
      <c r="B800" s="13">
        <v>45481</v>
      </c>
      <c r="C800" s="14" t="s">
        <v>25</v>
      </c>
      <c r="D800" s="14" t="s">
        <v>31</v>
      </c>
      <c r="E800" s="14" t="s">
        <v>49</v>
      </c>
      <c r="F800" s="14" t="s">
        <v>30</v>
      </c>
      <c r="G800" s="15"/>
      <c r="H800" s="275"/>
      <c r="I800" s="275">
        <v>-250</v>
      </c>
    </row>
    <row r="801" spans="2:9" x14ac:dyDescent="0.2">
      <c r="B801" s="13">
        <v>45482</v>
      </c>
      <c r="C801" s="14" t="s">
        <v>18</v>
      </c>
      <c r="D801" s="14" t="s">
        <v>33</v>
      </c>
      <c r="E801" s="14" t="s">
        <v>34</v>
      </c>
      <c r="F801" s="14" t="s">
        <v>757</v>
      </c>
      <c r="G801" s="15"/>
      <c r="H801" s="275"/>
      <c r="I801" s="275">
        <v>-300</v>
      </c>
    </row>
    <row r="802" spans="2:9" x14ac:dyDescent="0.2">
      <c r="B802" s="13">
        <v>45482</v>
      </c>
      <c r="C802" s="14" t="s">
        <v>23</v>
      </c>
      <c r="D802" s="14" t="s">
        <v>14</v>
      </c>
      <c r="E802" s="14" t="s">
        <v>18</v>
      </c>
      <c r="F802" s="14" t="s">
        <v>10</v>
      </c>
      <c r="G802" s="15">
        <v>10000</v>
      </c>
      <c r="H802" s="275"/>
      <c r="I802" s="275"/>
    </row>
    <row r="803" spans="2:9" x14ac:dyDescent="0.2">
      <c r="B803" s="13">
        <v>45482</v>
      </c>
      <c r="C803" s="14" t="s">
        <v>18</v>
      </c>
      <c r="D803" s="14" t="s">
        <v>14</v>
      </c>
      <c r="E803" s="14" t="s">
        <v>23</v>
      </c>
      <c r="F803" s="14" t="s">
        <v>10</v>
      </c>
      <c r="G803" s="15">
        <v>-10000</v>
      </c>
      <c r="H803" s="275"/>
      <c r="I803" s="275"/>
    </row>
    <row r="804" spans="2:9" x14ac:dyDescent="0.2">
      <c r="B804" s="13">
        <v>45482</v>
      </c>
      <c r="C804" s="14" t="s">
        <v>16</v>
      </c>
      <c r="D804" s="14" t="s">
        <v>126</v>
      </c>
      <c r="E804" s="14" t="s">
        <v>614</v>
      </c>
      <c r="F804" s="14" t="s">
        <v>744</v>
      </c>
      <c r="G804" s="15"/>
      <c r="H804" s="275"/>
      <c r="I804" s="275">
        <v>-52409.84</v>
      </c>
    </row>
    <row r="805" spans="2:9" x14ac:dyDescent="0.2">
      <c r="B805" s="13">
        <v>45482</v>
      </c>
      <c r="C805" s="14" t="s">
        <v>23</v>
      </c>
      <c r="D805" s="14" t="s">
        <v>126</v>
      </c>
      <c r="E805" s="14" t="s">
        <v>614</v>
      </c>
      <c r="F805" s="14" t="s">
        <v>745</v>
      </c>
      <c r="G805" s="15"/>
      <c r="H805" s="275"/>
      <c r="I805" s="275">
        <v>-8379</v>
      </c>
    </row>
    <row r="806" spans="2:9" x14ac:dyDescent="0.2">
      <c r="B806" s="13">
        <v>45482</v>
      </c>
      <c r="C806" s="14" t="s">
        <v>23</v>
      </c>
      <c r="D806" s="14" t="s">
        <v>126</v>
      </c>
      <c r="E806" s="14" t="s">
        <v>614</v>
      </c>
      <c r="F806" s="14" t="s">
        <v>746</v>
      </c>
      <c r="G806" s="15"/>
      <c r="H806" s="275"/>
      <c r="I806" s="275">
        <v>-15840</v>
      </c>
    </row>
    <row r="807" spans="2:9" x14ac:dyDescent="0.2">
      <c r="B807" s="13">
        <v>45482</v>
      </c>
      <c r="C807" s="14" t="s">
        <v>23</v>
      </c>
      <c r="D807" s="14" t="s">
        <v>126</v>
      </c>
      <c r="E807" s="14" t="s">
        <v>614</v>
      </c>
      <c r="F807" s="14" t="s">
        <v>747</v>
      </c>
      <c r="G807" s="15"/>
      <c r="H807" s="275"/>
      <c r="I807" s="275">
        <v>-15840</v>
      </c>
    </row>
    <row r="808" spans="2:9" x14ac:dyDescent="0.2">
      <c r="B808" s="13">
        <v>45482</v>
      </c>
      <c r="C808" s="14" t="s">
        <v>16</v>
      </c>
      <c r="D808" s="14" t="s">
        <v>38</v>
      </c>
      <c r="E808" s="14" t="s">
        <v>159</v>
      </c>
      <c r="F808" s="14" t="s">
        <v>752</v>
      </c>
      <c r="G808" s="15"/>
      <c r="H808" s="275"/>
      <c r="I808" s="275">
        <v>-3000</v>
      </c>
    </row>
    <row r="809" spans="2:9" x14ac:dyDescent="0.2">
      <c r="B809" s="13">
        <v>45483</v>
      </c>
      <c r="C809" s="14" t="s">
        <v>16</v>
      </c>
      <c r="D809" s="14" t="s">
        <v>41</v>
      </c>
      <c r="E809" s="14" t="s">
        <v>47</v>
      </c>
      <c r="F809" s="14" t="s">
        <v>753</v>
      </c>
      <c r="G809" s="15"/>
      <c r="H809" s="275">
        <v>7000</v>
      </c>
      <c r="I809" s="275"/>
    </row>
    <row r="810" spans="2:9" x14ac:dyDescent="0.2">
      <c r="B810" s="13">
        <v>45483</v>
      </c>
      <c r="C810" s="14" t="s">
        <v>25</v>
      </c>
      <c r="D810" s="14" t="s">
        <v>31</v>
      </c>
      <c r="E810" s="14" t="s">
        <v>49</v>
      </c>
      <c r="F810" s="14" t="s">
        <v>78</v>
      </c>
      <c r="G810" s="15"/>
      <c r="H810" s="275"/>
      <c r="I810" s="275">
        <v>-18</v>
      </c>
    </row>
    <row r="811" spans="2:9" x14ac:dyDescent="0.2">
      <c r="B811" s="13">
        <v>45484</v>
      </c>
      <c r="C811" s="14" t="s">
        <v>16</v>
      </c>
      <c r="D811" s="14" t="s">
        <v>43</v>
      </c>
      <c r="E811" s="14" t="s">
        <v>70</v>
      </c>
      <c r="F811" s="14" t="s">
        <v>682</v>
      </c>
      <c r="G811" s="15"/>
      <c r="H811" s="275"/>
      <c r="I811" s="275">
        <v>-300</v>
      </c>
    </row>
    <row r="812" spans="2:9" x14ac:dyDescent="0.2">
      <c r="B812" s="13">
        <v>45485</v>
      </c>
      <c r="C812" s="14" t="s">
        <v>18</v>
      </c>
      <c r="D812" s="14" t="s">
        <v>126</v>
      </c>
      <c r="E812" s="14" t="s">
        <v>614</v>
      </c>
      <c r="F812" s="14" t="s">
        <v>481</v>
      </c>
      <c r="G812" s="15"/>
      <c r="H812" s="275"/>
      <c r="I812" s="275">
        <v>-80</v>
      </c>
    </row>
    <row r="813" spans="2:9" x14ac:dyDescent="0.2">
      <c r="B813" s="13">
        <v>45485</v>
      </c>
      <c r="C813" s="14" t="s">
        <v>18</v>
      </c>
      <c r="D813" s="14" t="s">
        <v>126</v>
      </c>
      <c r="E813" s="14" t="s">
        <v>614</v>
      </c>
      <c r="F813" s="14" t="s">
        <v>758</v>
      </c>
      <c r="G813" s="15"/>
      <c r="H813" s="275"/>
      <c r="I813" s="275">
        <v>-300</v>
      </c>
    </row>
    <row r="814" spans="2:9" x14ac:dyDescent="0.2">
      <c r="B814" s="13">
        <v>45486</v>
      </c>
      <c r="C814" s="14" t="s">
        <v>18</v>
      </c>
      <c r="D814" s="14" t="s">
        <v>33</v>
      </c>
      <c r="E814" s="14" t="s">
        <v>107</v>
      </c>
      <c r="F814" s="14" t="s">
        <v>766</v>
      </c>
      <c r="G814" s="15"/>
      <c r="H814" s="275"/>
      <c r="I814" s="275">
        <v>-138</v>
      </c>
    </row>
    <row r="815" spans="2:9" x14ac:dyDescent="0.2">
      <c r="B815" s="13">
        <v>45486</v>
      </c>
      <c r="C815" s="14" t="s">
        <v>24</v>
      </c>
      <c r="D815" s="14" t="s">
        <v>14</v>
      </c>
      <c r="E815" s="14" t="s">
        <v>18</v>
      </c>
      <c r="F815" s="14" t="s">
        <v>10</v>
      </c>
      <c r="G815" s="15">
        <v>-7000</v>
      </c>
      <c r="H815" s="275"/>
      <c r="I815" s="275"/>
    </row>
    <row r="816" spans="2:9" x14ac:dyDescent="0.2">
      <c r="B816" s="13">
        <v>45486</v>
      </c>
      <c r="C816" s="14" t="s">
        <v>18</v>
      </c>
      <c r="D816" s="14" t="s">
        <v>14</v>
      </c>
      <c r="E816" s="14" t="s">
        <v>24</v>
      </c>
      <c r="F816" s="14" t="s">
        <v>10</v>
      </c>
      <c r="G816" s="15">
        <v>7000</v>
      </c>
      <c r="H816" s="275"/>
      <c r="I816" s="275"/>
    </row>
    <row r="817" spans="2:9" x14ac:dyDescent="0.2">
      <c r="B817" s="13">
        <v>45486</v>
      </c>
      <c r="C817" s="14" t="s">
        <v>18</v>
      </c>
      <c r="D817" s="14" t="s">
        <v>126</v>
      </c>
      <c r="E817" s="14" t="s">
        <v>614</v>
      </c>
      <c r="F817" s="14" t="s">
        <v>759</v>
      </c>
      <c r="G817" s="15"/>
      <c r="H817" s="275"/>
      <c r="I817" s="275">
        <v>-573</v>
      </c>
    </row>
    <row r="818" spans="2:9" x14ac:dyDescent="0.2">
      <c r="B818" s="13">
        <v>45486</v>
      </c>
      <c r="C818" s="14" t="s">
        <v>18</v>
      </c>
      <c r="D818" s="14" t="s">
        <v>126</v>
      </c>
      <c r="E818" s="14" t="s">
        <v>614</v>
      </c>
      <c r="F818" s="14" t="s">
        <v>760</v>
      </c>
      <c r="G818" s="15"/>
      <c r="H818" s="275"/>
      <c r="I818" s="275">
        <v>-1260</v>
      </c>
    </row>
    <row r="819" spans="2:9" x14ac:dyDescent="0.2">
      <c r="B819" s="13">
        <v>45486</v>
      </c>
      <c r="C819" s="14" t="s">
        <v>18</v>
      </c>
      <c r="D819" s="14" t="s">
        <v>126</v>
      </c>
      <c r="E819" s="14" t="s">
        <v>614</v>
      </c>
      <c r="F819" s="14" t="s">
        <v>762</v>
      </c>
      <c r="G819" s="15"/>
      <c r="H819" s="275"/>
      <c r="I819" s="275">
        <v>-300</v>
      </c>
    </row>
    <row r="820" spans="2:9" x14ac:dyDescent="0.2">
      <c r="B820" s="13">
        <v>45486</v>
      </c>
      <c r="C820" s="14" t="s">
        <v>18</v>
      </c>
      <c r="D820" s="14" t="s">
        <v>126</v>
      </c>
      <c r="E820" s="14" t="s">
        <v>614</v>
      </c>
      <c r="F820" s="14" t="s">
        <v>765</v>
      </c>
      <c r="G820" s="15"/>
      <c r="H820" s="275"/>
      <c r="I820" s="275">
        <v>-50</v>
      </c>
    </row>
    <row r="821" spans="2:9" x14ac:dyDescent="0.2">
      <c r="B821" s="13">
        <v>45486</v>
      </c>
      <c r="C821" s="14" t="s">
        <v>18</v>
      </c>
      <c r="D821" s="14" t="s">
        <v>126</v>
      </c>
      <c r="E821" s="14" t="s">
        <v>612</v>
      </c>
      <c r="F821" s="14" t="s">
        <v>761</v>
      </c>
      <c r="G821" s="15"/>
      <c r="H821" s="275"/>
      <c r="I821" s="275">
        <v>-141</v>
      </c>
    </row>
    <row r="822" spans="2:9" x14ac:dyDescent="0.2">
      <c r="B822" s="13">
        <v>45486</v>
      </c>
      <c r="C822" s="14" t="s">
        <v>18</v>
      </c>
      <c r="D822" s="14" t="s">
        <v>31</v>
      </c>
      <c r="E822" s="14" t="s">
        <v>56</v>
      </c>
      <c r="F822" s="14" t="s">
        <v>677</v>
      </c>
      <c r="G822" s="15"/>
      <c r="H822" s="275"/>
      <c r="I822" s="275">
        <v>-56</v>
      </c>
    </row>
    <row r="823" spans="2:9" x14ac:dyDescent="0.2">
      <c r="B823" s="13">
        <v>45486</v>
      </c>
      <c r="C823" s="14" t="s">
        <v>18</v>
      </c>
      <c r="D823" s="14" t="s">
        <v>31</v>
      </c>
      <c r="E823" s="14" t="s">
        <v>56</v>
      </c>
      <c r="F823" s="14" t="s">
        <v>763</v>
      </c>
      <c r="G823" s="15"/>
      <c r="H823" s="275"/>
      <c r="I823" s="275">
        <v>-100</v>
      </c>
    </row>
    <row r="824" spans="2:9" x14ac:dyDescent="0.2">
      <c r="B824" s="13">
        <v>45486</v>
      </c>
      <c r="C824" s="14" t="s">
        <v>18</v>
      </c>
      <c r="D824" s="14" t="s">
        <v>31</v>
      </c>
      <c r="E824" s="14" t="s">
        <v>56</v>
      </c>
      <c r="F824" s="14" t="s">
        <v>80</v>
      </c>
      <c r="G824" s="15"/>
      <c r="H824" s="275"/>
      <c r="I824" s="275">
        <v>-365</v>
      </c>
    </row>
    <row r="825" spans="2:9" x14ac:dyDescent="0.2">
      <c r="B825" s="13">
        <v>45486</v>
      </c>
      <c r="C825" s="14" t="s">
        <v>18</v>
      </c>
      <c r="D825" s="14" t="s">
        <v>31</v>
      </c>
      <c r="E825" s="14" t="s">
        <v>56</v>
      </c>
      <c r="F825" s="14" t="s">
        <v>764</v>
      </c>
      <c r="G825" s="15"/>
      <c r="H825" s="275"/>
      <c r="I825" s="275">
        <v>-33</v>
      </c>
    </row>
    <row r="826" spans="2:9" x14ac:dyDescent="0.2">
      <c r="B826" s="13">
        <v>45486</v>
      </c>
      <c r="C826" s="14" t="s">
        <v>18</v>
      </c>
      <c r="D826" s="14" t="s">
        <v>31</v>
      </c>
      <c r="E826" s="14" t="s">
        <v>56</v>
      </c>
      <c r="F826" s="14" t="s">
        <v>767</v>
      </c>
      <c r="G826" s="15"/>
      <c r="H826" s="275"/>
      <c r="I826" s="275">
        <v>-80</v>
      </c>
    </row>
    <row r="827" spans="2:9" x14ac:dyDescent="0.2">
      <c r="B827" s="13">
        <v>45487</v>
      </c>
      <c r="C827" s="14" t="s">
        <v>18</v>
      </c>
      <c r="D827" s="14" t="s">
        <v>26</v>
      </c>
      <c r="E827" s="14" t="s">
        <v>29</v>
      </c>
      <c r="F827" s="14" t="s">
        <v>534</v>
      </c>
      <c r="G827" s="15">
        <v>-2000</v>
      </c>
      <c r="H827" s="275"/>
      <c r="I827" s="275"/>
    </row>
    <row r="828" spans="2:9" x14ac:dyDescent="0.2">
      <c r="B828" s="13">
        <v>45487</v>
      </c>
      <c r="C828" s="14" t="s">
        <v>16</v>
      </c>
      <c r="D828" s="14" t="s">
        <v>26</v>
      </c>
      <c r="E828" s="14" t="s">
        <v>29</v>
      </c>
      <c r="F828" s="14" t="s">
        <v>534</v>
      </c>
      <c r="G828" s="15">
        <v>2000</v>
      </c>
      <c r="H828" s="275"/>
      <c r="I828" s="275"/>
    </row>
    <row r="829" spans="2:9" x14ac:dyDescent="0.2">
      <c r="B829" s="13">
        <v>45487</v>
      </c>
      <c r="C829" s="14" t="s">
        <v>18</v>
      </c>
      <c r="D829" s="14" t="s">
        <v>31</v>
      </c>
      <c r="E829" s="14" t="s">
        <v>56</v>
      </c>
      <c r="F829" s="14" t="s">
        <v>768</v>
      </c>
      <c r="G829" s="15"/>
      <c r="H829" s="275"/>
      <c r="I829" s="275">
        <v>-68</v>
      </c>
    </row>
    <row r="830" spans="2:9" x14ac:dyDescent="0.2">
      <c r="B830" s="13">
        <v>45487</v>
      </c>
      <c r="C830" s="14" t="s">
        <v>18</v>
      </c>
      <c r="D830" s="14" t="s">
        <v>31</v>
      </c>
      <c r="E830" s="14" t="s">
        <v>56</v>
      </c>
      <c r="F830" s="14" t="s">
        <v>769</v>
      </c>
      <c r="G830" s="15"/>
      <c r="H830" s="275"/>
      <c r="I830" s="275">
        <v>-224</v>
      </c>
    </row>
    <row r="831" spans="2:9" x14ac:dyDescent="0.2">
      <c r="B831" s="13">
        <v>45487</v>
      </c>
      <c r="C831" s="14" t="s">
        <v>18</v>
      </c>
      <c r="D831" s="14" t="s">
        <v>31</v>
      </c>
      <c r="E831" s="14" t="s">
        <v>56</v>
      </c>
      <c r="F831" s="14" t="s">
        <v>99</v>
      </c>
      <c r="G831" s="15"/>
      <c r="H831" s="275"/>
      <c r="I831" s="275">
        <v>-180</v>
      </c>
    </row>
    <row r="832" spans="2:9" x14ac:dyDescent="0.2">
      <c r="B832" s="13">
        <v>45488</v>
      </c>
      <c r="C832" s="14" t="s">
        <v>25</v>
      </c>
      <c r="D832" s="14" t="s">
        <v>14</v>
      </c>
      <c r="E832" s="14" t="s">
        <v>18</v>
      </c>
      <c r="F832" s="14" t="s">
        <v>10</v>
      </c>
      <c r="G832" s="15">
        <v>852</v>
      </c>
      <c r="H832" s="275"/>
      <c r="I832" s="275"/>
    </row>
    <row r="833" spans="2:9" x14ac:dyDescent="0.2">
      <c r="B833" s="13">
        <v>45488</v>
      </c>
      <c r="C833" s="14" t="s">
        <v>18</v>
      </c>
      <c r="D833" s="14" t="s">
        <v>14</v>
      </c>
      <c r="E833" s="14" t="s">
        <v>25</v>
      </c>
      <c r="F833" s="14" t="s">
        <v>10</v>
      </c>
      <c r="G833" s="15">
        <v>-852</v>
      </c>
      <c r="H833" s="275"/>
      <c r="I833" s="275"/>
    </row>
    <row r="834" spans="2:9" x14ac:dyDescent="0.2">
      <c r="B834" s="13">
        <v>45488</v>
      </c>
      <c r="C834" s="14" t="s">
        <v>16</v>
      </c>
      <c r="D834" s="14" t="s">
        <v>38</v>
      </c>
      <c r="E834" s="14" t="s">
        <v>83</v>
      </c>
      <c r="F834" s="14" t="s">
        <v>732</v>
      </c>
      <c r="G834" s="15"/>
      <c r="H834" s="275"/>
      <c r="I834" s="275">
        <v>-300</v>
      </c>
    </row>
    <row r="835" spans="2:9" x14ac:dyDescent="0.2">
      <c r="B835" s="13">
        <v>45488</v>
      </c>
      <c r="C835" s="14" t="s">
        <v>16</v>
      </c>
      <c r="D835" s="14" t="s">
        <v>38</v>
      </c>
      <c r="E835" s="14" t="s">
        <v>87</v>
      </c>
      <c r="F835" s="14" t="s">
        <v>732</v>
      </c>
      <c r="G835" s="15"/>
      <c r="H835" s="275"/>
      <c r="I835" s="275">
        <v>-720</v>
      </c>
    </row>
    <row r="836" spans="2:9" x14ac:dyDescent="0.2">
      <c r="B836" s="13">
        <v>45488</v>
      </c>
      <c r="C836" s="14" t="s">
        <v>18</v>
      </c>
      <c r="D836" s="14" t="s">
        <v>31</v>
      </c>
      <c r="E836" s="14" t="s">
        <v>32</v>
      </c>
      <c r="F836" s="14" t="s">
        <v>754</v>
      </c>
      <c r="G836" s="15"/>
      <c r="H836" s="275"/>
      <c r="I836" s="275">
        <v>-2500</v>
      </c>
    </row>
    <row r="837" spans="2:9" x14ac:dyDescent="0.2">
      <c r="B837" s="13">
        <v>45488</v>
      </c>
      <c r="C837" s="14" t="s">
        <v>25</v>
      </c>
      <c r="D837" s="14" t="s">
        <v>31</v>
      </c>
      <c r="E837" s="14" t="s">
        <v>49</v>
      </c>
      <c r="F837" s="14" t="s">
        <v>773</v>
      </c>
      <c r="G837" s="15"/>
      <c r="H837" s="275"/>
      <c r="I837" s="275">
        <v>-60</v>
      </c>
    </row>
    <row r="838" spans="2:9" x14ac:dyDescent="0.2">
      <c r="B838" s="13">
        <v>45488</v>
      </c>
      <c r="C838" s="14" t="s">
        <v>16</v>
      </c>
      <c r="D838" s="14" t="s">
        <v>43</v>
      </c>
      <c r="E838" s="14" t="s">
        <v>86</v>
      </c>
      <c r="F838" s="14" t="s">
        <v>732</v>
      </c>
      <c r="G838" s="15"/>
      <c r="H838" s="275"/>
      <c r="I838" s="275">
        <v>-285</v>
      </c>
    </row>
    <row r="839" spans="2:9" x14ac:dyDescent="0.2">
      <c r="B839" s="13">
        <v>45488</v>
      </c>
      <c r="C839" s="14" t="s">
        <v>16</v>
      </c>
      <c r="D839" s="14" t="s">
        <v>43</v>
      </c>
      <c r="E839" s="14" t="s">
        <v>770</v>
      </c>
      <c r="F839" s="14" t="s">
        <v>772</v>
      </c>
      <c r="G839" s="15"/>
      <c r="H839" s="275"/>
      <c r="I839" s="275">
        <v>-400</v>
      </c>
    </row>
    <row r="840" spans="2:9" x14ac:dyDescent="0.2">
      <c r="B840" s="13">
        <v>45489</v>
      </c>
      <c r="C840" s="14" t="s">
        <v>662</v>
      </c>
      <c r="D840" s="14" t="s">
        <v>14</v>
      </c>
      <c r="E840" s="14" t="s">
        <v>16</v>
      </c>
      <c r="F840" s="14" t="s">
        <v>10</v>
      </c>
      <c r="G840" s="15">
        <v>-10016.67</v>
      </c>
      <c r="H840" s="275"/>
      <c r="I840" s="275"/>
    </row>
    <row r="841" spans="2:9" x14ac:dyDescent="0.2">
      <c r="B841" s="13">
        <v>45489</v>
      </c>
      <c r="C841" s="14" t="s">
        <v>22</v>
      </c>
      <c r="D841" s="14" t="s">
        <v>14</v>
      </c>
      <c r="E841" s="14" t="s">
        <v>16</v>
      </c>
      <c r="F841" s="14" t="s">
        <v>442</v>
      </c>
      <c r="G841" s="15">
        <v>320000</v>
      </c>
      <c r="H841" s="275"/>
      <c r="I841" s="275"/>
    </row>
    <row r="842" spans="2:9" x14ac:dyDescent="0.2">
      <c r="B842" s="13">
        <v>45489</v>
      </c>
      <c r="C842" s="14" t="s">
        <v>16</v>
      </c>
      <c r="D842" s="14" t="s">
        <v>14</v>
      </c>
      <c r="E842" s="14" t="s">
        <v>22</v>
      </c>
      <c r="F842" s="14" t="s">
        <v>442</v>
      </c>
      <c r="G842" s="15">
        <v>-320000</v>
      </c>
      <c r="H842" s="275"/>
      <c r="I842" s="275"/>
    </row>
    <row r="843" spans="2:9" x14ac:dyDescent="0.2">
      <c r="B843" s="13">
        <v>45489</v>
      </c>
      <c r="C843" s="14" t="s">
        <v>16</v>
      </c>
      <c r="D843" s="14" t="s">
        <v>14</v>
      </c>
      <c r="E843" s="14" t="s">
        <v>662</v>
      </c>
      <c r="F843" s="14" t="s">
        <v>10</v>
      </c>
      <c r="G843" s="15">
        <v>10016.67</v>
      </c>
      <c r="H843" s="275"/>
      <c r="I843" s="275"/>
    </row>
    <row r="844" spans="2:9" x14ac:dyDescent="0.2">
      <c r="B844" s="13">
        <v>45489</v>
      </c>
      <c r="C844" s="14" t="s">
        <v>662</v>
      </c>
      <c r="D844" s="14" t="s">
        <v>14</v>
      </c>
      <c r="E844" s="14" t="s">
        <v>662</v>
      </c>
      <c r="F844" s="14" t="s">
        <v>781</v>
      </c>
      <c r="G844" s="15"/>
      <c r="H844" s="275">
        <v>14.73</v>
      </c>
      <c r="I844" s="275"/>
    </row>
    <row r="845" spans="2:9" x14ac:dyDescent="0.2">
      <c r="B845" s="13">
        <v>45489</v>
      </c>
      <c r="C845" s="14" t="s">
        <v>18</v>
      </c>
      <c r="D845" s="14" t="s">
        <v>126</v>
      </c>
      <c r="E845" s="14" t="s">
        <v>614</v>
      </c>
      <c r="F845" s="14" t="s">
        <v>775</v>
      </c>
      <c r="G845" s="15"/>
      <c r="H845" s="275"/>
      <c r="I845" s="275">
        <v>-118</v>
      </c>
    </row>
    <row r="846" spans="2:9" x14ac:dyDescent="0.2">
      <c r="B846" s="13">
        <v>45489</v>
      </c>
      <c r="C846" s="14" t="s">
        <v>25</v>
      </c>
      <c r="D846" s="14" t="s">
        <v>31</v>
      </c>
      <c r="E846" s="14" t="s">
        <v>49</v>
      </c>
      <c r="F846" s="14" t="s">
        <v>774</v>
      </c>
      <c r="G846" s="15"/>
      <c r="H846" s="275"/>
      <c r="I846" s="275">
        <v>-56</v>
      </c>
    </row>
    <row r="847" spans="2:9" x14ac:dyDescent="0.2">
      <c r="B847" s="13">
        <v>45489</v>
      </c>
      <c r="C847" s="14" t="s">
        <v>25</v>
      </c>
      <c r="D847" s="14" t="s">
        <v>31</v>
      </c>
      <c r="E847" s="14" t="s">
        <v>49</v>
      </c>
      <c r="F847" s="14" t="s">
        <v>776</v>
      </c>
      <c r="G847" s="15"/>
      <c r="H847" s="275"/>
      <c r="I847" s="275">
        <v>-45</v>
      </c>
    </row>
    <row r="848" spans="2:9" x14ac:dyDescent="0.2">
      <c r="B848" s="13">
        <v>45490</v>
      </c>
      <c r="C848" s="14" t="s">
        <v>18</v>
      </c>
      <c r="D848" s="14" t="s">
        <v>126</v>
      </c>
      <c r="E848" s="14" t="s">
        <v>614</v>
      </c>
      <c r="F848" s="14" t="s">
        <v>777</v>
      </c>
      <c r="G848" s="15"/>
      <c r="H848" s="275"/>
      <c r="I848" s="275">
        <v>-8000</v>
      </c>
    </row>
    <row r="849" spans="2:9" x14ac:dyDescent="0.2">
      <c r="B849" s="13">
        <v>45490</v>
      </c>
      <c r="C849" s="14" t="s">
        <v>25</v>
      </c>
      <c r="D849" s="14" t="s">
        <v>31</v>
      </c>
      <c r="E849" s="14" t="s">
        <v>49</v>
      </c>
      <c r="F849" s="14" t="s">
        <v>104</v>
      </c>
      <c r="G849" s="15"/>
      <c r="H849" s="275"/>
      <c r="I849" s="275">
        <v>-40</v>
      </c>
    </row>
    <row r="850" spans="2:9" x14ac:dyDescent="0.2">
      <c r="B850" s="13">
        <v>45490</v>
      </c>
      <c r="C850" s="14" t="s">
        <v>18</v>
      </c>
      <c r="D850" s="14" t="s">
        <v>43</v>
      </c>
      <c r="E850" s="14" t="s">
        <v>72</v>
      </c>
      <c r="F850" s="14" t="s">
        <v>732</v>
      </c>
      <c r="G850" s="15"/>
      <c r="H850" s="275"/>
      <c r="I850" s="275">
        <v>-134</v>
      </c>
    </row>
    <row r="851" spans="2:9" x14ac:dyDescent="0.2">
      <c r="B851" s="13">
        <v>45490</v>
      </c>
      <c r="C851" s="14" t="s">
        <v>18</v>
      </c>
      <c r="D851" s="14" t="s">
        <v>43</v>
      </c>
      <c r="E851" s="14" t="s">
        <v>73</v>
      </c>
      <c r="F851" s="14" t="s">
        <v>732</v>
      </c>
      <c r="G851" s="15"/>
      <c r="H851" s="275"/>
      <c r="I851" s="275">
        <v>-1600</v>
      </c>
    </row>
    <row r="852" spans="2:9" x14ac:dyDescent="0.2">
      <c r="B852" s="13">
        <v>45492</v>
      </c>
      <c r="C852" s="14" t="s">
        <v>18</v>
      </c>
      <c r="D852" s="14" t="s">
        <v>14</v>
      </c>
      <c r="E852" s="14" t="s">
        <v>16</v>
      </c>
      <c r="F852" s="14" t="s">
        <v>10</v>
      </c>
      <c r="G852" s="15">
        <v>10000</v>
      </c>
      <c r="H852" s="275"/>
      <c r="I852" s="275"/>
    </row>
    <row r="853" spans="2:9" x14ac:dyDescent="0.2">
      <c r="B853" s="13">
        <v>45492</v>
      </c>
      <c r="C853" s="14" t="s">
        <v>662</v>
      </c>
      <c r="D853" s="14" t="s">
        <v>14</v>
      </c>
      <c r="E853" s="14" t="s">
        <v>16</v>
      </c>
      <c r="F853" s="14" t="s">
        <v>10</v>
      </c>
      <c r="G853" s="15">
        <v>10000</v>
      </c>
      <c r="H853" s="275"/>
      <c r="I853" s="275"/>
    </row>
    <row r="854" spans="2:9" x14ac:dyDescent="0.2">
      <c r="B854" s="13">
        <v>45492</v>
      </c>
      <c r="C854" s="14" t="s">
        <v>16</v>
      </c>
      <c r="D854" s="14" t="s">
        <v>14</v>
      </c>
      <c r="E854" s="14" t="s">
        <v>18</v>
      </c>
      <c r="F854" s="14" t="s">
        <v>10</v>
      </c>
      <c r="G854" s="15">
        <v>-10000</v>
      </c>
      <c r="H854" s="275"/>
      <c r="I854" s="275"/>
    </row>
    <row r="855" spans="2:9" x14ac:dyDescent="0.2">
      <c r="B855" s="13">
        <v>45492</v>
      </c>
      <c r="C855" s="14" t="s">
        <v>24</v>
      </c>
      <c r="D855" s="14" t="s">
        <v>14</v>
      </c>
      <c r="E855" s="14" t="s">
        <v>18</v>
      </c>
      <c r="F855" s="14" t="s">
        <v>10</v>
      </c>
      <c r="G855" s="15">
        <v>-9000</v>
      </c>
      <c r="H855" s="275"/>
      <c r="I855" s="275"/>
    </row>
    <row r="856" spans="2:9" x14ac:dyDescent="0.2">
      <c r="B856" s="13">
        <v>45492</v>
      </c>
      <c r="C856" s="14" t="s">
        <v>16</v>
      </c>
      <c r="D856" s="14" t="s">
        <v>14</v>
      </c>
      <c r="E856" s="14" t="s">
        <v>662</v>
      </c>
      <c r="F856" s="14" t="s">
        <v>10</v>
      </c>
      <c r="G856" s="15">
        <v>-10000</v>
      </c>
      <c r="H856" s="275"/>
      <c r="I856" s="275"/>
    </row>
    <row r="857" spans="2:9" x14ac:dyDescent="0.2">
      <c r="B857" s="13">
        <v>45492</v>
      </c>
      <c r="C857" s="14" t="s">
        <v>18</v>
      </c>
      <c r="D857" s="14" t="s">
        <v>14</v>
      </c>
      <c r="E857" s="14" t="s">
        <v>24</v>
      </c>
      <c r="F857" s="14" t="s">
        <v>10</v>
      </c>
      <c r="G857" s="15">
        <v>9000</v>
      </c>
      <c r="H857" s="275"/>
      <c r="I857" s="275"/>
    </row>
    <row r="858" spans="2:9" x14ac:dyDescent="0.2">
      <c r="B858" s="13">
        <v>45492</v>
      </c>
      <c r="C858" s="14" t="s">
        <v>18</v>
      </c>
      <c r="D858" s="14" t="s">
        <v>126</v>
      </c>
      <c r="E858" s="14" t="s">
        <v>614</v>
      </c>
      <c r="F858" s="14" t="s">
        <v>780</v>
      </c>
      <c r="G858" s="15"/>
      <c r="H858" s="275"/>
      <c r="I858" s="275">
        <v>-388</v>
      </c>
    </row>
    <row r="859" spans="2:9" x14ac:dyDescent="0.2">
      <c r="B859" s="13">
        <v>45492</v>
      </c>
      <c r="C859" s="14" t="s">
        <v>16</v>
      </c>
      <c r="D859" s="14" t="s">
        <v>41</v>
      </c>
      <c r="E859" s="14" t="s">
        <v>47</v>
      </c>
      <c r="F859" s="14" t="s">
        <v>778</v>
      </c>
      <c r="G859" s="15"/>
      <c r="H859" s="275">
        <v>7000</v>
      </c>
      <c r="I859" s="275"/>
    </row>
    <row r="860" spans="2:9" x14ac:dyDescent="0.2">
      <c r="B860" s="13">
        <v>45492</v>
      </c>
      <c r="C860" s="14" t="s">
        <v>18</v>
      </c>
      <c r="D860" s="14" t="s">
        <v>31</v>
      </c>
      <c r="E860" s="14" t="s">
        <v>56</v>
      </c>
      <c r="F860" s="14" t="s">
        <v>779</v>
      </c>
      <c r="G860" s="15"/>
      <c r="H860" s="275"/>
      <c r="I860" s="275">
        <v>-500</v>
      </c>
    </row>
    <row r="861" spans="2:9" x14ac:dyDescent="0.2">
      <c r="B861" s="13">
        <v>45492</v>
      </c>
      <c r="C861" s="14" t="s">
        <v>25</v>
      </c>
      <c r="D861" s="14" t="s">
        <v>31</v>
      </c>
      <c r="E861" s="14" t="s">
        <v>49</v>
      </c>
      <c r="F861" s="14" t="s">
        <v>691</v>
      </c>
      <c r="G861" s="15"/>
      <c r="H861" s="275"/>
      <c r="I861" s="275">
        <f>-65-20</f>
        <v>-85</v>
      </c>
    </row>
    <row r="862" spans="2:9" x14ac:dyDescent="0.2">
      <c r="B862" s="13">
        <v>45493</v>
      </c>
      <c r="C862" s="14" t="s">
        <v>16</v>
      </c>
      <c r="D862" s="14" t="s">
        <v>38</v>
      </c>
      <c r="E862" s="14" t="s">
        <v>159</v>
      </c>
      <c r="F862" s="14" t="s">
        <v>784</v>
      </c>
      <c r="G862" s="15">
        <f>-1768.1-1913.17</f>
        <v>-3681.27</v>
      </c>
      <c r="H862" s="275"/>
      <c r="I862" s="275"/>
    </row>
    <row r="863" spans="2:9" x14ac:dyDescent="0.2">
      <c r="B863" s="13">
        <v>45493</v>
      </c>
      <c r="C863" s="14" t="s">
        <v>18</v>
      </c>
      <c r="D863" s="14" t="s">
        <v>38</v>
      </c>
      <c r="E863" s="14" t="s">
        <v>159</v>
      </c>
      <c r="F863" s="14" t="s">
        <v>784</v>
      </c>
      <c r="G863" s="15">
        <f>3682-0.73</f>
        <v>3681.27</v>
      </c>
      <c r="H863" s="275"/>
      <c r="I863" s="275"/>
    </row>
    <row r="864" spans="2:9" x14ac:dyDescent="0.2">
      <c r="B864" s="13">
        <v>45493</v>
      </c>
      <c r="C864" s="14" t="s">
        <v>18</v>
      </c>
      <c r="D864" s="14" t="s">
        <v>31</v>
      </c>
      <c r="E864" s="14" t="s">
        <v>56</v>
      </c>
      <c r="F864" s="14" t="s">
        <v>154</v>
      </c>
      <c r="G864" s="15"/>
      <c r="H864" s="275"/>
      <c r="I864" s="275">
        <v>-70</v>
      </c>
    </row>
    <row r="865" spans="2:9" x14ac:dyDescent="0.2">
      <c r="B865" s="13">
        <v>45494</v>
      </c>
      <c r="C865" s="14" t="s">
        <v>25</v>
      </c>
      <c r="D865" s="14" t="s">
        <v>14</v>
      </c>
      <c r="E865" s="14" t="s">
        <v>18</v>
      </c>
      <c r="F865" s="14" t="s">
        <v>10</v>
      </c>
      <c r="G865" s="15">
        <v>322</v>
      </c>
      <c r="H865" s="275"/>
      <c r="I865" s="275"/>
    </row>
    <row r="866" spans="2:9" x14ac:dyDescent="0.2">
      <c r="B866" s="13">
        <v>45494</v>
      </c>
      <c r="C866" s="14" t="s">
        <v>18</v>
      </c>
      <c r="D866" s="14" t="s">
        <v>14</v>
      </c>
      <c r="E866" s="14" t="s">
        <v>25</v>
      </c>
      <c r="F866" s="14" t="s">
        <v>10</v>
      </c>
      <c r="G866" s="15">
        <v>-322</v>
      </c>
      <c r="H866" s="275"/>
      <c r="I866" s="275"/>
    </row>
    <row r="867" spans="2:9" x14ac:dyDescent="0.2">
      <c r="B867" s="13">
        <v>45494</v>
      </c>
      <c r="C867" s="14" t="s">
        <v>18</v>
      </c>
      <c r="D867" s="14" t="s">
        <v>31</v>
      </c>
      <c r="E867" s="14" t="s">
        <v>56</v>
      </c>
      <c r="F867" s="14" t="s">
        <v>782</v>
      </c>
      <c r="G867" s="15"/>
      <c r="H867" s="275"/>
      <c r="I867" s="275">
        <v>-50</v>
      </c>
    </row>
    <row r="868" spans="2:9" x14ac:dyDescent="0.2">
      <c r="B868" s="13">
        <v>45495</v>
      </c>
      <c r="C868" s="14" t="s">
        <v>18</v>
      </c>
      <c r="D868" s="14" t="s">
        <v>31</v>
      </c>
      <c r="E868" s="14" t="s">
        <v>32</v>
      </c>
      <c r="F868" s="14" t="s">
        <v>783</v>
      </c>
      <c r="G868" s="15"/>
      <c r="H868" s="275"/>
      <c r="I868" s="275">
        <v>-2500</v>
      </c>
    </row>
    <row r="869" spans="2:9" x14ac:dyDescent="0.2">
      <c r="B869" s="13">
        <v>45496</v>
      </c>
      <c r="C869" s="14" t="s">
        <v>18</v>
      </c>
      <c r="D869" s="14" t="s">
        <v>126</v>
      </c>
      <c r="E869" s="14" t="s">
        <v>614</v>
      </c>
      <c r="F869" s="14" t="s">
        <v>785</v>
      </c>
      <c r="G869" s="15"/>
      <c r="H869" s="275"/>
      <c r="I869" s="275">
        <v>-4000</v>
      </c>
    </row>
    <row r="870" spans="2:9" x14ac:dyDescent="0.2">
      <c r="B870" s="13">
        <v>45496</v>
      </c>
      <c r="C870" s="14" t="s">
        <v>18</v>
      </c>
      <c r="D870" s="14" t="s">
        <v>43</v>
      </c>
      <c r="E870" s="14" t="s">
        <v>786</v>
      </c>
      <c r="F870" s="14" t="s">
        <v>732</v>
      </c>
      <c r="G870" s="15"/>
      <c r="H870" s="275"/>
      <c r="I870" s="275">
        <v>-13000</v>
      </c>
    </row>
    <row r="871" spans="2:9" x14ac:dyDescent="0.2">
      <c r="B871" s="13">
        <v>45497</v>
      </c>
      <c r="C871" s="14" t="s">
        <v>16</v>
      </c>
      <c r="D871" s="14" t="s">
        <v>38</v>
      </c>
      <c r="E871" s="14" t="s">
        <v>113</v>
      </c>
      <c r="F871" s="14" t="s">
        <v>732</v>
      </c>
      <c r="G871" s="15"/>
      <c r="H871" s="275"/>
      <c r="I871" s="275">
        <v>-994</v>
      </c>
    </row>
    <row r="872" spans="2:9" x14ac:dyDescent="0.2">
      <c r="B872" s="13">
        <v>45497</v>
      </c>
      <c r="C872" s="14" t="s">
        <v>25</v>
      </c>
      <c r="D872" s="14" t="s">
        <v>31</v>
      </c>
      <c r="E872" s="14" t="s">
        <v>49</v>
      </c>
      <c r="F872" s="14" t="s">
        <v>104</v>
      </c>
      <c r="G872" s="15"/>
      <c r="H872" s="275"/>
      <c r="I872" s="275">
        <v>-40</v>
      </c>
    </row>
    <row r="873" spans="2:9" x14ac:dyDescent="0.2">
      <c r="B873" s="13">
        <v>45498</v>
      </c>
      <c r="C873" s="14" t="s">
        <v>16</v>
      </c>
      <c r="D873" s="14" t="s">
        <v>41</v>
      </c>
      <c r="E873" s="14" t="s">
        <v>47</v>
      </c>
      <c r="F873" s="14" t="s">
        <v>787</v>
      </c>
      <c r="G873" s="15"/>
      <c r="H873" s="275">
        <v>7000</v>
      </c>
      <c r="I873" s="275"/>
    </row>
    <row r="874" spans="2:9" x14ac:dyDescent="0.2">
      <c r="B874" s="13">
        <v>45499</v>
      </c>
      <c r="C874" s="14" t="s">
        <v>16</v>
      </c>
      <c r="D874" s="14" t="s">
        <v>38</v>
      </c>
      <c r="E874" s="14" t="s">
        <v>96</v>
      </c>
      <c r="F874" s="14" t="s">
        <v>97</v>
      </c>
      <c r="G874" s="15"/>
      <c r="H874" s="275"/>
      <c r="I874" s="275">
        <v>-1860</v>
      </c>
    </row>
    <row r="875" spans="2:9" x14ac:dyDescent="0.2">
      <c r="B875" s="13">
        <v>45500</v>
      </c>
      <c r="C875" s="14" t="s">
        <v>24</v>
      </c>
      <c r="D875" s="14" t="s">
        <v>14</v>
      </c>
      <c r="E875" s="14" t="s">
        <v>18</v>
      </c>
      <c r="F875" s="14" t="s">
        <v>10</v>
      </c>
      <c r="G875" s="15">
        <v>-4800</v>
      </c>
      <c r="H875" s="275"/>
      <c r="I875" s="275"/>
    </row>
    <row r="876" spans="2:9" x14ac:dyDescent="0.2">
      <c r="B876" s="13">
        <v>45500</v>
      </c>
      <c r="C876" s="14" t="s">
        <v>18</v>
      </c>
      <c r="D876" s="14" t="s">
        <v>14</v>
      </c>
      <c r="E876" s="14" t="s">
        <v>24</v>
      </c>
      <c r="F876" s="14" t="s">
        <v>10</v>
      </c>
      <c r="G876" s="15">
        <v>4800</v>
      </c>
      <c r="H876" s="275"/>
      <c r="I876" s="275"/>
    </row>
    <row r="877" spans="2:9" x14ac:dyDescent="0.2">
      <c r="B877" s="13">
        <v>45500</v>
      </c>
      <c r="C877" s="14" t="s">
        <v>18</v>
      </c>
      <c r="D877" s="14" t="s">
        <v>126</v>
      </c>
      <c r="E877" s="14" t="s">
        <v>614</v>
      </c>
      <c r="F877" s="14" t="s">
        <v>794</v>
      </c>
      <c r="G877" s="15"/>
      <c r="H877" s="275"/>
      <c r="I877" s="275">
        <v>-4000</v>
      </c>
    </row>
    <row r="878" spans="2:9" x14ac:dyDescent="0.2">
      <c r="B878" s="13">
        <v>45500</v>
      </c>
      <c r="C878" s="14" t="s">
        <v>25</v>
      </c>
      <c r="D878" s="14" t="s">
        <v>31</v>
      </c>
      <c r="E878" s="14" t="s">
        <v>56</v>
      </c>
      <c r="F878" s="14" t="s">
        <v>790</v>
      </c>
      <c r="G878" s="15"/>
      <c r="H878" s="275"/>
      <c r="I878" s="275">
        <v>-47</v>
      </c>
    </row>
    <row r="879" spans="2:9" x14ac:dyDescent="0.2">
      <c r="B879" s="13">
        <v>45500</v>
      </c>
      <c r="C879" s="14" t="s">
        <v>18</v>
      </c>
      <c r="D879" s="14" t="s">
        <v>31</v>
      </c>
      <c r="E879" s="14" t="s">
        <v>56</v>
      </c>
      <c r="F879" s="14" t="s">
        <v>165</v>
      </c>
      <c r="G879" s="15"/>
      <c r="H879" s="275"/>
      <c r="I879" s="275">
        <v>-163</v>
      </c>
    </row>
    <row r="880" spans="2:9" x14ac:dyDescent="0.2">
      <c r="B880" s="13">
        <v>45500</v>
      </c>
      <c r="C880" s="14" t="s">
        <v>18</v>
      </c>
      <c r="D880" s="14" t="s">
        <v>31</v>
      </c>
      <c r="E880" s="14" t="s">
        <v>56</v>
      </c>
      <c r="F880" s="14" t="s">
        <v>791</v>
      </c>
      <c r="G880" s="15"/>
      <c r="H880" s="275"/>
      <c r="I880" s="275">
        <v>-86</v>
      </c>
    </row>
    <row r="881" spans="2:9" x14ac:dyDescent="0.2">
      <c r="B881" s="13">
        <v>45500</v>
      </c>
      <c r="C881" s="14" t="s">
        <v>18</v>
      </c>
      <c r="D881" s="14" t="s">
        <v>31</v>
      </c>
      <c r="E881" s="14" t="s">
        <v>56</v>
      </c>
      <c r="F881" s="14" t="s">
        <v>80</v>
      </c>
      <c r="G881" s="15"/>
      <c r="H881" s="275"/>
      <c r="I881" s="275">
        <v>-154</v>
      </c>
    </row>
    <row r="882" spans="2:9" x14ac:dyDescent="0.2">
      <c r="B882" s="13">
        <v>45500</v>
      </c>
      <c r="C882" s="14" t="s">
        <v>18</v>
      </c>
      <c r="D882" s="14" t="s">
        <v>31</v>
      </c>
      <c r="E882" s="14" t="s">
        <v>49</v>
      </c>
      <c r="F882" s="14" t="s">
        <v>468</v>
      </c>
      <c r="G882" s="15"/>
      <c r="H882" s="275"/>
      <c r="I882" s="275">
        <v>-100</v>
      </c>
    </row>
    <row r="883" spans="2:9" x14ac:dyDescent="0.2">
      <c r="B883" s="13">
        <v>45501</v>
      </c>
      <c r="C883" s="14" t="s">
        <v>18</v>
      </c>
      <c r="D883" s="14" t="s">
        <v>31</v>
      </c>
      <c r="E883" s="14" t="s">
        <v>56</v>
      </c>
      <c r="F883" s="14" t="s">
        <v>792</v>
      </c>
      <c r="G883" s="15"/>
      <c r="H883" s="275"/>
      <c r="I883" s="275">
        <v>-114</v>
      </c>
    </row>
    <row r="884" spans="2:9" x14ac:dyDescent="0.2">
      <c r="B884" s="13">
        <v>45501</v>
      </c>
      <c r="C884" s="14" t="s">
        <v>18</v>
      </c>
      <c r="D884" s="14" t="s">
        <v>31</v>
      </c>
      <c r="E884" s="14" t="s">
        <v>56</v>
      </c>
      <c r="F884" s="14" t="s">
        <v>725</v>
      </c>
      <c r="G884" s="15"/>
      <c r="H884" s="275"/>
      <c r="I884" s="275">
        <v>-50</v>
      </c>
    </row>
    <row r="885" spans="2:9" x14ac:dyDescent="0.2">
      <c r="B885" s="13">
        <v>45501</v>
      </c>
      <c r="C885" s="14" t="s">
        <v>18</v>
      </c>
      <c r="D885" s="14" t="s">
        <v>31</v>
      </c>
      <c r="E885" s="14" t="s">
        <v>56</v>
      </c>
      <c r="F885" s="14" t="s">
        <v>62</v>
      </c>
      <c r="G885" s="15"/>
      <c r="H885" s="275"/>
      <c r="I885" s="275">
        <v>-6</v>
      </c>
    </row>
    <row r="886" spans="2:9" x14ac:dyDescent="0.2">
      <c r="B886" s="13">
        <v>45501</v>
      </c>
      <c r="C886" s="14" t="s">
        <v>18</v>
      </c>
      <c r="D886" s="14" t="s">
        <v>31</v>
      </c>
      <c r="E886" s="14" t="s">
        <v>56</v>
      </c>
      <c r="F886" s="14" t="s">
        <v>793</v>
      </c>
      <c r="G886" s="15"/>
      <c r="H886" s="275"/>
      <c r="I886" s="275">
        <v>-113</v>
      </c>
    </row>
    <row r="887" spans="2:9" x14ac:dyDescent="0.2">
      <c r="B887" s="13">
        <v>45501</v>
      </c>
      <c r="C887" s="14" t="s">
        <v>25</v>
      </c>
      <c r="D887" s="14" t="s">
        <v>31</v>
      </c>
      <c r="E887" s="14" t="s">
        <v>49</v>
      </c>
      <c r="F887" s="14" t="s">
        <v>789</v>
      </c>
      <c r="G887" s="15"/>
      <c r="H887" s="275"/>
      <c r="I887" s="275">
        <v>-55</v>
      </c>
    </row>
    <row r="888" spans="2:9" x14ac:dyDescent="0.2">
      <c r="B888" s="13">
        <v>45502</v>
      </c>
      <c r="C888" s="14" t="s">
        <v>25</v>
      </c>
      <c r="D888" s="14" t="s">
        <v>126</v>
      </c>
      <c r="E888" s="14" t="s">
        <v>614</v>
      </c>
      <c r="F888" s="14" t="s">
        <v>795</v>
      </c>
      <c r="G888" s="15"/>
      <c r="H888" s="275"/>
      <c r="I888" s="275">
        <v>-140</v>
      </c>
    </row>
    <row r="889" spans="2:9" x14ac:dyDescent="0.2">
      <c r="B889" s="13">
        <v>45502</v>
      </c>
      <c r="C889" s="14" t="s">
        <v>16</v>
      </c>
      <c r="D889" s="14" t="s">
        <v>41</v>
      </c>
      <c r="E889" s="14" t="s">
        <v>47</v>
      </c>
      <c r="F889" s="14" t="s">
        <v>796</v>
      </c>
      <c r="G889" s="15"/>
      <c r="H889" s="275">
        <v>7000</v>
      </c>
      <c r="I889" s="275"/>
    </row>
    <row r="890" spans="2:9" x14ac:dyDescent="0.2">
      <c r="B890" s="13">
        <v>45502</v>
      </c>
      <c r="C890" s="14" t="s">
        <v>18</v>
      </c>
      <c r="D890" s="14" t="s">
        <v>31</v>
      </c>
      <c r="E890" s="14" t="s">
        <v>32</v>
      </c>
      <c r="F890" s="14" t="s">
        <v>788</v>
      </c>
      <c r="G890" s="15"/>
      <c r="H890" s="275"/>
      <c r="I890" s="275">
        <v>-2500</v>
      </c>
    </row>
    <row r="891" spans="2:9" x14ac:dyDescent="0.2">
      <c r="B891" s="13">
        <v>45503</v>
      </c>
      <c r="C891" s="14" t="s">
        <v>16</v>
      </c>
      <c r="D891" s="14" t="s">
        <v>43</v>
      </c>
      <c r="E891" s="14" t="s">
        <v>118</v>
      </c>
      <c r="F891" s="14" t="s">
        <v>732</v>
      </c>
      <c r="G891" s="15"/>
      <c r="H891" s="275"/>
      <c r="I891" s="275">
        <v>-304</v>
      </c>
    </row>
    <row r="892" spans="2:9" x14ac:dyDescent="0.2">
      <c r="B892" s="13">
        <v>45503</v>
      </c>
      <c r="C892" s="14" t="s">
        <v>25</v>
      </c>
      <c r="D892" s="14" t="s">
        <v>126</v>
      </c>
      <c r="E892" s="14" t="s">
        <v>614</v>
      </c>
      <c r="F892" s="14" t="s">
        <v>800</v>
      </c>
      <c r="G892" s="15"/>
      <c r="H892" s="275"/>
      <c r="I892" s="275">
        <v>-800</v>
      </c>
    </row>
    <row r="893" spans="2:9" x14ac:dyDescent="0.2">
      <c r="B893" s="13">
        <v>45504</v>
      </c>
      <c r="C893" s="14" t="s">
        <v>25</v>
      </c>
      <c r="D893" s="14" t="s">
        <v>31</v>
      </c>
      <c r="E893" s="14" t="s">
        <v>49</v>
      </c>
      <c r="F893" s="14" t="s">
        <v>801</v>
      </c>
      <c r="G893" s="15"/>
      <c r="H893" s="275"/>
      <c r="I893" s="275">
        <v>-26</v>
      </c>
    </row>
    <row r="894" spans="2:9" x14ac:dyDescent="0.2">
      <c r="B894" s="13">
        <v>45504</v>
      </c>
      <c r="C894" s="14" t="s">
        <v>18</v>
      </c>
      <c r="D894" s="14" t="s">
        <v>41</v>
      </c>
      <c r="E894" s="14" t="s">
        <v>45</v>
      </c>
      <c r="F894" s="14" t="s">
        <v>732</v>
      </c>
      <c r="G894" s="15"/>
      <c r="H894" s="275">
        <v>9000</v>
      </c>
      <c r="I894" s="275"/>
    </row>
    <row r="895" spans="2:9" x14ac:dyDescent="0.2">
      <c r="B895" s="13">
        <v>45504</v>
      </c>
      <c r="C895" s="14" t="s">
        <v>18</v>
      </c>
      <c r="D895" s="14" t="s">
        <v>126</v>
      </c>
      <c r="E895" s="14" t="s">
        <v>614</v>
      </c>
      <c r="F895" s="14" t="s">
        <v>802</v>
      </c>
      <c r="G895" s="15"/>
      <c r="H895" s="275"/>
      <c r="I895" s="275">
        <f>-24-18</f>
        <v>-42</v>
      </c>
    </row>
    <row r="896" spans="2:9" x14ac:dyDescent="0.2">
      <c r="B896" s="13">
        <v>45505</v>
      </c>
      <c r="C896" s="14" t="s">
        <v>24</v>
      </c>
      <c r="D896" s="14" t="s">
        <v>41</v>
      </c>
      <c r="E896" s="14" t="s">
        <v>42</v>
      </c>
      <c r="F896" s="14" t="s">
        <v>823</v>
      </c>
      <c r="G896" s="15"/>
      <c r="H896" s="275">
        <v>22383.67</v>
      </c>
      <c r="I896" s="275"/>
    </row>
    <row r="897" spans="2:9" x14ac:dyDescent="0.2">
      <c r="B897" s="13">
        <v>45505</v>
      </c>
      <c r="C897" s="14" t="s">
        <v>21</v>
      </c>
      <c r="D897" s="14" t="s">
        <v>14</v>
      </c>
      <c r="E897" s="14" t="s">
        <v>24</v>
      </c>
      <c r="F897" s="14" t="s">
        <v>590</v>
      </c>
      <c r="G897" s="15">
        <v>-100000</v>
      </c>
      <c r="H897" s="275"/>
      <c r="I897" s="275"/>
    </row>
    <row r="898" spans="2:9" x14ac:dyDescent="0.2">
      <c r="B898" s="13">
        <v>45505</v>
      </c>
      <c r="C898" s="14" t="s">
        <v>24</v>
      </c>
      <c r="D898" s="14" t="s">
        <v>14</v>
      </c>
      <c r="E898" s="14" t="s">
        <v>21</v>
      </c>
      <c r="F898" s="14" t="s">
        <v>590</v>
      </c>
      <c r="G898" s="15">
        <v>100000</v>
      </c>
      <c r="H898" s="275"/>
      <c r="I898" s="275"/>
    </row>
    <row r="899" spans="2:9" x14ac:dyDescent="0.2">
      <c r="B899" s="13">
        <v>45505</v>
      </c>
      <c r="C899" s="14" t="s">
        <v>24</v>
      </c>
      <c r="D899" s="14" t="s">
        <v>14</v>
      </c>
      <c r="E899" s="14" t="s">
        <v>24</v>
      </c>
      <c r="F899" s="14" t="s">
        <v>824</v>
      </c>
      <c r="G899" s="15"/>
      <c r="H899" s="275">
        <v>299.99</v>
      </c>
      <c r="I899" s="275"/>
    </row>
    <row r="900" spans="2:9" x14ac:dyDescent="0.2">
      <c r="B900" s="13">
        <v>45505</v>
      </c>
      <c r="C900" s="14" t="s">
        <v>24</v>
      </c>
      <c r="D900" s="14" t="s">
        <v>14</v>
      </c>
      <c r="E900" s="14" t="s">
        <v>24</v>
      </c>
      <c r="F900" s="14" t="s">
        <v>701</v>
      </c>
      <c r="G900" s="15"/>
      <c r="H900" s="275"/>
      <c r="I900" s="275">
        <v>-38.25</v>
      </c>
    </row>
    <row r="901" spans="2:9" x14ac:dyDescent="0.2">
      <c r="B901" s="13">
        <v>45506</v>
      </c>
      <c r="C901" s="14" t="s">
        <v>24</v>
      </c>
      <c r="D901" s="14" t="s">
        <v>14</v>
      </c>
      <c r="E901" s="14" t="s">
        <v>21</v>
      </c>
      <c r="F901" s="14" t="s">
        <v>825</v>
      </c>
      <c r="G901" s="15">
        <v>-105000</v>
      </c>
      <c r="H901" s="275"/>
      <c r="I901" s="275"/>
    </row>
    <row r="902" spans="2:9" x14ac:dyDescent="0.2">
      <c r="B902" s="13">
        <v>45506</v>
      </c>
      <c r="C902" s="14" t="s">
        <v>21</v>
      </c>
      <c r="D902" s="14" t="s">
        <v>14</v>
      </c>
      <c r="E902" s="14" t="s">
        <v>24</v>
      </c>
      <c r="F902" s="14" t="s">
        <v>825</v>
      </c>
      <c r="G902" s="15">
        <v>105000</v>
      </c>
      <c r="H902" s="275"/>
      <c r="I902" s="275"/>
    </row>
    <row r="903" spans="2:9" x14ac:dyDescent="0.2">
      <c r="B903" s="13"/>
      <c r="C903" s="14"/>
      <c r="D903" s="14"/>
      <c r="E903" s="14"/>
      <c r="F903" s="14"/>
      <c r="G903" s="15"/>
      <c r="H903" s="275"/>
      <c r="I903" s="275"/>
    </row>
  </sheetData>
  <mergeCells count="1">
    <mergeCell ref="C5:E5"/>
  </mergeCells>
  <dataValidations count="5">
    <dataValidation type="list" allowBlank="1" showErrorMessage="1" sqref="E7:E903" xr:uid="{86D36861-BB07-49A4-8AFA-210C17060ACD}">
      <formula1>INDIRECT(D7)</formula1>
    </dataValidation>
    <dataValidation type="decimal" operator="lessThanOrEqual" allowBlank="1" showErrorMessage="1" sqref="I7:I903" xr:uid="{8AD472EC-0AE8-49BD-AB3F-96072D180F84}">
      <formula1>0</formula1>
    </dataValidation>
    <dataValidation type="list" allowBlank="1" showErrorMessage="1" sqref="D7:D903" xr:uid="{04CBD9CE-2AA8-4123-A7B6-D0DA2811F013}">
      <formula1>CATEGORIA</formula1>
    </dataValidation>
    <dataValidation type="list" allowBlank="1" showErrorMessage="1" sqref="C7:C903" xr:uid="{2A591247-E004-4626-81B9-9D401EEFE1A7}">
      <formula1>BANCOS</formula1>
    </dataValidation>
    <dataValidation type="decimal" operator="greaterThanOrEqual" allowBlank="1" showErrorMessage="1" sqref="H7:H287 H289:H714" xr:uid="{EA3660CA-E8F1-417D-9817-DCAB4591B5AC}">
      <formula1>0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0C4B-E470-414E-967C-62545B197561}">
  <dimension ref="A1:K187"/>
  <sheetViews>
    <sheetView workbookViewId="0">
      <pane ySplit="6" topLeftCell="A7" activePane="bottomLeft" state="frozen"/>
      <selection pane="bottomLeft" activeCell="J9" sqref="J9"/>
    </sheetView>
  </sheetViews>
  <sheetFormatPr baseColWidth="10" defaultRowHeight="15" x14ac:dyDescent="0.2"/>
  <cols>
    <col min="1" max="1" width="3.33203125" customWidth="1"/>
    <col min="2" max="2" width="3.88671875" bestFit="1" customWidth="1"/>
    <col min="3" max="3" width="13.44140625" customWidth="1"/>
    <col min="4" max="4" width="25.44140625" customWidth="1"/>
    <col min="6" max="6" width="14" bestFit="1" customWidth="1"/>
    <col min="7" max="7" width="14.5546875" customWidth="1"/>
    <col min="8" max="8" width="14.6640625" customWidth="1"/>
    <col min="9" max="9" width="6" customWidth="1"/>
    <col min="10" max="10" width="14.33203125" customWidth="1"/>
    <col min="11" max="11" width="13.44140625" bestFit="1" customWidth="1"/>
  </cols>
  <sheetData>
    <row r="1" spans="1:11" ht="20.25" x14ac:dyDescent="0.3">
      <c r="A1" s="162"/>
      <c r="B1" s="162"/>
      <c r="C1" s="163" t="s">
        <v>489</v>
      </c>
      <c r="D1" s="162"/>
      <c r="E1" s="162"/>
      <c r="F1" s="162"/>
      <c r="G1" s="162"/>
      <c r="H1" s="162"/>
      <c r="I1" s="162"/>
      <c r="J1" s="292" t="s">
        <v>751</v>
      </c>
      <c r="K1" s="293">
        <v>2219275</v>
      </c>
    </row>
    <row r="2" spans="1:11" ht="15.75" x14ac:dyDescent="0.25">
      <c r="A2" s="162"/>
      <c r="B2" s="162"/>
      <c r="C2" s="164" t="s">
        <v>315</v>
      </c>
      <c r="D2" s="162"/>
      <c r="E2" s="162"/>
      <c r="F2" s="162"/>
      <c r="G2" s="162"/>
      <c r="H2" s="165" t="s">
        <v>490</v>
      </c>
      <c r="I2" s="162"/>
      <c r="J2" s="162"/>
      <c r="K2" s="162"/>
    </row>
    <row r="3" spans="1:11" ht="15.75" x14ac:dyDescent="0.25">
      <c r="A3" s="162"/>
      <c r="B3" s="162"/>
      <c r="C3" s="164" t="s">
        <v>748</v>
      </c>
      <c r="D3" s="162"/>
      <c r="E3" s="162"/>
      <c r="F3" s="162"/>
      <c r="G3" s="162"/>
      <c r="H3" s="166">
        <v>0.108</v>
      </c>
      <c r="I3" s="162">
        <f>H3/12</f>
        <v>8.9999999999999993E-3</v>
      </c>
      <c r="J3" s="162"/>
      <c r="K3" s="162"/>
    </row>
    <row r="4" spans="1:11" ht="15.75" x14ac:dyDescent="0.25">
      <c r="A4" s="162"/>
      <c r="B4" s="162"/>
      <c r="C4" s="164" t="s">
        <v>492</v>
      </c>
      <c r="D4" s="164" t="s">
        <v>602</v>
      </c>
      <c r="E4" s="162"/>
      <c r="F4" s="162"/>
      <c r="G4" s="162"/>
      <c r="H4" s="162"/>
      <c r="I4" s="162"/>
      <c r="J4" s="162"/>
      <c r="K4" s="162"/>
    </row>
    <row r="5" spans="1:11" ht="15.75" x14ac:dyDescent="0.25">
      <c r="A5" s="162"/>
      <c r="B5" s="162"/>
      <c r="C5" s="167" t="s">
        <v>494</v>
      </c>
      <c r="D5" s="168"/>
      <c r="E5" s="168" t="s">
        <v>4</v>
      </c>
      <c r="F5" s="169">
        <v>1100000</v>
      </c>
      <c r="G5" s="169">
        <f>SUBTOTAL(9,G6:G20101)</f>
        <v>1082942.2191215509</v>
      </c>
      <c r="H5" s="169">
        <f>SUBTOTAL(9,H6:H20101)</f>
        <v>1144052.7808784484</v>
      </c>
      <c r="I5" s="169">
        <f>SUBTOTAL(9,I6:I20101)</f>
        <v>0</v>
      </c>
      <c r="J5" s="169">
        <f>SUBTOTAL(9,J6:J20101)</f>
        <v>2226995</v>
      </c>
      <c r="K5" s="169">
        <f>J5-K1</f>
        <v>7720</v>
      </c>
    </row>
    <row r="6" spans="1:11" ht="15.75" x14ac:dyDescent="0.25">
      <c r="A6" s="162"/>
      <c r="B6" s="149" t="s">
        <v>495</v>
      </c>
      <c r="C6" s="149" t="s">
        <v>496</v>
      </c>
      <c r="D6" s="149" t="s">
        <v>497</v>
      </c>
      <c r="E6" s="149" t="s">
        <v>498</v>
      </c>
      <c r="F6" s="149" t="s">
        <v>499</v>
      </c>
      <c r="G6" s="149" t="s">
        <v>500</v>
      </c>
      <c r="H6" s="149" t="s">
        <v>501</v>
      </c>
      <c r="I6" s="149" t="s">
        <v>502</v>
      </c>
      <c r="J6" s="149" t="s">
        <v>222</v>
      </c>
      <c r="K6" s="149" t="s">
        <v>503</v>
      </c>
    </row>
    <row r="7" spans="1:11" ht="15.75" x14ac:dyDescent="0.25">
      <c r="A7" s="162"/>
      <c r="B7" s="171">
        <v>0</v>
      </c>
      <c r="C7" s="172">
        <v>45482</v>
      </c>
      <c r="D7" s="173" t="s">
        <v>749</v>
      </c>
      <c r="E7" s="170"/>
      <c r="F7" s="170"/>
      <c r="G7" s="170"/>
      <c r="H7" s="170"/>
      <c r="I7" s="170"/>
      <c r="J7" s="170"/>
      <c r="K7" s="170">
        <v>1100000</v>
      </c>
    </row>
    <row r="8" spans="1:11" ht="15.75" x14ac:dyDescent="0.25">
      <c r="A8" s="162"/>
      <c r="B8" s="171">
        <v>1</v>
      </c>
      <c r="C8" s="172">
        <v>45497</v>
      </c>
      <c r="D8" s="173" t="s">
        <v>750</v>
      </c>
      <c r="E8" s="174">
        <f>+C8-C7</f>
        <v>15</v>
      </c>
      <c r="F8" s="170">
        <f>+K7</f>
        <v>1100000</v>
      </c>
      <c r="G8" s="170">
        <v>8380</v>
      </c>
      <c r="H8" s="170">
        <v>4620</v>
      </c>
      <c r="I8" s="170">
        <v>0</v>
      </c>
      <c r="J8" s="170">
        <f>SUM(G8:I8)</f>
        <v>13000</v>
      </c>
      <c r="K8" s="170">
        <f>+F8-G8</f>
        <v>1091620</v>
      </c>
    </row>
    <row r="9" spans="1:11" ht="15.75" x14ac:dyDescent="0.25">
      <c r="A9" s="162"/>
      <c r="B9" s="171">
        <v>2</v>
      </c>
      <c r="C9" s="172">
        <v>45530</v>
      </c>
      <c r="D9" s="173" t="s">
        <v>750</v>
      </c>
      <c r="E9" s="174">
        <f>+C9-C8</f>
        <v>33</v>
      </c>
      <c r="F9" s="170">
        <f>+K8</f>
        <v>1091620</v>
      </c>
      <c r="G9" s="170">
        <f>+J9-H9-I9</f>
        <v>2217.9620000000014</v>
      </c>
      <c r="H9" s="170">
        <f t="shared" ref="H9:H72" si="0">+F9*((0.009/30)*E9)</f>
        <v>10807.037999999999</v>
      </c>
      <c r="I9" s="170">
        <v>0</v>
      </c>
      <c r="J9" s="170">
        <v>13025</v>
      </c>
      <c r="K9" s="170">
        <f>+F9-G9</f>
        <v>1089402.0379999999</v>
      </c>
    </row>
    <row r="10" spans="1:11" ht="15.75" x14ac:dyDescent="0.25">
      <c r="A10" s="162"/>
      <c r="B10" s="171">
        <v>3</v>
      </c>
      <c r="C10" s="172">
        <v>45560</v>
      </c>
      <c r="D10" s="173" t="s">
        <v>750</v>
      </c>
      <c r="E10" s="174">
        <f>+C10-C9</f>
        <v>30</v>
      </c>
      <c r="F10" s="170">
        <f>+K9</f>
        <v>1089402.0379999999</v>
      </c>
      <c r="G10" s="170">
        <f t="shared" ref="G10:G73" si="1">+J10-H10-I10</f>
        <v>2560.3816580000021</v>
      </c>
      <c r="H10" s="170">
        <f t="shared" si="0"/>
        <v>9804.6183419999979</v>
      </c>
      <c r="I10" s="170">
        <v>0</v>
      </c>
      <c r="J10" s="170">
        <v>12365</v>
      </c>
      <c r="K10" s="170">
        <f>+F10-G10</f>
        <v>1086841.656342</v>
      </c>
    </row>
    <row r="11" spans="1:11" ht="15.75" x14ac:dyDescent="0.25">
      <c r="A11" s="162"/>
      <c r="B11" s="171">
        <v>4</v>
      </c>
      <c r="C11" s="172">
        <v>45590</v>
      </c>
      <c r="D11" s="173" t="s">
        <v>750</v>
      </c>
      <c r="E11" s="174">
        <f t="shared" ref="E11:E74" si="2">+C11-C10</f>
        <v>30</v>
      </c>
      <c r="F11" s="170">
        <f t="shared" ref="F11:F74" si="3">+K10</f>
        <v>1086841.656342</v>
      </c>
      <c r="G11" s="170">
        <f t="shared" si="1"/>
        <v>2583.4250929220016</v>
      </c>
      <c r="H11" s="170">
        <f t="shared" si="0"/>
        <v>9781.5749070779984</v>
      </c>
      <c r="I11" s="170">
        <v>0</v>
      </c>
      <c r="J11" s="170">
        <v>12365</v>
      </c>
      <c r="K11" s="170">
        <f t="shared" ref="K11:K74" si="4">+F11-G11</f>
        <v>1084258.2312490779</v>
      </c>
    </row>
    <row r="12" spans="1:11" ht="15.75" x14ac:dyDescent="0.25">
      <c r="A12" s="162"/>
      <c r="B12" s="171">
        <v>5</v>
      </c>
      <c r="C12" s="172">
        <v>45621</v>
      </c>
      <c r="D12" s="173" t="s">
        <v>750</v>
      </c>
      <c r="E12" s="174">
        <f t="shared" si="2"/>
        <v>31</v>
      </c>
      <c r="F12" s="170">
        <f t="shared" si="3"/>
        <v>1084258.2312490779</v>
      </c>
      <c r="G12" s="170">
        <f t="shared" si="1"/>
        <v>2281.398449383576</v>
      </c>
      <c r="H12" s="170">
        <f t="shared" si="0"/>
        <v>10083.601550616424</v>
      </c>
      <c r="I12" s="170">
        <v>0</v>
      </c>
      <c r="J12" s="170">
        <v>12365</v>
      </c>
      <c r="K12" s="170">
        <f t="shared" si="4"/>
        <v>1081976.8327996943</v>
      </c>
    </row>
    <row r="13" spans="1:11" ht="15.75" x14ac:dyDescent="0.25">
      <c r="A13" s="162"/>
      <c r="B13" s="171">
        <v>6</v>
      </c>
      <c r="C13" s="172">
        <v>45651</v>
      </c>
      <c r="D13" s="173" t="s">
        <v>750</v>
      </c>
      <c r="E13" s="174">
        <f t="shared" si="2"/>
        <v>30</v>
      </c>
      <c r="F13" s="170">
        <f t="shared" si="3"/>
        <v>1081976.8327996943</v>
      </c>
      <c r="G13" s="170">
        <f t="shared" si="1"/>
        <v>2627.2085048027529</v>
      </c>
      <c r="H13" s="170">
        <f t="shared" si="0"/>
        <v>9737.7914951972471</v>
      </c>
      <c r="I13" s="170">
        <v>0</v>
      </c>
      <c r="J13" s="170">
        <v>12365</v>
      </c>
      <c r="K13" s="170">
        <f t="shared" si="4"/>
        <v>1079349.6242948915</v>
      </c>
    </row>
    <row r="14" spans="1:11" ht="15.75" x14ac:dyDescent="0.25">
      <c r="A14" s="162"/>
      <c r="B14" s="171">
        <v>7</v>
      </c>
      <c r="C14" s="172">
        <v>45682</v>
      </c>
      <c r="D14" s="173" t="s">
        <v>750</v>
      </c>
      <c r="E14" s="174">
        <f t="shared" si="2"/>
        <v>31</v>
      </c>
      <c r="F14" s="170">
        <f t="shared" si="3"/>
        <v>1079349.6242948915</v>
      </c>
      <c r="G14" s="170">
        <f t="shared" si="1"/>
        <v>2327.0484940575097</v>
      </c>
      <c r="H14" s="170">
        <f t="shared" si="0"/>
        <v>10037.95150594249</v>
      </c>
      <c r="I14" s="170">
        <v>0</v>
      </c>
      <c r="J14" s="170">
        <v>12365</v>
      </c>
      <c r="K14" s="170">
        <f t="shared" si="4"/>
        <v>1077022.575800834</v>
      </c>
    </row>
    <row r="15" spans="1:11" ht="15.75" x14ac:dyDescent="0.25">
      <c r="A15" s="162"/>
      <c r="B15" s="171">
        <v>8</v>
      </c>
      <c r="C15" s="172">
        <v>45713</v>
      </c>
      <c r="D15" s="173" t="s">
        <v>750</v>
      </c>
      <c r="E15" s="174">
        <f t="shared" si="2"/>
        <v>31</v>
      </c>
      <c r="F15" s="170">
        <f t="shared" si="3"/>
        <v>1077022.575800834</v>
      </c>
      <c r="G15" s="170">
        <f t="shared" si="1"/>
        <v>2348.6900450522444</v>
      </c>
      <c r="H15" s="170">
        <f t="shared" si="0"/>
        <v>10016.309954947756</v>
      </c>
      <c r="I15" s="170">
        <v>0</v>
      </c>
      <c r="J15" s="170">
        <v>12365</v>
      </c>
      <c r="K15" s="170">
        <f t="shared" si="4"/>
        <v>1074673.8857557818</v>
      </c>
    </row>
    <row r="16" spans="1:11" ht="15.75" x14ac:dyDescent="0.25">
      <c r="A16" s="162"/>
      <c r="B16" s="171">
        <v>9</v>
      </c>
      <c r="C16" s="172">
        <v>45741</v>
      </c>
      <c r="D16" s="173" t="s">
        <v>750</v>
      </c>
      <c r="E16" s="174">
        <f t="shared" si="2"/>
        <v>28</v>
      </c>
      <c r="F16" s="170">
        <f t="shared" si="3"/>
        <v>1074673.8857557818</v>
      </c>
      <c r="G16" s="170">
        <f t="shared" si="1"/>
        <v>3337.7393596514339</v>
      </c>
      <c r="H16" s="170">
        <f t="shared" si="0"/>
        <v>9027.2606403485661</v>
      </c>
      <c r="I16" s="170">
        <v>0</v>
      </c>
      <c r="J16" s="170">
        <v>12365</v>
      </c>
      <c r="K16" s="170">
        <f t="shared" si="4"/>
        <v>1071336.1463961303</v>
      </c>
    </row>
    <row r="17" spans="1:11" ht="15.75" x14ac:dyDescent="0.25">
      <c r="A17" s="162"/>
      <c r="B17" s="171">
        <v>10</v>
      </c>
      <c r="C17" s="172">
        <v>45772</v>
      </c>
      <c r="D17" s="173" t="s">
        <v>750</v>
      </c>
      <c r="E17" s="174">
        <f t="shared" si="2"/>
        <v>31</v>
      </c>
      <c r="F17" s="170">
        <f t="shared" si="3"/>
        <v>1071336.1463961303</v>
      </c>
      <c r="G17" s="170">
        <f t="shared" si="1"/>
        <v>2401.5738385159893</v>
      </c>
      <c r="H17" s="170">
        <f t="shared" si="0"/>
        <v>9963.4261614840107</v>
      </c>
      <c r="I17" s="170">
        <v>0</v>
      </c>
      <c r="J17" s="170">
        <v>12365</v>
      </c>
      <c r="K17" s="170">
        <f t="shared" si="4"/>
        <v>1068934.5725576144</v>
      </c>
    </row>
    <row r="18" spans="1:11" ht="15.75" x14ac:dyDescent="0.25">
      <c r="A18" s="162"/>
      <c r="B18" s="171">
        <v>11</v>
      </c>
      <c r="C18" s="172">
        <v>45802</v>
      </c>
      <c r="D18" s="173" t="s">
        <v>750</v>
      </c>
      <c r="E18" s="174">
        <f t="shared" si="2"/>
        <v>30</v>
      </c>
      <c r="F18" s="170">
        <f t="shared" si="3"/>
        <v>1068934.5725576144</v>
      </c>
      <c r="G18" s="170">
        <f t="shared" si="1"/>
        <v>2744.5888469814709</v>
      </c>
      <c r="H18" s="170">
        <f t="shared" si="0"/>
        <v>9620.4111530185291</v>
      </c>
      <c r="I18" s="170">
        <v>0</v>
      </c>
      <c r="J18" s="170">
        <v>12365</v>
      </c>
      <c r="K18" s="170">
        <f t="shared" si="4"/>
        <v>1066189.9837106329</v>
      </c>
    </row>
    <row r="19" spans="1:11" ht="15.75" x14ac:dyDescent="0.25">
      <c r="A19" s="162"/>
      <c r="B19" s="171">
        <v>12</v>
      </c>
      <c r="C19" s="172">
        <v>45833</v>
      </c>
      <c r="D19" s="173" t="s">
        <v>750</v>
      </c>
      <c r="E19" s="174">
        <f t="shared" si="2"/>
        <v>31</v>
      </c>
      <c r="F19" s="170">
        <f t="shared" si="3"/>
        <v>1066189.9837106329</v>
      </c>
      <c r="G19" s="170">
        <f t="shared" si="1"/>
        <v>2449.4331514911155</v>
      </c>
      <c r="H19" s="170">
        <f t="shared" si="0"/>
        <v>9915.5668485088845</v>
      </c>
      <c r="I19" s="170">
        <v>0</v>
      </c>
      <c r="J19" s="170">
        <v>12365</v>
      </c>
      <c r="K19" s="170">
        <f t="shared" si="4"/>
        <v>1063740.5505591417</v>
      </c>
    </row>
    <row r="20" spans="1:11" ht="15.75" x14ac:dyDescent="0.25">
      <c r="A20" s="162"/>
      <c r="B20" s="171">
        <v>13</v>
      </c>
      <c r="C20" s="172">
        <v>45863</v>
      </c>
      <c r="D20" s="173" t="s">
        <v>750</v>
      </c>
      <c r="E20" s="174">
        <f t="shared" si="2"/>
        <v>30</v>
      </c>
      <c r="F20" s="170">
        <f t="shared" si="3"/>
        <v>1063740.5505591417</v>
      </c>
      <c r="G20" s="170">
        <f t="shared" si="1"/>
        <v>2791.3350449677255</v>
      </c>
      <c r="H20" s="170">
        <f t="shared" si="0"/>
        <v>9573.6649550322745</v>
      </c>
      <c r="I20" s="170">
        <v>0</v>
      </c>
      <c r="J20" s="170">
        <v>12365</v>
      </c>
      <c r="K20" s="170">
        <f t="shared" si="4"/>
        <v>1060949.215514174</v>
      </c>
    </row>
    <row r="21" spans="1:11" ht="15.75" x14ac:dyDescent="0.25">
      <c r="A21" s="162"/>
      <c r="B21" s="171">
        <v>14</v>
      </c>
      <c r="C21" s="172">
        <v>45894</v>
      </c>
      <c r="D21" s="173" t="s">
        <v>750</v>
      </c>
      <c r="E21" s="174">
        <f t="shared" si="2"/>
        <v>31</v>
      </c>
      <c r="F21" s="170">
        <f t="shared" si="3"/>
        <v>1060949.215514174</v>
      </c>
      <c r="G21" s="170">
        <f t="shared" si="1"/>
        <v>2498.1722957181828</v>
      </c>
      <c r="H21" s="170">
        <f t="shared" si="0"/>
        <v>9866.8277042818172</v>
      </c>
      <c r="I21" s="170">
        <v>0</v>
      </c>
      <c r="J21" s="170">
        <v>12365</v>
      </c>
      <c r="K21" s="170">
        <f t="shared" si="4"/>
        <v>1058451.0432184557</v>
      </c>
    </row>
    <row r="22" spans="1:11" ht="15.75" x14ac:dyDescent="0.25">
      <c r="A22" s="162"/>
      <c r="B22" s="171">
        <v>15</v>
      </c>
      <c r="C22" s="172">
        <v>45925</v>
      </c>
      <c r="D22" s="173" t="s">
        <v>750</v>
      </c>
      <c r="E22" s="174">
        <f t="shared" si="2"/>
        <v>31</v>
      </c>
      <c r="F22" s="170">
        <f t="shared" si="3"/>
        <v>1058451.0432184557</v>
      </c>
      <c r="G22" s="170">
        <f t="shared" si="1"/>
        <v>2521.4052980683628</v>
      </c>
      <c r="H22" s="170">
        <f t="shared" si="0"/>
        <v>9843.5947019316372</v>
      </c>
      <c r="I22" s="170">
        <v>0</v>
      </c>
      <c r="J22" s="170">
        <v>12365</v>
      </c>
      <c r="K22" s="170">
        <f t="shared" si="4"/>
        <v>1055929.6379203873</v>
      </c>
    </row>
    <row r="23" spans="1:11" ht="15.75" x14ac:dyDescent="0.25">
      <c r="A23" s="162"/>
      <c r="B23" s="171">
        <v>16</v>
      </c>
      <c r="C23" s="172">
        <v>45955</v>
      </c>
      <c r="D23" s="173" t="s">
        <v>750</v>
      </c>
      <c r="E23" s="174">
        <f t="shared" si="2"/>
        <v>30</v>
      </c>
      <c r="F23" s="170">
        <f t="shared" si="3"/>
        <v>1055929.6379203873</v>
      </c>
      <c r="G23" s="170">
        <f t="shared" si="1"/>
        <v>2861.6332587165143</v>
      </c>
      <c r="H23" s="170">
        <f t="shared" si="0"/>
        <v>9503.3667412834857</v>
      </c>
      <c r="I23" s="170">
        <v>0</v>
      </c>
      <c r="J23" s="170">
        <v>12365</v>
      </c>
      <c r="K23" s="170">
        <f t="shared" si="4"/>
        <v>1053068.0046616709</v>
      </c>
    </row>
    <row r="24" spans="1:11" ht="15.75" x14ac:dyDescent="0.25">
      <c r="A24" s="162"/>
      <c r="B24" s="171">
        <v>17</v>
      </c>
      <c r="C24" s="172">
        <v>45986</v>
      </c>
      <c r="D24" s="173" t="s">
        <v>750</v>
      </c>
      <c r="E24" s="174">
        <f t="shared" si="2"/>
        <v>31</v>
      </c>
      <c r="F24" s="170">
        <f t="shared" si="3"/>
        <v>1053068.0046616709</v>
      </c>
      <c r="G24" s="170">
        <f t="shared" si="1"/>
        <v>2571.4675566464612</v>
      </c>
      <c r="H24" s="170">
        <f t="shared" si="0"/>
        <v>9793.5324433535388</v>
      </c>
      <c r="I24" s="170">
        <v>0</v>
      </c>
      <c r="J24" s="170">
        <v>12365</v>
      </c>
      <c r="K24" s="170">
        <f t="shared" si="4"/>
        <v>1050496.5371050243</v>
      </c>
    </row>
    <row r="25" spans="1:11" ht="15.75" x14ac:dyDescent="0.25">
      <c r="A25" s="162"/>
      <c r="B25" s="171">
        <v>18</v>
      </c>
      <c r="C25" s="172">
        <v>46016</v>
      </c>
      <c r="D25" s="173" t="s">
        <v>750</v>
      </c>
      <c r="E25" s="174">
        <f t="shared" si="2"/>
        <v>30</v>
      </c>
      <c r="F25" s="170">
        <f t="shared" si="3"/>
        <v>1050496.5371050243</v>
      </c>
      <c r="G25" s="170">
        <f t="shared" si="1"/>
        <v>2910.5311660547814</v>
      </c>
      <c r="H25" s="170">
        <f t="shared" si="0"/>
        <v>9454.4688339452186</v>
      </c>
      <c r="I25" s="170">
        <v>0</v>
      </c>
      <c r="J25" s="170">
        <v>12365</v>
      </c>
      <c r="K25" s="170">
        <f t="shared" si="4"/>
        <v>1047586.0059389696</v>
      </c>
    </row>
    <row r="26" spans="1:11" ht="15.75" x14ac:dyDescent="0.25">
      <c r="A26" s="162"/>
      <c r="B26" s="171">
        <v>19</v>
      </c>
      <c r="C26" s="172">
        <v>46047</v>
      </c>
      <c r="D26" s="173" t="s">
        <v>750</v>
      </c>
      <c r="E26" s="174">
        <f t="shared" si="2"/>
        <v>31</v>
      </c>
      <c r="F26" s="170">
        <f t="shared" si="3"/>
        <v>1047586.0059389696</v>
      </c>
      <c r="G26" s="170">
        <f t="shared" si="1"/>
        <v>2622.4501447675848</v>
      </c>
      <c r="H26" s="170">
        <f t="shared" si="0"/>
        <v>9742.5498552324152</v>
      </c>
      <c r="I26" s="170">
        <v>0</v>
      </c>
      <c r="J26" s="170">
        <v>12365</v>
      </c>
      <c r="K26" s="170">
        <f t="shared" si="4"/>
        <v>1044963.555794202</v>
      </c>
    </row>
    <row r="27" spans="1:11" ht="15.75" x14ac:dyDescent="0.25">
      <c r="A27" s="162"/>
      <c r="B27" s="171">
        <v>20</v>
      </c>
      <c r="C27" s="172">
        <v>46078</v>
      </c>
      <c r="D27" s="173" t="s">
        <v>750</v>
      </c>
      <c r="E27" s="174">
        <f t="shared" si="2"/>
        <v>31</v>
      </c>
      <c r="F27" s="170">
        <f t="shared" si="3"/>
        <v>1044963.555794202</v>
      </c>
      <c r="G27" s="170">
        <f t="shared" si="1"/>
        <v>2646.8389311139217</v>
      </c>
      <c r="H27" s="170">
        <f t="shared" si="0"/>
        <v>9718.1610688860783</v>
      </c>
      <c r="I27" s="170">
        <v>0</v>
      </c>
      <c r="J27" s="170">
        <v>12365</v>
      </c>
      <c r="K27" s="170">
        <f t="shared" si="4"/>
        <v>1042316.7168630881</v>
      </c>
    </row>
    <row r="28" spans="1:11" ht="15.75" x14ac:dyDescent="0.25">
      <c r="A28" s="162"/>
      <c r="B28" s="171">
        <v>21</v>
      </c>
      <c r="C28" s="172">
        <v>46106</v>
      </c>
      <c r="D28" s="173" t="s">
        <v>750</v>
      </c>
      <c r="E28" s="174">
        <f t="shared" si="2"/>
        <v>28</v>
      </c>
      <c r="F28" s="170">
        <f t="shared" si="3"/>
        <v>1042316.7168630881</v>
      </c>
      <c r="G28" s="170">
        <f t="shared" si="1"/>
        <v>3609.5395783500608</v>
      </c>
      <c r="H28" s="170">
        <f t="shared" si="0"/>
        <v>8755.4604216499392</v>
      </c>
      <c r="I28" s="170">
        <v>0</v>
      </c>
      <c r="J28" s="170">
        <v>12365</v>
      </c>
      <c r="K28" s="170">
        <f t="shared" si="4"/>
        <v>1038707.177284738</v>
      </c>
    </row>
    <row r="29" spans="1:11" ht="15.75" x14ac:dyDescent="0.25">
      <c r="A29" s="162"/>
      <c r="B29" s="171">
        <v>22</v>
      </c>
      <c r="C29" s="172">
        <v>46137</v>
      </c>
      <c r="D29" s="173" t="s">
        <v>750</v>
      </c>
      <c r="E29" s="174">
        <f t="shared" si="2"/>
        <v>31</v>
      </c>
      <c r="F29" s="170">
        <f t="shared" si="3"/>
        <v>1038707.177284738</v>
      </c>
      <c r="G29" s="170">
        <f t="shared" si="1"/>
        <v>2705.0232512519378</v>
      </c>
      <c r="H29" s="170">
        <f t="shared" si="0"/>
        <v>9659.9767487480622</v>
      </c>
      <c r="I29" s="170">
        <v>0</v>
      </c>
      <c r="J29" s="170">
        <v>12365</v>
      </c>
      <c r="K29" s="170">
        <f t="shared" si="4"/>
        <v>1036002.1540334861</v>
      </c>
    </row>
    <row r="30" spans="1:11" ht="15.75" x14ac:dyDescent="0.25">
      <c r="A30" s="162"/>
      <c r="B30" s="171">
        <v>23</v>
      </c>
      <c r="C30" s="172">
        <v>46167</v>
      </c>
      <c r="D30" s="173" t="s">
        <v>750</v>
      </c>
      <c r="E30" s="174">
        <f t="shared" si="2"/>
        <v>30</v>
      </c>
      <c r="F30" s="170">
        <f t="shared" si="3"/>
        <v>1036002.1540334861</v>
      </c>
      <c r="G30" s="170">
        <f t="shared" si="1"/>
        <v>3040.9806136986263</v>
      </c>
      <c r="H30" s="170">
        <f t="shared" si="0"/>
        <v>9324.0193863013737</v>
      </c>
      <c r="I30" s="170">
        <v>0</v>
      </c>
      <c r="J30" s="170">
        <v>12365</v>
      </c>
      <c r="K30" s="170">
        <f t="shared" si="4"/>
        <v>1032961.1734197875</v>
      </c>
    </row>
    <row r="31" spans="1:11" ht="15.75" x14ac:dyDescent="0.25">
      <c r="A31" s="162"/>
      <c r="B31" s="171">
        <v>24</v>
      </c>
      <c r="C31" s="172">
        <v>46198</v>
      </c>
      <c r="D31" s="173" t="s">
        <v>750</v>
      </c>
      <c r="E31" s="174">
        <f t="shared" si="2"/>
        <v>31</v>
      </c>
      <c r="F31" s="170">
        <f t="shared" si="3"/>
        <v>1032961.1734197875</v>
      </c>
      <c r="G31" s="170">
        <f t="shared" si="1"/>
        <v>2758.4610871959758</v>
      </c>
      <c r="H31" s="170">
        <f t="shared" si="0"/>
        <v>9606.5389128040242</v>
      </c>
      <c r="I31" s="170">
        <v>0</v>
      </c>
      <c r="J31" s="170">
        <v>12365</v>
      </c>
      <c r="K31" s="170">
        <f t="shared" si="4"/>
        <v>1030202.7123325915</v>
      </c>
    </row>
    <row r="32" spans="1:11" ht="15.75" x14ac:dyDescent="0.25">
      <c r="A32" s="162"/>
      <c r="B32" s="171">
        <v>25</v>
      </c>
      <c r="C32" s="172">
        <v>46228</v>
      </c>
      <c r="D32" s="173" t="s">
        <v>750</v>
      </c>
      <c r="E32" s="174">
        <f t="shared" si="2"/>
        <v>30</v>
      </c>
      <c r="F32" s="170">
        <f t="shared" si="3"/>
        <v>1030202.7123325915</v>
      </c>
      <c r="G32" s="170">
        <f t="shared" si="1"/>
        <v>3093.1755890066761</v>
      </c>
      <c r="H32" s="170">
        <f t="shared" si="0"/>
        <v>9271.8244109933239</v>
      </c>
      <c r="I32" s="170">
        <v>0</v>
      </c>
      <c r="J32" s="170">
        <v>12365</v>
      </c>
      <c r="K32" s="170">
        <f t="shared" si="4"/>
        <v>1027109.5367435849</v>
      </c>
    </row>
    <row r="33" spans="1:11" ht="15.75" x14ac:dyDescent="0.25">
      <c r="A33" s="162"/>
      <c r="B33" s="171">
        <v>26</v>
      </c>
      <c r="C33" s="172">
        <v>46259</v>
      </c>
      <c r="D33" s="173" t="s">
        <v>750</v>
      </c>
      <c r="E33" s="174">
        <f t="shared" si="2"/>
        <v>31</v>
      </c>
      <c r="F33" s="170">
        <f t="shared" si="3"/>
        <v>1027109.5367435849</v>
      </c>
      <c r="G33" s="170">
        <f t="shared" si="1"/>
        <v>2812.8813082846609</v>
      </c>
      <c r="H33" s="170">
        <f t="shared" si="0"/>
        <v>9552.1186917153391</v>
      </c>
      <c r="I33" s="170">
        <v>0</v>
      </c>
      <c r="J33" s="170">
        <v>12365</v>
      </c>
      <c r="K33" s="170">
        <f t="shared" si="4"/>
        <v>1024296.6554353002</v>
      </c>
    </row>
    <row r="34" spans="1:11" ht="15.75" x14ac:dyDescent="0.25">
      <c r="A34" s="162"/>
      <c r="B34" s="171">
        <v>27</v>
      </c>
      <c r="C34" s="172">
        <v>46290</v>
      </c>
      <c r="D34" s="173" t="s">
        <v>750</v>
      </c>
      <c r="E34" s="174">
        <f t="shared" si="2"/>
        <v>31</v>
      </c>
      <c r="F34" s="170">
        <f t="shared" si="3"/>
        <v>1024296.6554353002</v>
      </c>
      <c r="G34" s="170">
        <f t="shared" si="1"/>
        <v>2839.0411044517095</v>
      </c>
      <c r="H34" s="170">
        <f t="shared" si="0"/>
        <v>9525.9588955482905</v>
      </c>
      <c r="I34" s="170">
        <v>0</v>
      </c>
      <c r="J34" s="170">
        <v>12365</v>
      </c>
      <c r="K34" s="170">
        <f t="shared" si="4"/>
        <v>1021457.6143308484</v>
      </c>
    </row>
    <row r="35" spans="1:11" ht="15.75" x14ac:dyDescent="0.25">
      <c r="A35" s="162"/>
      <c r="B35" s="171">
        <v>28</v>
      </c>
      <c r="C35" s="172">
        <v>46320</v>
      </c>
      <c r="D35" s="173" t="s">
        <v>750</v>
      </c>
      <c r="E35" s="174">
        <f t="shared" si="2"/>
        <v>30</v>
      </c>
      <c r="F35" s="170">
        <f t="shared" si="3"/>
        <v>1021457.6143308484</v>
      </c>
      <c r="G35" s="170">
        <f t="shared" si="1"/>
        <v>3171.8814710223651</v>
      </c>
      <c r="H35" s="170">
        <f t="shared" si="0"/>
        <v>9193.1185289776349</v>
      </c>
      <c r="I35" s="170">
        <v>0</v>
      </c>
      <c r="J35" s="170">
        <v>12365</v>
      </c>
      <c r="K35" s="170">
        <f t="shared" si="4"/>
        <v>1018285.7328598261</v>
      </c>
    </row>
    <row r="36" spans="1:11" ht="15.75" x14ac:dyDescent="0.25">
      <c r="A36" s="162"/>
      <c r="B36" s="171">
        <v>29</v>
      </c>
      <c r="C36" s="172">
        <v>46351</v>
      </c>
      <c r="D36" s="173" t="s">
        <v>750</v>
      </c>
      <c r="E36" s="174">
        <f t="shared" si="2"/>
        <v>31</v>
      </c>
      <c r="F36" s="170">
        <f t="shared" si="3"/>
        <v>1018285.7328598261</v>
      </c>
      <c r="G36" s="170">
        <f t="shared" si="1"/>
        <v>2894.9426844036188</v>
      </c>
      <c r="H36" s="170">
        <f t="shared" si="0"/>
        <v>9470.0573155963812</v>
      </c>
      <c r="I36" s="170">
        <v>0</v>
      </c>
      <c r="J36" s="170">
        <v>12365</v>
      </c>
      <c r="K36" s="170">
        <f t="shared" si="4"/>
        <v>1015390.7901754224</v>
      </c>
    </row>
    <row r="37" spans="1:11" ht="15.75" x14ac:dyDescent="0.25">
      <c r="A37" s="162"/>
      <c r="B37" s="171">
        <v>30</v>
      </c>
      <c r="C37" s="172">
        <v>46381</v>
      </c>
      <c r="D37" s="173" t="s">
        <v>750</v>
      </c>
      <c r="E37" s="174">
        <f t="shared" si="2"/>
        <v>30</v>
      </c>
      <c r="F37" s="170">
        <f t="shared" si="3"/>
        <v>1015390.7901754224</v>
      </c>
      <c r="G37" s="170">
        <f t="shared" si="1"/>
        <v>3226.4828884211984</v>
      </c>
      <c r="H37" s="170">
        <f t="shared" si="0"/>
        <v>9138.5171115788016</v>
      </c>
      <c r="I37" s="170">
        <v>0</v>
      </c>
      <c r="J37" s="170">
        <v>12365</v>
      </c>
      <c r="K37" s="170">
        <f t="shared" si="4"/>
        <v>1012164.3072870013</v>
      </c>
    </row>
    <row r="38" spans="1:11" ht="15.75" x14ac:dyDescent="0.25">
      <c r="A38" s="162"/>
      <c r="B38" s="171">
        <v>31</v>
      </c>
      <c r="C38" s="172">
        <v>46412</v>
      </c>
      <c r="D38" s="173" t="s">
        <v>750</v>
      </c>
      <c r="E38" s="174">
        <f t="shared" si="2"/>
        <v>31</v>
      </c>
      <c r="F38" s="170">
        <f t="shared" si="3"/>
        <v>1012164.3072870013</v>
      </c>
      <c r="G38" s="170">
        <f t="shared" si="1"/>
        <v>2951.8719422308895</v>
      </c>
      <c r="H38" s="170">
        <f t="shared" si="0"/>
        <v>9413.1280577691105</v>
      </c>
      <c r="I38" s="170">
        <v>0</v>
      </c>
      <c r="J38" s="170">
        <v>12365</v>
      </c>
      <c r="K38" s="170">
        <f t="shared" si="4"/>
        <v>1009212.4353447704</v>
      </c>
    </row>
    <row r="39" spans="1:11" ht="15.75" x14ac:dyDescent="0.25">
      <c r="A39" s="162"/>
      <c r="B39" s="171">
        <v>32</v>
      </c>
      <c r="C39" s="172">
        <v>46443</v>
      </c>
      <c r="D39" s="173" t="s">
        <v>750</v>
      </c>
      <c r="E39" s="174">
        <f t="shared" si="2"/>
        <v>31</v>
      </c>
      <c r="F39" s="170">
        <f t="shared" si="3"/>
        <v>1009212.4353447704</v>
      </c>
      <c r="G39" s="170">
        <f t="shared" si="1"/>
        <v>2979.3243512936351</v>
      </c>
      <c r="H39" s="170">
        <f t="shared" si="0"/>
        <v>9385.6756487063649</v>
      </c>
      <c r="I39" s="170">
        <v>0</v>
      </c>
      <c r="J39" s="170">
        <v>12365</v>
      </c>
      <c r="K39" s="170">
        <f t="shared" si="4"/>
        <v>1006233.1109934768</v>
      </c>
    </row>
    <row r="40" spans="1:11" ht="15.75" x14ac:dyDescent="0.25">
      <c r="A40" s="162"/>
      <c r="B40" s="171">
        <v>33</v>
      </c>
      <c r="C40" s="172">
        <v>46471</v>
      </c>
      <c r="D40" s="173" t="s">
        <v>750</v>
      </c>
      <c r="E40" s="174">
        <f t="shared" si="2"/>
        <v>28</v>
      </c>
      <c r="F40" s="170">
        <f t="shared" si="3"/>
        <v>1006233.1109934768</v>
      </c>
      <c r="G40" s="170">
        <f t="shared" si="1"/>
        <v>3912.6418676547946</v>
      </c>
      <c r="H40" s="170">
        <f t="shared" si="0"/>
        <v>8452.3581323452054</v>
      </c>
      <c r="I40" s="170">
        <v>0</v>
      </c>
      <c r="J40" s="170">
        <v>12365</v>
      </c>
      <c r="K40" s="170">
        <f t="shared" si="4"/>
        <v>1002320.4691258221</v>
      </c>
    </row>
    <row r="41" spans="1:11" ht="15.75" x14ac:dyDescent="0.25">
      <c r="A41" s="162"/>
      <c r="B41" s="171">
        <v>34</v>
      </c>
      <c r="C41" s="172">
        <v>46502</v>
      </c>
      <c r="D41" s="173" t="s">
        <v>750</v>
      </c>
      <c r="E41" s="174">
        <f t="shared" si="2"/>
        <v>31</v>
      </c>
      <c r="F41" s="170">
        <f t="shared" si="3"/>
        <v>1002320.4691258221</v>
      </c>
      <c r="G41" s="170">
        <f t="shared" si="1"/>
        <v>3043.4196371298549</v>
      </c>
      <c r="H41" s="170">
        <f t="shared" si="0"/>
        <v>9321.5803628701451</v>
      </c>
      <c r="I41" s="170">
        <v>0</v>
      </c>
      <c r="J41" s="170">
        <v>12365</v>
      </c>
      <c r="K41" s="170">
        <f t="shared" si="4"/>
        <v>999277.0494886922</v>
      </c>
    </row>
    <row r="42" spans="1:11" ht="15.75" x14ac:dyDescent="0.25">
      <c r="A42" s="162"/>
      <c r="B42" s="171">
        <v>35</v>
      </c>
      <c r="C42" s="172">
        <v>46532</v>
      </c>
      <c r="D42" s="173" t="s">
        <v>750</v>
      </c>
      <c r="E42" s="174">
        <f t="shared" si="2"/>
        <v>30</v>
      </c>
      <c r="F42" s="170">
        <f t="shared" si="3"/>
        <v>999277.0494886922</v>
      </c>
      <c r="G42" s="170">
        <f t="shared" si="1"/>
        <v>3371.5065546017704</v>
      </c>
      <c r="H42" s="170">
        <f t="shared" si="0"/>
        <v>8993.4934453982296</v>
      </c>
      <c r="I42" s="170">
        <v>0</v>
      </c>
      <c r="J42" s="170">
        <v>12365</v>
      </c>
      <c r="K42" s="170">
        <f t="shared" si="4"/>
        <v>995905.54293409048</v>
      </c>
    </row>
    <row r="43" spans="1:11" ht="15.75" x14ac:dyDescent="0.25">
      <c r="A43" s="162"/>
      <c r="B43" s="171">
        <v>36</v>
      </c>
      <c r="C43" s="172">
        <v>46563</v>
      </c>
      <c r="D43" s="173" t="s">
        <v>750</v>
      </c>
      <c r="E43" s="174">
        <f t="shared" si="2"/>
        <v>31</v>
      </c>
      <c r="F43" s="170">
        <f t="shared" si="3"/>
        <v>995905.54293409048</v>
      </c>
      <c r="G43" s="170">
        <f t="shared" si="1"/>
        <v>3103.0784507129592</v>
      </c>
      <c r="H43" s="170">
        <f t="shared" si="0"/>
        <v>9261.9215492870408</v>
      </c>
      <c r="I43" s="170">
        <v>0</v>
      </c>
      <c r="J43" s="170">
        <v>12365</v>
      </c>
      <c r="K43" s="170">
        <f t="shared" si="4"/>
        <v>992802.46448337752</v>
      </c>
    </row>
    <row r="44" spans="1:11" ht="15.75" x14ac:dyDescent="0.25">
      <c r="A44" s="162"/>
      <c r="B44" s="171">
        <v>37</v>
      </c>
      <c r="C44" s="172">
        <v>46593</v>
      </c>
      <c r="D44" s="173" t="s">
        <v>750</v>
      </c>
      <c r="E44" s="174">
        <f t="shared" si="2"/>
        <v>30</v>
      </c>
      <c r="F44" s="170">
        <f t="shared" si="3"/>
        <v>992802.46448337752</v>
      </c>
      <c r="G44" s="170">
        <f t="shared" si="1"/>
        <v>3429.7778196496038</v>
      </c>
      <c r="H44" s="170">
        <f t="shared" si="0"/>
        <v>8935.2221803503962</v>
      </c>
      <c r="I44" s="170">
        <v>0</v>
      </c>
      <c r="J44" s="170">
        <v>12365</v>
      </c>
      <c r="K44" s="170">
        <f t="shared" si="4"/>
        <v>989372.68666372797</v>
      </c>
    </row>
    <row r="45" spans="1:11" ht="15.75" x14ac:dyDescent="0.25">
      <c r="A45" s="162"/>
      <c r="B45" s="171">
        <v>38</v>
      </c>
      <c r="C45" s="172">
        <v>46624</v>
      </c>
      <c r="D45" s="173" t="s">
        <v>750</v>
      </c>
      <c r="E45" s="174">
        <f t="shared" si="2"/>
        <v>31</v>
      </c>
      <c r="F45" s="170">
        <f t="shared" si="3"/>
        <v>989372.68666372797</v>
      </c>
      <c r="G45" s="170">
        <f t="shared" si="1"/>
        <v>3163.8340140273303</v>
      </c>
      <c r="H45" s="170">
        <f t="shared" si="0"/>
        <v>9201.1659859726697</v>
      </c>
      <c r="I45" s="170">
        <v>0</v>
      </c>
      <c r="J45" s="170">
        <v>12365</v>
      </c>
      <c r="K45" s="170">
        <f t="shared" si="4"/>
        <v>986208.8526497006</v>
      </c>
    </row>
    <row r="46" spans="1:11" ht="15.75" x14ac:dyDescent="0.25">
      <c r="A46" s="162"/>
      <c r="B46" s="171">
        <v>39</v>
      </c>
      <c r="C46" s="172">
        <v>46655</v>
      </c>
      <c r="D46" s="173" t="s">
        <v>750</v>
      </c>
      <c r="E46" s="174">
        <f t="shared" si="2"/>
        <v>31</v>
      </c>
      <c r="F46" s="170">
        <f t="shared" si="3"/>
        <v>986208.8526497006</v>
      </c>
      <c r="G46" s="170">
        <f t="shared" si="1"/>
        <v>3193.2576703577852</v>
      </c>
      <c r="H46" s="170">
        <f t="shared" si="0"/>
        <v>9171.7423296422148</v>
      </c>
      <c r="I46" s="170">
        <v>0</v>
      </c>
      <c r="J46" s="170">
        <v>12365</v>
      </c>
      <c r="K46" s="170">
        <f t="shared" si="4"/>
        <v>983015.59497934277</v>
      </c>
    </row>
    <row r="47" spans="1:11" ht="15.75" x14ac:dyDescent="0.25">
      <c r="A47" s="162"/>
      <c r="B47" s="171">
        <v>40</v>
      </c>
      <c r="C47" s="172">
        <v>46685</v>
      </c>
      <c r="D47" s="173" t="s">
        <v>750</v>
      </c>
      <c r="E47" s="174">
        <f t="shared" si="2"/>
        <v>30</v>
      </c>
      <c r="F47" s="170">
        <f t="shared" si="3"/>
        <v>983015.59497934277</v>
      </c>
      <c r="G47" s="170">
        <f t="shared" si="1"/>
        <v>3517.8596451859157</v>
      </c>
      <c r="H47" s="170">
        <f t="shared" si="0"/>
        <v>8847.1403548140843</v>
      </c>
      <c r="I47" s="170">
        <v>0</v>
      </c>
      <c r="J47" s="170">
        <v>12365</v>
      </c>
      <c r="K47" s="170">
        <f t="shared" si="4"/>
        <v>979497.7353341569</v>
      </c>
    </row>
    <row r="48" spans="1:11" ht="15.75" x14ac:dyDescent="0.25">
      <c r="A48" s="162"/>
      <c r="B48" s="171">
        <v>41</v>
      </c>
      <c r="C48" s="172">
        <v>46716</v>
      </c>
      <c r="D48" s="173" t="s">
        <v>750</v>
      </c>
      <c r="E48" s="174">
        <f t="shared" si="2"/>
        <v>31</v>
      </c>
      <c r="F48" s="170">
        <f t="shared" si="3"/>
        <v>979497.7353341569</v>
      </c>
      <c r="G48" s="170">
        <f t="shared" si="1"/>
        <v>3255.6710613923424</v>
      </c>
      <c r="H48" s="170">
        <f t="shared" si="0"/>
        <v>9109.3289386076576</v>
      </c>
      <c r="I48" s="170">
        <v>0</v>
      </c>
      <c r="J48" s="170">
        <v>12365</v>
      </c>
      <c r="K48" s="170">
        <f t="shared" si="4"/>
        <v>976242.0642727646</v>
      </c>
    </row>
    <row r="49" spans="1:11" ht="15.75" x14ac:dyDescent="0.25">
      <c r="A49" s="162"/>
      <c r="B49" s="171">
        <v>42</v>
      </c>
      <c r="C49" s="172">
        <v>46746</v>
      </c>
      <c r="D49" s="173" t="s">
        <v>750</v>
      </c>
      <c r="E49" s="174">
        <f t="shared" si="2"/>
        <v>30</v>
      </c>
      <c r="F49" s="170">
        <f t="shared" si="3"/>
        <v>976242.0642727646</v>
      </c>
      <c r="G49" s="170">
        <f t="shared" si="1"/>
        <v>3578.8214215451189</v>
      </c>
      <c r="H49" s="170">
        <f t="shared" si="0"/>
        <v>8786.1785784548811</v>
      </c>
      <c r="I49" s="170">
        <v>0</v>
      </c>
      <c r="J49" s="170">
        <v>12365</v>
      </c>
      <c r="K49" s="170">
        <f t="shared" si="4"/>
        <v>972663.24285121949</v>
      </c>
    </row>
    <row r="50" spans="1:11" ht="15.75" x14ac:dyDescent="0.25">
      <c r="A50" s="162"/>
      <c r="B50" s="171">
        <v>43</v>
      </c>
      <c r="C50" s="172">
        <v>46777</v>
      </c>
      <c r="D50" s="173" t="s">
        <v>750</v>
      </c>
      <c r="E50" s="174">
        <f t="shared" si="2"/>
        <v>31</v>
      </c>
      <c r="F50" s="170">
        <f t="shared" si="3"/>
        <v>972663.24285121949</v>
      </c>
      <c r="G50" s="170">
        <f t="shared" si="1"/>
        <v>3319.2318414836591</v>
      </c>
      <c r="H50" s="170">
        <f t="shared" si="0"/>
        <v>9045.7681585163409</v>
      </c>
      <c r="I50" s="170">
        <v>0</v>
      </c>
      <c r="J50" s="170">
        <v>12365</v>
      </c>
      <c r="K50" s="170">
        <f t="shared" si="4"/>
        <v>969344.01100973587</v>
      </c>
    </row>
    <row r="51" spans="1:11" ht="15.75" x14ac:dyDescent="0.25">
      <c r="A51" s="162"/>
      <c r="B51" s="171">
        <v>44</v>
      </c>
      <c r="C51" s="172">
        <v>46808</v>
      </c>
      <c r="D51" s="173" t="s">
        <v>750</v>
      </c>
      <c r="E51" s="174">
        <f t="shared" si="2"/>
        <v>31</v>
      </c>
      <c r="F51" s="170">
        <f t="shared" si="3"/>
        <v>969344.01100973587</v>
      </c>
      <c r="G51" s="170">
        <f t="shared" si="1"/>
        <v>3350.1006976094577</v>
      </c>
      <c r="H51" s="170">
        <f t="shared" si="0"/>
        <v>9014.8993023905423</v>
      </c>
      <c r="I51" s="170">
        <v>0</v>
      </c>
      <c r="J51" s="170">
        <v>12365</v>
      </c>
      <c r="K51" s="170">
        <f t="shared" si="4"/>
        <v>965993.91031212639</v>
      </c>
    </row>
    <row r="52" spans="1:11" ht="15.75" x14ac:dyDescent="0.25">
      <c r="A52" s="162"/>
      <c r="B52" s="171">
        <v>45</v>
      </c>
      <c r="C52" s="172">
        <v>46837</v>
      </c>
      <c r="D52" s="173" t="s">
        <v>750</v>
      </c>
      <c r="E52" s="174">
        <f t="shared" si="2"/>
        <v>29</v>
      </c>
      <c r="F52" s="170">
        <f t="shared" si="3"/>
        <v>965993.91031212639</v>
      </c>
      <c r="G52" s="170">
        <f t="shared" si="1"/>
        <v>3960.8529802845005</v>
      </c>
      <c r="H52" s="170">
        <f t="shared" si="0"/>
        <v>8404.1470197154995</v>
      </c>
      <c r="I52" s="170">
        <v>0</v>
      </c>
      <c r="J52" s="170">
        <v>12365</v>
      </c>
      <c r="K52" s="170">
        <f t="shared" si="4"/>
        <v>962033.0573318419</v>
      </c>
    </row>
    <row r="53" spans="1:11" ht="15.75" x14ac:dyDescent="0.25">
      <c r="A53" s="162"/>
      <c r="B53" s="171">
        <v>46</v>
      </c>
      <c r="C53" s="172">
        <v>46868</v>
      </c>
      <c r="D53" s="173" t="s">
        <v>750</v>
      </c>
      <c r="E53" s="174">
        <f t="shared" si="2"/>
        <v>31</v>
      </c>
      <c r="F53" s="170">
        <f t="shared" si="3"/>
        <v>962033.0573318419</v>
      </c>
      <c r="G53" s="170">
        <f t="shared" si="1"/>
        <v>3418.0925668138716</v>
      </c>
      <c r="H53" s="170">
        <f t="shared" si="0"/>
        <v>8946.9074331861284</v>
      </c>
      <c r="I53" s="170">
        <v>0</v>
      </c>
      <c r="J53" s="170">
        <v>12365</v>
      </c>
      <c r="K53" s="170">
        <f t="shared" si="4"/>
        <v>958614.96476502798</v>
      </c>
    </row>
    <row r="54" spans="1:11" ht="15.75" x14ac:dyDescent="0.25">
      <c r="A54" s="162"/>
      <c r="B54" s="171">
        <v>47</v>
      </c>
      <c r="C54" s="172">
        <v>46898</v>
      </c>
      <c r="D54" s="173" t="s">
        <v>750</v>
      </c>
      <c r="E54" s="174">
        <f t="shared" si="2"/>
        <v>30</v>
      </c>
      <c r="F54" s="170">
        <f t="shared" si="3"/>
        <v>958614.96476502798</v>
      </c>
      <c r="G54" s="170">
        <f t="shared" si="1"/>
        <v>3737.4653171147493</v>
      </c>
      <c r="H54" s="170">
        <f t="shared" si="0"/>
        <v>8627.5346828852507</v>
      </c>
      <c r="I54" s="170">
        <v>0</v>
      </c>
      <c r="J54" s="170">
        <v>12365</v>
      </c>
      <c r="K54" s="170">
        <f t="shared" si="4"/>
        <v>954877.49944791326</v>
      </c>
    </row>
    <row r="55" spans="1:11" ht="15.75" x14ac:dyDescent="0.25">
      <c r="A55" s="162"/>
      <c r="B55" s="171">
        <v>48</v>
      </c>
      <c r="C55" s="172">
        <v>46929</v>
      </c>
      <c r="D55" s="173" t="s">
        <v>750</v>
      </c>
      <c r="E55" s="174">
        <f t="shared" si="2"/>
        <v>31</v>
      </c>
      <c r="F55" s="170">
        <f t="shared" si="3"/>
        <v>954877.49944791326</v>
      </c>
      <c r="G55" s="170">
        <f t="shared" si="1"/>
        <v>3484.639255134407</v>
      </c>
      <c r="H55" s="170">
        <f t="shared" si="0"/>
        <v>8880.360744865593</v>
      </c>
      <c r="I55" s="170">
        <v>0</v>
      </c>
      <c r="J55" s="170">
        <v>12365</v>
      </c>
      <c r="K55" s="170">
        <f t="shared" si="4"/>
        <v>951392.86019277887</v>
      </c>
    </row>
    <row r="56" spans="1:11" ht="15.75" x14ac:dyDescent="0.25">
      <c r="A56" s="162"/>
      <c r="B56" s="171">
        <v>49</v>
      </c>
      <c r="C56" s="172">
        <v>46959</v>
      </c>
      <c r="D56" s="173" t="s">
        <v>750</v>
      </c>
      <c r="E56" s="174">
        <f t="shared" si="2"/>
        <v>30</v>
      </c>
      <c r="F56" s="170">
        <f t="shared" si="3"/>
        <v>951392.86019277887</v>
      </c>
      <c r="G56" s="170">
        <f t="shared" si="1"/>
        <v>3802.4642582649903</v>
      </c>
      <c r="H56" s="170">
        <f t="shared" si="0"/>
        <v>8562.5357417350097</v>
      </c>
      <c r="I56" s="170">
        <v>0</v>
      </c>
      <c r="J56" s="170">
        <v>12365</v>
      </c>
      <c r="K56" s="170">
        <f t="shared" si="4"/>
        <v>947590.39593451389</v>
      </c>
    </row>
    <row r="57" spans="1:11" ht="15.75" x14ac:dyDescent="0.25">
      <c r="A57" s="162"/>
      <c r="B57" s="171">
        <v>50</v>
      </c>
      <c r="C57" s="172">
        <v>46990</v>
      </c>
      <c r="D57" s="173" t="s">
        <v>750</v>
      </c>
      <c r="E57" s="174">
        <f t="shared" si="2"/>
        <v>31</v>
      </c>
      <c r="F57" s="170">
        <f t="shared" si="3"/>
        <v>947590.39593451389</v>
      </c>
      <c r="G57" s="170">
        <f t="shared" si="1"/>
        <v>3552.4093178090225</v>
      </c>
      <c r="H57" s="170">
        <f t="shared" si="0"/>
        <v>8812.5906821909775</v>
      </c>
      <c r="I57" s="170">
        <v>0</v>
      </c>
      <c r="J57" s="170">
        <v>12365</v>
      </c>
      <c r="K57" s="170">
        <f t="shared" si="4"/>
        <v>944037.98661670485</v>
      </c>
    </row>
    <row r="58" spans="1:11" ht="15.75" x14ac:dyDescent="0.25">
      <c r="A58" s="162"/>
      <c r="B58" s="171">
        <v>51</v>
      </c>
      <c r="C58" s="172">
        <v>47021</v>
      </c>
      <c r="D58" s="173" t="s">
        <v>750</v>
      </c>
      <c r="E58" s="174">
        <f t="shared" si="2"/>
        <v>31</v>
      </c>
      <c r="F58" s="170">
        <f t="shared" si="3"/>
        <v>944037.98661670485</v>
      </c>
      <c r="G58" s="170">
        <f t="shared" si="1"/>
        <v>3585.4467244646457</v>
      </c>
      <c r="H58" s="170">
        <f t="shared" si="0"/>
        <v>8779.5532755353543</v>
      </c>
      <c r="I58" s="170">
        <v>0</v>
      </c>
      <c r="J58" s="170">
        <v>12365</v>
      </c>
      <c r="K58" s="170">
        <f t="shared" si="4"/>
        <v>940452.53989224019</v>
      </c>
    </row>
    <row r="59" spans="1:11" ht="15.75" x14ac:dyDescent="0.25">
      <c r="A59" s="162"/>
      <c r="B59" s="171">
        <v>52</v>
      </c>
      <c r="C59" s="172">
        <v>47051</v>
      </c>
      <c r="D59" s="173" t="s">
        <v>750</v>
      </c>
      <c r="E59" s="174">
        <f t="shared" si="2"/>
        <v>30</v>
      </c>
      <c r="F59" s="170">
        <f t="shared" si="3"/>
        <v>940452.53989224019</v>
      </c>
      <c r="G59" s="170">
        <f t="shared" si="1"/>
        <v>3900.9271409698395</v>
      </c>
      <c r="H59" s="170">
        <f t="shared" si="0"/>
        <v>8464.0728590301605</v>
      </c>
      <c r="I59" s="170">
        <v>0</v>
      </c>
      <c r="J59" s="170">
        <v>12365</v>
      </c>
      <c r="K59" s="170">
        <f t="shared" si="4"/>
        <v>936551.61275127041</v>
      </c>
    </row>
    <row r="60" spans="1:11" ht="15.75" x14ac:dyDescent="0.25">
      <c r="A60" s="162"/>
      <c r="B60" s="171">
        <v>53</v>
      </c>
      <c r="C60" s="172">
        <v>47082</v>
      </c>
      <c r="D60" s="173" t="s">
        <v>750</v>
      </c>
      <c r="E60" s="174">
        <f t="shared" si="2"/>
        <v>31</v>
      </c>
      <c r="F60" s="170">
        <f t="shared" si="3"/>
        <v>936551.61275127041</v>
      </c>
      <c r="G60" s="170">
        <f t="shared" si="1"/>
        <v>3655.0700014131853</v>
      </c>
      <c r="H60" s="170">
        <f t="shared" si="0"/>
        <v>8709.9299985868147</v>
      </c>
      <c r="I60" s="170">
        <v>0</v>
      </c>
      <c r="J60" s="170">
        <v>12365</v>
      </c>
      <c r="K60" s="170">
        <f t="shared" si="4"/>
        <v>932896.54274985718</v>
      </c>
    </row>
    <row r="61" spans="1:11" ht="15.75" x14ac:dyDescent="0.25">
      <c r="A61" s="162"/>
      <c r="B61" s="171">
        <v>54</v>
      </c>
      <c r="C61" s="172">
        <v>47112</v>
      </c>
      <c r="D61" s="173" t="s">
        <v>750</v>
      </c>
      <c r="E61" s="174">
        <f t="shared" si="2"/>
        <v>30</v>
      </c>
      <c r="F61" s="170">
        <f t="shared" si="3"/>
        <v>932896.54274985718</v>
      </c>
      <c r="G61" s="170">
        <f t="shared" si="1"/>
        <v>3968.9311152512855</v>
      </c>
      <c r="H61" s="170">
        <f t="shared" si="0"/>
        <v>8396.0688847487145</v>
      </c>
      <c r="I61" s="170">
        <v>0</v>
      </c>
      <c r="J61" s="170">
        <v>12365</v>
      </c>
      <c r="K61" s="170">
        <f t="shared" si="4"/>
        <v>928927.61163460591</v>
      </c>
    </row>
    <row r="62" spans="1:11" ht="15.75" x14ac:dyDescent="0.25">
      <c r="A62" s="162"/>
      <c r="B62" s="171">
        <v>55</v>
      </c>
      <c r="C62" s="172">
        <v>47143</v>
      </c>
      <c r="D62" s="173" t="s">
        <v>750</v>
      </c>
      <c r="E62" s="174">
        <f t="shared" si="2"/>
        <v>31</v>
      </c>
      <c r="F62" s="170">
        <f t="shared" si="3"/>
        <v>928927.61163460591</v>
      </c>
      <c r="G62" s="170">
        <f t="shared" si="1"/>
        <v>3725.9732117981657</v>
      </c>
      <c r="H62" s="170">
        <f t="shared" si="0"/>
        <v>8639.0267882018343</v>
      </c>
      <c r="I62" s="170">
        <v>0</v>
      </c>
      <c r="J62" s="170">
        <v>12365</v>
      </c>
      <c r="K62" s="170">
        <f t="shared" si="4"/>
        <v>925201.63842280779</v>
      </c>
    </row>
    <row r="63" spans="1:11" ht="15.75" x14ac:dyDescent="0.25">
      <c r="A63" s="162"/>
      <c r="B63" s="171">
        <v>56</v>
      </c>
      <c r="C63" s="172">
        <v>47174</v>
      </c>
      <c r="D63" s="173" t="s">
        <v>750</v>
      </c>
      <c r="E63" s="174">
        <f t="shared" si="2"/>
        <v>31</v>
      </c>
      <c r="F63" s="170">
        <f t="shared" si="3"/>
        <v>925201.63842280779</v>
      </c>
      <c r="G63" s="170">
        <f t="shared" si="1"/>
        <v>3760.6247626678887</v>
      </c>
      <c r="H63" s="170">
        <f t="shared" si="0"/>
        <v>8604.3752373321113</v>
      </c>
      <c r="I63" s="170">
        <v>0</v>
      </c>
      <c r="J63" s="170">
        <v>12365</v>
      </c>
      <c r="K63" s="170">
        <f t="shared" si="4"/>
        <v>921441.01366013987</v>
      </c>
    </row>
    <row r="64" spans="1:11" ht="15.75" x14ac:dyDescent="0.25">
      <c r="A64" s="162"/>
      <c r="B64" s="171">
        <v>57</v>
      </c>
      <c r="C64" s="172">
        <v>47202</v>
      </c>
      <c r="D64" s="173" t="s">
        <v>750</v>
      </c>
      <c r="E64" s="174">
        <f t="shared" si="2"/>
        <v>28</v>
      </c>
      <c r="F64" s="170">
        <f t="shared" si="3"/>
        <v>921441.01366013987</v>
      </c>
      <c r="G64" s="170">
        <f t="shared" si="1"/>
        <v>4624.8954852548259</v>
      </c>
      <c r="H64" s="170">
        <f t="shared" si="0"/>
        <v>7740.1045147451741</v>
      </c>
      <c r="I64" s="170">
        <v>0</v>
      </c>
      <c r="J64" s="170">
        <v>12365</v>
      </c>
      <c r="K64" s="170">
        <f t="shared" si="4"/>
        <v>916816.11817488505</v>
      </c>
    </row>
    <row r="65" spans="1:11" ht="15.75" x14ac:dyDescent="0.25">
      <c r="A65" s="162"/>
      <c r="B65" s="171">
        <v>58</v>
      </c>
      <c r="C65" s="172">
        <v>47233</v>
      </c>
      <c r="D65" s="173" t="s">
        <v>750</v>
      </c>
      <c r="E65" s="174">
        <f t="shared" si="2"/>
        <v>31</v>
      </c>
      <c r="F65" s="170">
        <f t="shared" si="3"/>
        <v>916816.11817488505</v>
      </c>
      <c r="G65" s="170">
        <f t="shared" si="1"/>
        <v>3838.6101009735703</v>
      </c>
      <c r="H65" s="170">
        <f t="shared" si="0"/>
        <v>8526.3898990264297</v>
      </c>
      <c r="I65" s="170">
        <v>0</v>
      </c>
      <c r="J65" s="170">
        <v>12365</v>
      </c>
      <c r="K65" s="170">
        <f t="shared" si="4"/>
        <v>912977.50807391154</v>
      </c>
    </row>
    <row r="66" spans="1:11" ht="15.75" x14ac:dyDescent="0.25">
      <c r="A66" s="162"/>
      <c r="B66" s="171">
        <v>59</v>
      </c>
      <c r="C66" s="172">
        <v>47263</v>
      </c>
      <c r="D66" s="173" t="s">
        <v>750</v>
      </c>
      <c r="E66" s="174">
        <f t="shared" si="2"/>
        <v>30</v>
      </c>
      <c r="F66" s="170">
        <f t="shared" si="3"/>
        <v>912977.50807391154</v>
      </c>
      <c r="G66" s="170">
        <f t="shared" si="1"/>
        <v>4148.2024273347961</v>
      </c>
      <c r="H66" s="170">
        <f t="shared" si="0"/>
        <v>8216.7975726652039</v>
      </c>
      <c r="I66" s="170">
        <v>0</v>
      </c>
      <c r="J66" s="170">
        <v>12365</v>
      </c>
      <c r="K66" s="170">
        <f t="shared" si="4"/>
        <v>908829.30564657669</v>
      </c>
    </row>
    <row r="67" spans="1:11" ht="15.75" x14ac:dyDescent="0.25">
      <c r="A67" s="162"/>
      <c r="B67" s="171">
        <v>60</v>
      </c>
      <c r="C67" s="172">
        <v>47294</v>
      </c>
      <c r="D67" s="173" t="s">
        <v>750</v>
      </c>
      <c r="E67" s="174">
        <f t="shared" si="2"/>
        <v>31</v>
      </c>
      <c r="F67" s="170">
        <f t="shared" si="3"/>
        <v>908829.30564657669</v>
      </c>
      <c r="G67" s="170">
        <f t="shared" si="1"/>
        <v>3912.8874574868369</v>
      </c>
      <c r="H67" s="170">
        <f t="shared" si="0"/>
        <v>8452.1125425131631</v>
      </c>
      <c r="I67" s="170">
        <v>0</v>
      </c>
      <c r="J67" s="170">
        <v>12365</v>
      </c>
      <c r="K67" s="170">
        <f t="shared" si="4"/>
        <v>904916.41818908986</v>
      </c>
    </row>
    <row r="68" spans="1:11" ht="15.75" x14ac:dyDescent="0.25">
      <c r="A68" s="162"/>
      <c r="B68" s="171">
        <v>61</v>
      </c>
      <c r="C68" s="172">
        <v>47324</v>
      </c>
      <c r="D68" s="173" t="s">
        <v>750</v>
      </c>
      <c r="E68" s="174">
        <f t="shared" si="2"/>
        <v>30</v>
      </c>
      <c r="F68" s="170">
        <f t="shared" si="3"/>
        <v>904916.41818908986</v>
      </c>
      <c r="G68" s="170">
        <f t="shared" si="1"/>
        <v>4220.7522362981917</v>
      </c>
      <c r="H68" s="170">
        <f t="shared" si="0"/>
        <v>8144.2477637018083</v>
      </c>
      <c r="I68" s="170">
        <v>0</v>
      </c>
      <c r="J68" s="170">
        <v>12365</v>
      </c>
      <c r="K68" s="170">
        <f t="shared" si="4"/>
        <v>900695.66595279169</v>
      </c>
    </row>
    <row r="69" spans="1:11" ht="15.75" x14ac:dyDescent="0.25">
      <c r="A69" s="162"/>
      <c r="B69" s="171">
        <v>62</v>
      </c>
      <c r="C69" s="172">
        <v>47355</v>
      </c>
      <c r="D69" s="173" t="s">
        <v>750</v>
      </c>
      <c r="E69" s="174">
        <f t="shared" si="2"/>
        <v>31</v>
      </c>
      <c r="F69" s="170">
        <f t="shared" si="3"/>
        <v>900695.66595279169</v>
      </c>
      <c r="G69" s="170">
        <f t="shared" si="1"/>
        <v>3988.5303066390388</v>
      </c>
      <c r="H69" s="170">
        <f t="shared" si="0"/>
        <v>8376.4696933609612</v>
      </c>
      <c r="I69" s="170">
        <v>0</v>
      </c>
      <c r="J69" s="170">
        <v>12365</v>
      </c>
      <c r="K69" s="170">
        <f t="shared" si="4"/>
        <v>896707.13564615266</v>
      </c>
    </row>
    <row r="70" spans="1:11" ht="15.75" x14ac:dyDescent="0.25">
      <c r="A70" s="162"/>
      <c r="B70" s="171">
        <v>63</v>
      </c>
      <c r="C70" s="172">
        <v>47386</v>
      </c>
      <c r="D70" s="173" t="s">
        <v>750</v>
      </c>
      <c r="E70" s="174">
        <f t="shared" si="2"/>
        <v>31</v>
      </c>
      <c r="F70" s="170">
        <f t="shared" si="3"/>
        <v>896707.13564615266</v>
      </c>
      <c r="G70" s="170">
        <f t="shared" si="1"/>
        <v>4025.6236384907806</v>
      </c>
      <c r="H70" s="170">
        <f t="shared" si="0"/>
        <v>8339.3763615092194</v>
      </c>
      <c r="I70" s="170">
        <v>0</v>
      </c>
      <c r="J70" s="170">
        <v>12365</v>
      </c>
      <c r="K70" s="170">
        <f t="shared" si="4"/>
        <v>892681.51200766186</v>
      </c>
    </row>
    <row r="71" spans="1:11" ht="15.75" x14ac:dyDescent="0.25">
      <c r="A71" s="162"/>
      <c r="B71" s="171">
        <v>64</v>
      </c>
      <c r="C71" s="172">
        <v>47416</v>
      </c>
      <c r="D71" s="173" t="s">
        <v>750</v>
      </c>
      <c r="E71" s="174">
        <f t="shared" si="2"/>
        <v>30</v>
      </c>
      <c r="F71" s="170">
        <f t="shared" si="3"/>
        <v>892681.51200766186</v>
      </c>
      <c r="G71" s="170">
        <f t="shared" si="1"/>
        <v>4330.8663919310438</v>
      </c>
      <c r="H71" s="170">
        <f t="shared" si="0"/>
        <v>8034.1336080689562</v>
      </c>
      <c r="I71" s="170">
        <v>0</v>
      </c>
      <c r="J71" s="170">
        <v>12365</v>
      </c>
      <c r="K71" s="170">
        <f t="shared" si="4"/>
        <v>888350.64561573078</v>
      </c>
    </row>
    <row r="72" spans="1:11" ht="15.75" x14ac:dyDescent="0.25">
      <c r="A72" s="162"/>
      <c r="B72" s="171">
        <v>65</v>
      </c>
      <c r="C72" s="172">
        <v>47447</v>
      </c>
      <c r="D72" s="173" t="s">
        <v>750</v>
      </c>
      <c r="E72" s="174">
        <f t="shared" si="2"/>
        <v>31</v>
      </c>
      <c r="F72" s="170">
        <f t="shared" si="3"/>
        <v>888350.64561573078</v>
      </c>
      <c r="G72" s="170">
        <f t="shared" si="1"/>
        <v>4103.3389957737036</v>
      </c>
      <c r="H72" s="170">
        <f t="shared" si="0"/>
        <v>8261.6610042262964</v>
      </c>
      <c r="I72" s="170">
        <v>0</v>
      </c>
      <c r="J72" s="170">
        <v>12365</v>
      </c>
      <c r="K72" s="170">
        <f t="shared" si="4"/>
        <v>884247.30661995709</v>
      </c>
    </row>
    <row r="73" spans="1:11" ht="15.75" x14ac:dyDescent="0.25">
      <c r="A73" s="162"/>
      <c r="B73" s="171">
        <v>66</v>
      </c>
      <c r="C73" s="172">
        <v>47477</v>
      </c>
      <c r="D73" s="173" t="s">
        <v>750</v>
      </c>
      <c r="E73" s="174">
        <f t="shared" si="2"/>
        <v>30</v>
      </c>
      <c r="F73" s="170">
        <f t="shared" si="3"/>
        <v>884247.30661995709</v>
      </c>
      <c r="G73" s="170">
        <f t="shared" si="1"/>
        <v>4406.7742404203864</v>
      </c>
      <c r="H73" s="170">
        <f t="shared" ref="H73:H136" si="5">+F73*((0.009/30)*E73)</f>
        <v>7958.2257595796136</v>
      </c>
      <c r="I73" s="170">
        <v>0</v>
      </c>
      <c r="J73" s="170">
        <v>12365</v>
      </c>
      <c r="K73" s="170">
        <f t="shared" si="4"/>
        <v>879840.53237953666</v>
      </c>
    </row>
    <row r="74" spans="1:11" ht="15.75" x14ac:dyDescent="0.25">
      <c r="A74" s="162"/>
      <c r="B74" s="171">
        <v>67</v>
      </c>
      <c r="C74" s="172">
        <v>47508</v>
      </c>
      <c r="D74" s="173" t="s">
        <v>750</v>
      </c>
      <c r="E74" s="174">
        <f t="shared" si="2"/>
        <v>31</v>
      </c>
      <c r="F74" s="170">
        <f t="shared" si="3"/>
        <v>879840.53237953666</v>
      </c>
      <c r="G74" s="170">
        <f t="shared" ref="G74:G137" si="6">+J74-H74-I74</f>
        <v>4182.4830488703101</v>
      </c>
      <c r="H74" s="170">
        <f t="shared" si="5"/>
        <v>8182.5169511296899</v>
      </c>
      <c r="I74" s="170">
        <v>0</v>
      </c>
      <c r="J74" s="170">
        <v>12365</v>
      </c>
      <c r="K74" s="170">
        <f t="shared" si="4"/>
        <v>875658.04933066631</v>
      </c>
    </row>
    <row r="75" spans="1:11" ht="15.75" x14ac:dyDescent="0.25">
      <c r="A75" s="162"/>
      <c r="B75" s="171">
        <v>68</v>
      </c>
      <c r="C75" s="172">
        <v>47539</v>
      </c>
      <c r="D75" s="173" t="s">
        <v>750</v>
      </c>
      <c r="E75" s="174">
        <f t="shared" ref="E75:E78" si="7">+C75-C74</f>
        <v>31</v>
      </c>
      <c r="F75" s="170">
        <f t="shared" ref="F75:F78" si="8">+K74</f>
        <v>875658.04933066631</v>
      </c>
      <c r="G75" s="170">
        <f t="shared" si="6"/>
        <v>4221.380141224804</v>
      </c>
      <c r="H75" s="170">
        <f t="shared" si="5"/>
        <v>8143.619858775196</v>
      </c>
      <c r="I75" s="170">
        <v>0</v>
      </c>
      <c r="J75" s="170">
        <v>12365</v>
      </c>
      <c r="K75" s="170">
        <f t="shared" ref="K75:K78" si="9">+F75-G75</f>
        <v>871436.66918944148</v>
      </c>
    </row>
    <row r="76" spans="1:11" ht="15.75" x14ac:dyDescent="0.25">
      <c r="A76" s="162"/>
      <c r="B76" s="171">
        <v>69</v>
      </c>
      <c r="C76" s="172">
        <v>47567</v>
      </c>
      <c r="D76" s="173" t="s">
        <v>750</v>
      </c>
      <c r="E76" s="174">
        <f t="shared" si="7"/>
        <v>28</v>
      </c>
      <c r="F76" s="170">
        <f t="shared" si="8"/>
        <v>871436.66918944148</v>
      </c>
      <c r="G76" s="170">
        <f t="shared" si="6"/>
        <v>5044.9319788086923</v>
      </c>
      <c r="H76" s="170">
        <f t="shared" si="5"/>
        <v>7320.0680211913077</v>
      </c>
      <c r="I76" s="170">
        <v>0</v>
      </c>
      <c r="J76" s="170">
        <v>12365</v>
      </c>
      <c r="K76" s="170">
        <f t="shared" si="9"/>
        <v>866391.73721063277</v>
      </c>
    </row>
    <row r="77" spans="1:11" ht="15.75" x14ac:dyDescent="0.25">
      <c r="A77" s="162"/>
      <c r="B77" s="171">
        <v>70</v>
      </c>
      <c r="C77" s="172">
        <v>47598</v>
      </c>
      <c r="D77" s="173" t="s">
        <v>750</v>
      </c>
      <c r="E77" s="174">
        <f t="shared" si="7"/>
        <v>31</v>
      </c>
      <c r="F77" s="170">
        <f t="shared" si="8"/>
        <v>866391.73721063277</v>
      </c>
      <c r="G77" s="170">
        <f t="shared" si="6"/>
        <v>4307.5568439411163</v>
      </c>
      <c r="H77" s="170">
        <f t="shared" si="5"/>
        <v>8057.4431560588837</v>
      </c>
      <c r="I77" s="170">
        <v>0</v>
      </c>
      <c r="J77" s="170">
        <v>12365</v>
      </c>
      <c r="K77" s="170">
        <f t="shared" si="9"/>
        <v>862084.18036669167</v>
      </c>
    </row>
    <row r="78" spans="1:11" ht="15.75" x14ac:dyDescent="0.25">
      <c r="A78" s="162"/>
      <c r="B78" s="171">
        <v>71</v>
      </c>
      <c r="C78" s="172">
        <v>47628</v>
      </c>
      <c r="D78" s="173" t="s">
        <v>750</v>
      </c>
      <c r="E78" s="174">
        <f t="shared" si="7"/>
        <v>30</v>
      </c>
      <c r="F78" s="170">
        <f t="shared" si="8"/>
        <v>862084.18036669167</v>
      </c>
      <c r="G78" s="170">
        <f t="shared" si="6"/>
        <v>4606.2423766997754</v>
      </c>
      <c r="H78" s="170">
        <f t="shared" si="5"/>
        <v>7758.7576233002246</v>
      </c>
      <c r="I78" s="170">
        <v>0</v>
      </c>
      <c r="J78" s="170">
        <v>12365</v>
      </c>
      <c r="K78" s="170">
        <f t="shared" si="9"/>
        <v>857477.93798999186</v>
      </c>
    </row>
    <row r="79" spans="1:11" ht="15.75" x14ac:dyDescent="0.25">
      <c r="A79" s="162"/>
      <c r="B79" s="294">
        <v>72</v>
      </c>
      <c r="C79" s="295">
        <v>47659</v>
      </c>
      <c r="D79" s="296" t="s">
        <v>750</v>
      </c>
      <c r="E79" s="297">
        <f t="shared" ref="E79:E142" si="10">+C79-C78</f>
        <v>31</v>
      </c>
      <c r="F79" s="298">
        <f t="shared" ref="F79:F142" si="11">+K78</f>
        <v>857477.93798999186</v>
      </c>
      <c r="G79" s="298">
        <f t="shared" si="6"/>
        <v>4390.4551766930763</v>
      </c>
      <c r="H79" s="298">
        <f t="shared" si="5"/>
        <v>7974.5448233069237</v>
      </c>
      <c r="I79" s="298">
        <v>0</v>
      </c>
      <c r="J79" s="298">
        <v>12365</v>
      </c>
      <c r="K79" s="298">
        <f t="shared" ref="K79:K142" si="12">+F79-G79</f>
        <v>853087.48281329882</v>
      </c>
    </row>
    <row r="80" spans="1:11" ht="15.75" x14ac:dyDescent="0.25">
      <c r="A80" s="162"/>
      <c r="B80" s="171">
        <v>73</v>
      </c>
      <c r="C80" s="172">
        <v>47689</v>
      </c>
      <c r="D80" s="173" t="s">
        <v>750</v>
      </c>
      <c r="E80" s="174">
        <f t="shared" si="10"/>
        <v>30</v>
      </c>
      <c r="F80" s="170">
        <f t="shared" si="11"/>
        <v>853087.48281329882</v>
      </c>
      <c r="G80" s="170">
        <f t="shared" si="6"/>
        <v>4687.2126546803111</v>
      </c>
      <c r="H80" s="170">
        <f t="shared" si="5"/>
        <v>7677.7873453196889</v>
      </c>
      <c r="I80" s="170">
        <v>0</v>
      </c>
      <c r="J80" s="170">
        <v>12365</v>
      </c>
      <c r="K80" s="170">
        <f t="shared" si="12"/>
        <v>848400.27015861846</v>
      </c>
    </row>
    <row r="81" spans="2:11" x14ac:dyDescent="0.2">
      <c r="B81" s="171">
        <v>74</v>
      </c>
      <c r="C81" s="172">
        <v>47720</v>
      </c>
      <c r="D81" s="173" t="s">
        <v>750</v>
      </c>
      <c r="E81" s="174">
        <f t="shared" si="10"/>
        <v>31</v>
      </c>
      <c r="F81" s="170">
        <f t="shared" si="11"/>
        <v>848400.27015861846</v>
      </c>
      <c r="G81" s="170">
        <f t="shared" si="6"/>
        <v>4474.8774875248491</v>
      </c>
      <c r="H81" s="170">
        <f t="shared" si="5"/>
        <v>7890.1225124751509</v>
      </c>
      <c r="I81" s="170">
        <v>0</v>
      </c>
      <c r="J81" s="170">
        <v>12365</v>
      </c>
      <c r="K81" s="170">
        <f t="shared" si="12"/>
        <v>843925.39267109358</v>
      </c>
    </row>
    <row r="82" spans="2:11" x14ac:dyDescent="0.2">
      <c r="B82" s="171">
        <v>75</v>
      </c>
      <c r="C82" s="172">
        <v>47751</v>
      </c>
      <c r="D82" s="173" t="s">
        <v>750</v>
      </c>
      <c r="E82" s="174">
        <f t="shared" si="10"/>
        <v>31</v>
      </c>
      <c r="F82" s="170">
        <f t="shared" si="11"/>
        <v>843925.39267109358</v>
      </c>
      <c r="G82" s="170">
        <f t="shared" si="6"/>
        <v>4516.4938481588306</v>
      </c>
      <c r="H82" s="170">
        <f t="shared" si="5"/>
        <v>7848.5061518411694</v>
      </c>
      <c r="I82" s="170">
        <v>0</v>
      </c>
      <c r="J82" s="170">
        <v>12365</v>
      </c>
      <c r="K82" s="170">
        <f t="shared" si="12"/>
        <v>839408.89882293472</v>
      </c>
    </row>
    <row r="83" spans="2:11" x14ac:dyDescent="0.2">
      <c r="B83" s="171">
        <v>76</v>
      </c>
      <c r="C83" s="172">
        <v>47781</v>
      </c>
      <c r="D83" s="173" t="s">
        <v>750</v>
      </c>
      <c r="E83" s="174">
        <f t="shared" si="10"/>
        <v>30</v>
      </c>
      <c r="F83" s="170">
        <f t="shared" si="11"/>
        <v>839408.89882293472</v>
      </c>
      <c r="G83" s="170">
        <f t="shared" si="6"/>
        <v>4810.3199105935882</v>
      </c>
      <c r="H83" s="170">
        <f t="shared" si="5"/>
        <v>7554.6800894064118</v>
      </c>
      <c r="I83" s="170">
        <v>0</v>
      </c>
      <c r="J83" s="170">
        <v>12365</v>
      </c>
      <c r="K83" s="170">
        <f t="shared" si="12"/>
        <v>834598.57891234115</v>
      </c>
    </row>
    <row r="84" spans="2:11" x14ac:dyDescent="0.2">
      <c r="B84" s="171">
        <v>77</v>
      </c>
      <c r="C84" s="172">
        <v>47812</v>
      </c>
      <c r="D84" s="173" t="s">
        <v>750</v>
      </c>
      <c r="E84" s="174">
        <f t="shared" si="10"/>
        <v>31</v>
      </c>
      <c r="F84" s="170">
        <f t="shared" si="11"/>
        <v>834598.57891234115</v>
      </c>
      <c r="G84" s="170">
        <f t="shared" si="6"/>
        <v>4603.2332161152281</v>
      </c>
      <c r="H84" s="170">
        <f t="shared" si="5"/>
        <v>7761.7667838847719</v>
      </c>
      <c r="I84" s="170">
        <v>0</v>
      </c>
      <c r="J84" s="170">
        <v>12365</v>
      </c>
      <c r="K84" s="170">
        <f t="shared" si="12"/>
        <v>829995.34569622588</v>
      </c>
    </row>
    <row r="85" spans="2:11" x14ac:dyDescent="0.2">
      <c r="B85" s="171">
        <v>78</v>
      </c>
      <c r="C85" s="172">
        <v>47842</v>
      </c>
      <c r="D85" s="173" t="s">
        <v>750</v>
      </c>
      <c r="E85" s="174">
        <f t="shared" si="10"/>
        <v>30</v>
      </c>
      <c r="F85" s="170">
        <f t="shared" si="11"/>
        <v>829995.34569622588</v>
      </c>
      <c r="G85" s="170">
        <f t="shared" si="6"/>
        <v>4895.0418887339674</v>
      </c>
      <c r="H85" s="170">
        <f t="shared" si="5"/>
        <v>7469.9581112660326</v>
      </c>
      <c r="I85" s="170">
        <v>0</v>
      </c>
      <c r="J85" s="170">
        <v>12365</v>
      </c>
      <c r="K85" s="170">
        <f t="shared" si="12"/>
        <v>825100.3038074919</v>
      </c>
    </row>
    <row r="86" spans="2:11" x14ac:dyDescent="0.2">
      <c r="B86" s="171">
        <v>79</v>
      </c>
      <c r="C86" s="172">
        <v>47873</v>
      </c>
      <c r="D86" s="173" t="s">
        <v>750</v>
      </c>
      <c r="E86" s="174">
        <f t="shared" si="10"/>
        <v>31</v>
      </c>
      <c r="F86" s="170">
        <f t="shared" si="11"/>
        <v>825100.3038074919</v>
      </c>
      <c r="G86" s="170">
        <f t="shared" si="6"/>
        <v>4691.5671745903255</v>
      </c>
      <c r="H86" s="170">
        <f t="shared" si="5"/>
        <v>7673.4328254096745</v>
      </c>
      <c r="I86" s="170">
        <v>0</v>
      </c>
      <c r="J86" s="170">
        <v>12365</v>
      </c>
      <c r="K86" s="170">
        <f t="shared" si="12"/>
        <v>820408.73663290159</v>
      </c>
    </row>
    <row r="87" spans="2:11" x14ac:dyDescent="0.2">
      <c r="B87" s="171">
        <v>80</v>
      </c>
      <c r="C87" s="172">
        <v>47904</v>
      </c>
      <c r="D87" s="173" t="s">
        <v>750</v>
      </c>
      <c r="E87" s="174">
        <f t="shared" si="10"/>
        <v>31</v>
      </c>
      <c r="F87" s="170">
        <f t="shared" si="11"/>
        <v>820408.73663290159</v>
      </c>
      <c r="G87" s="170">
        <f t="shared" si="6"/>
        <v>4735.1987493140159</v>
      </c>
      <c r="H87" s="170">
        <f t="shared" si="5"/>
        <v>7629.8012506859841</v>
      </c>
      <c r="I87" s="170">
        <v>0</v>
      </c>
      <c r="J87" s="170">
        <v>12365</v>
      </c>
      <c r="K87" s="170">
        <f t="shared" si="12"/>
        <v>815673.53788358753</v>
      </c>
    </row>
    <row r="88" spans="2:11" x14ac:dyDescent="0.2">
      <c r="B88" s="171">
        <v>81</v>
      </c>
      <c r="C88" s="172">
        <v>47932</v>
      </c>
      <c r="D88" s="173" t="s">
        <v>750</v>
      </c>
      <c r="E88" s="174">
        <f t="shared" si="10"/>
        <v>28</v>
      </c>
      <c r="F88" s="170">
        <f t="shared" si="11"/>
        <v>815673.53788358753</v>
      </c>
      <c r="G88" s="170">
        <f t="shared" si="6"/>
        <v>5513.3422817778655</v>
      </c>
      <c r="H88" s="170">
        <f t="shared" si="5"/>
        <v>6851.6577182221345</v>
      </c>
      <c r="I88" s="170">
        <v>0</v>
      </c>
      <c r="J88" s="170">
        <v>12365</v>
      </c>
      <c r="K88" s="170">
        <f t="shared" si="12"/>
        <v>810160.19560180965</v>
      </c>
    </row>
    <row r="89" spans="2:11" x14ac:dyDescent="0.2">
      <c r="B89" s="171">
        <v>82</v>
      </c>
      <c r="C89" s="172">
        <v>47963</v>
      </c>
      <c r="D89" s="173" t="s">
        <v>750</v>
      </c>
      <c r="E89" s="174">
        <f t="shared" si="10"/>
        <v>31</v>
      </c>
      <c r="F89" s="170">
        <f t="shared" si="11"/>
        <v>810160.19560180965</v>
      </c>
      <c r="G89" s="170">
        <f t="shared" si="6"/>
        <v>4830.5101809031712</v>
      </c>
      <c r="H89" s="170">
        <f t="shared" si="5"/>
        <v>7534.4898190968288</v>
      </c>
      <c r="I89" s="170">
        <v>0</v>
      </c>
      <c r="J89" s="170">
        <v>12365</v>
      </c>
      <c r="K89" s="170">
        <f t="shared" si="12"/>
        <v>805329.68542090652</v>
      </c>
    </row>
    <row r="90" spans="2:11" x14ac:dyDescent="0.2">
      <c r="B90" s="171">
        <v>83</v>
      </c>
      <c r="C90" s="172">
        <v>47993</v>
      </c>
      <c r="D90" s="173" t="s">
        <v>750</v>
      </c>
      <c r="E90" s="174">
        <f t="shared" si="10"/>
        <v>30</v>
      </c>
      <c r="F90" s="170">
        <f t="shared" si="11"/>
        <v>805329.68542090652</v>
      </c>
      <c r="G90" s="170">
        <f t="shared" si="6"/>
        <v>5117.0328312118418</v>
      </c>
      <c r="H90" s="170">
        <f t="shared" si="5"/>
        <v>7247.9671687881582</v>
      </c>
      <c r="I90" s="170">
        <v>0</v>
      </c>
      <c r="J90" s="170">
        <v>12365</v>
      </c>
      <c r="K90" s="170">
        <f t="shared" si="12"/>
        <v>800212.65258969471</v>
      </c>
    </row>
    <row r="91" spans="2:11" x14ac:dyDescent="0.2">
      <c r="B91" s="171">
        <v>84</v>
      </c>
      <c r="C91" s="172">
        <v>48024</v>
      </c>
      <c r="D91" s="173" t="s">
        <v>750</v>
      </c>
      <c r="E91" s="174">
        <f t="shared" si="10"/>
        <v>31</v>
      </c>
      <c r="F91" s="170">
        <f t="shared" si="11"/>
        <v>800212.65258969471</v>
      </c>
      <c r="G91" s="170">
        <f t="shared" si="6"/>
        <v>4923.02233091584</v>
      </c>
      <c r="H91" s="170">
        <f t="shared" si="5"/>
        <v>7441.97766908416</v>
      </c>
      <c r="I91" s="170">
        <v>0</v>
      </c>
      <c r="J91" s="170">
        <v>12365</v>
      </c>
      <c r="K91" s="170">
        <f t="shared" si="12"/>
        <v>795289.63025877893</v>
      </c>
    </row>
    <row r="92" spans="2:11" x14ac:dyDescent="0.2">
      <c r="B92" s="171">
        <v>85</v>
      </c>
      <c r="C92" s="172">
        <v>48054</v>
      </c>
      <c r="D92" s="173" t="s">
        <v>750</v>
      </c>
      <c r="E92" s="174">
        <f t="shared" si="10"/>
        <v>30</v>
      </c>
      <c r="F92" s="170">
        <f t="shared" si="11"/>
        <v>795289.63025877893</v>
      </c>
      <c r="G92" s="170">
        <f t="shared" si="6"/>
        <v>5207.3933276709904</v>
      </c>
      <c r="H92" s="170">
        <f t="shared" si="5"/>
        <v>7157.6066723290096</v>
      </c>
      <c r="I92" s="170">
        <v>0</v>
      </c>
      <c r="J92" s="170">
        <v>12365</v>
      </c>
      <c r="K92" s="170">
        <f t="shared" si="12"/>
        <v>790082.23693110794</v>
      </c>
    </row>
    <row r="93" spans="2:11" x14ac:dyDescent="0.2">
      <c r="B93" s="171">
        <v>86</v>
      </c>
      <c r="C93" s="172">
        <v>48085</v>
      </c>
      <c r="D93" s="173" t="s">
        <v>750</v>
      </c>
      <c r="E93" s="174">
        <f t="shared" si="10"/>
        <v>31</v>
      </c>
      <c r="F93" s="170">
        <f t="shared" si="11"/>
        <v>790082.23693110794</v>
      </c>
      <c r="G93" s="170">
        <f t="shared" si="6"/>
        <v>5017.235196540697</v>
      </c>
      <c r="H93" s="170">
        <f t="shared" si="5"/>
        <v>7347.764803459303</v>
      </c>
      <c r="I93" s="170">
        <v>0</v>
      </c>
      <c r="J93" s="170">
        <v>12365</v>
      </c>
      <c r="K93" s="170">
        <f t="shared" si="12"/>
        <v>785065.00173456722</v>
      </c>
    </row>
    <row r="94" spans="2:11" x14ac:dyDescent="0.2">
      <c r="B94" s="171">
        <v>87</v>
      </c>
      <c r="C94" s="172">
        <v>48116</v>
      </c>
      <c r="D94" s="173" t="s">
        <v>750</v>
      </c>
      <c r="E94" s="174">
        <f t="shared" si="10"/>
        <v>31</v>
      </c>
      <c r="F94" s="170">
        <f t="shared" si="11"/>
        <v>785065.00173456722</v>
      </c>
      <c r="G94" s="170">
        <f t="shared" si="6"/>
        <v>5063.8954838685258</v>
      </c>
      <c r="H94" s="170">
        <f t="shared" si="5"/>
        <v>7301.1045161314742</v>
      </c>
      <c r="I94" s="170">
        <v>0</v>
      </c>
      <c r="J94" s="170">
        <v>12365</v>
      </c>
      <c r="K94" s="170">
        <f t="shared" si="12"/>
        <v>780001.10625069868</v>
      </c>
    </row>
    <row r="95" spans="2:11" x14ac:dyDescent="0.2">
      <c r="B95" s="171">
        <v>88</v>
      </c>
      <c r="C95" s="172">
        <v>48146</v>
      </c>
      <c r="D95" s="173" t="s">
        <v>750</v>
      </c>
      <c r="E95" s="174">
        <f t="shared" si="10"/>
        <v>30</v>
      </c>
      <c r="F95" s="170">
        <f t="shared" si="11"/>
        <v>780001.10625069868</v>
      </c>
      <c r="G95" s="170">
        <f t="shared" si="6"/>
        <v>5344.9900437437127</v>
      </c>
      <c r="H95" s="170">
        <f t="shared" si="5"/>
        <v>7020.0099562562873</v>
      </c>
      <c r="I95" s="170">
        <v>0</v>
      </c>
      <c r="J95" s="170">
        <v>12365</v>
      </c>
      <c r="K95" s="170">
        <f t="shared" si="12"/>
        <v>774656.11620695493</v>
      </c>
    </row>
    <row r="96" spans="2:11" x14ac:dyDescent="0.2">
      <c r="B96" s="171">
        <v>89</v>
      </c>
      <c r="C96" s="172">
        <v>48177</v>
      </c>
      <c r="D96" s="173" t="s">
        <v>750</v>
      </c>
      <c r="E96" s="174">
        <f t="shared" si="10"/>
        <v>31</v>
      </c>
      <c r="F96" s="170">
        <f t="shared" si="11"/>
        <v>774656.11620695493</v>
      </c>
      <c r="G96" s="170">
        <f t="shared" si="6"/>
        <v>5160.6981192753201</v>
      </c>
      <c r="H96" s="170">
        <f t="shared" si="5"/>
        <v>7204.3018807246799</v>
      </c>
      <c r="I96" s="170">
        <v>0</v>
      </c>
      <c r="J96" s="170">
        <v>12365</v>
      </c>
      <c r="K96" s="170">
        <f t="shared" si="12"/>
        <v>769495.41808767966</v>
      </c>
    </row>
    <row r="97" spans="2:11" x14ac:dyDescent="0.2">
      <c r="B97" s="171">
        <v>90</v>
      </c>
      <c r="C97" s="172">
        <v>48207</v>
      </c>
      <c r="D97" s="173" t="s">
        <v>750</v>
      </c>
      <c r="E97" s="174">
        <f t="shared" si="10"/>
        <v>30</v>
      </c>
      <c r="F97" s="170">
        <f t="shared" si="11"/>
        <v>769495.41808767966</v>
      </c>
      <c r="G97" s="170">
        <f t="shared" si="6"/>
        <v>5439.541237210884</v>
      </c>
      <c r="H97" s="170">
        <f t="shared" si="5"/>
        <v>6925.458762789116</v>
      </c>
      <c r="I97" s="170">
        <v>0</v>
      </c>
      <c r="J97" s="170">
        <v>12365</v>
      </c>
      <c r="K97" s="170">
        <f t="shared" si="12"/>
        <v>764055.87685046881</v>
      </c>
    </row>
    <row r="98" spans="2:11" x14ac:dyDescent="0.2">
      <c r="B98" s="171">
        <v>91</v>
      </c>
      <c r="C98" s="172">
        <v>48238</v>
      </c>
      <c r="D98" s="173" t="s">
        <v>750</v>
      </c>
      <c r="E98" s="174">
        <f t="shared" si="10"/>
        <v>31</v>
      </c>
      <c r="F98" s="170">
        <f t="shared" si="11"/>
        <v>764055.87685046881</v>
      </c>
      <c r="G98" s="170">
        <f t="shared" si="6"/>
        <v>5259.280345290641</v>
      </c>
      <c r="H98" s="170">
        <f t="shared" si="5"/>
        <v>7105.719654709359</v>
      </c>
      <c r="I98" s="170">
        <v>0</v>
      </c>
      <c r="J98" s="170">
        <v>12365</v>
      </c>
      <c r="K98" s="170">
        <f t="shared" si="12"/>
        <v>758796.59650517814</v>
      </c>
    </row>
    <row r="99" spans="2:11" x14ac:dyDescent="0.2">
      <c r="B99" s="171">
        <v>92</v>
      </c>
      <c r="C99" s="172">
        <v>48269</v>
      </c>
      <c r="D99" s="173" t="s">
        <v>750</v>
      </c>
      <c r="E99" s="174">
        <f t="shared" si="10"/>
        <v>31</v>
      </c>
      <c r="F99" s="170">
        <f t="shared" si="11"/>
        <v>758796.59650517814</v>
      </c>
      <c r="G99" s="170">
        <f t="shared" si="6"/>
        <v>5308.1916525018441</v>
      </c>
      <c r="H99" s="170">
        <f t="shared" si="5"/>
        <v>7056.8083474981559</v>
      </c>
      <c r="I99" s="170">
        <v>0</v>
      </c>
      <c r="J99" s="170">
        <v>12365</v>
      </c>
      <c r="K99" s="170">
        <f t="shared" si="12"/>
        <v>753488.40485267632</v>
      </c>
    </row>
    <row r="100" spans="2:11" x14ac:dyDescent="0.2">
      <c r="B100" s="171">
        <v>93</v>
      </c>
      <c r="C100" s="172">
        <v>48298</v>
      </c>
      <c r="D100" s="173" t="s">
        <v>750</v>
      </c>
      <c r="E100" s="174">
        <f t="shared" si="10"/>
        <v>29</v>
      </c>
      <c r="F100" s="170">
        <f t="shared" si="11"/>
        <v>753488.40485267632</v>
      </c>
      <c r="G100" s="170">
        <f t="shared" si="6"/>
        <v>5809.6508777817162</v>
      </c>
      <c r="H100" s="170">
        <f t="shared" si="5"/>
        <v>6555.3491222182838</v>
      </c>
      <c r="I100" s="170">
        <v>0</v>
      </c>
      <c r="J100" s="170">
        <v>12365</v>
      </c>
      <c r="K100" s="170">
        <f t="shared" si="12"/>
        <v>747678.75397489464</v>
      </c>
    </row>
    <row r="101" spans="2:11" x14ac:dyDescent="0.2">
      <c r="B101" s="171">
        <v>94</v>
      </c>
      <c r="C101" s="172">
        <v>48329</v>
      </c>
      <c r="D101" s="173" t="s">
        <v>750</v>
      </c>
      <c r="E101" s="174">
        <f t="shared" si="10"/>
        <v>31</v>
      </c>
      <c r="F101" s="170">
        <f t="shared" si="11"/>
        <v>747678.75397489464</v>
      </c>
      <c r="G101" s="170">
        <f t="shared" si="6"/>
        <v>5411.5875880334806</v>
      </c>
      <c r="H101" s="170">
        <f t="shared" si="5"/>
        <v>6953.4124119665194</v>
      </c>
      <c r="I101" s="170">
        <v>0</v>
      </c>
      <c r="J101" s="170">
        <v>12365</v>
      </c>
      <c r="K101" s="170">
        <f t="shared" si="12"/>
        <v>742267.16638686112</v>
      </c>
    </row>
    <row r="102" spans="2:11" x14ac:dyDescent="0.2">
      <c r="B102" s="171">
        <v>95</v>
      </c>
      <c r="C102" s="172">
        <v>48359</v>
      </c>
      <c r="D102" s="173" t="s">
        <v>750</v>
      </c>
      <c r="E102" s="174">
        <f t="shared" si="10"/>
        <v>30</v>
      </c>
      <c r="F102" s="170">
        <f t="shared" si="11"/>
        <v>742267.16638686112</v>
      </c>
      <c r="G102" s="170">
        <f t="shared" si="6"/>
        <v>5684.5955025182502</v>
      </c>
      <c r="H102" s="170">
        <f t="shared" si="5"/>
        <v>6680.4044974817498</v>
      </c>
      <c r="I102" s="170">
        <v>0</v>
      </c>
      <c r="J102" s="170">
        <v>12365</v>
      </c>
      <c r="K102" s="170">
        <f t="shared" si="12"/>
        <v>736582.57088434289</v>
      </c>
    </row>
    <row r="103" spans="2:11" x14ac:dyDescent="0.2">
      <c r="B103" s="171">
        <v>96</v>
      </c>
      <c r="C103" s="172">
        <v>48390</v>
      </c>
      <c r="D103" s="173" t="s">
        <v>750</v>
      </c>
      <c r="E103" s="174">
        <f t="shared" si="10"/>
        <v>31</v>
      </c>
      <c r="F103" s="170">
        <f t="shared" si="11"/>
        <v>736582.57088434289</v>
      </c>
      <c r="G103" s="170">
        <f t="shared" si="6"/>
        <v>5514.7820907756113</v>
      </c>
      <c r="H103" s="170">
        <f t="shared" si="5"/>
        <v>6850.2179092243887</v>
      </c>
      <c r="I103" s="170">
        <v>0</v>
      </c>
      <c r="J103" s="170">
        <v>12365</v>
      </c>
      <c r="K103" s="170">
        <f t="shared" si="12"/>
        <v>731067.78879356722</v>
      </c>
    </row>
    <row r="104" spans="2:11" x14ac:dyDescent="0.2">
      <c r="B104" s="171">
        <v>97</v>
      </c>
      <c r="C104" s="172">
        <v>48420</v>
      </c>
      <c r="D104" s="173" t="s">
        <v>750</v>
      </c>
      <c r="E104" s="174">
        <f t="shared" si="10"/>
        <v>30</v>
      </c>
      <c r="F104" s="170">
        <f t="shared" si="11"/>
        <v>731067.78879356722</v>
      </c>
      <c r="G104" s="170">
        <f t="shared" si="6"/>
        <v>5785.3899008578956</v>
      </c>
      <c r="H104" s="170">
        <f t="shared" si="5"/>
        <v>6579.6100991421044</v>
      </c>
      <c r="I104" s="170">
        <v>0</v>
      </c>
      <c r="J104" s="170">
        <v>12365</v>
      </c>
      <c r="K104" s="170">
        <f t="shared" si="12"/>
        <v>725282.39889270929</v>
      </c>
    </row>
    <row r="105" spans="2:11" x14ac:dyDescent="0.2">
      <c r="B105" s="171">
        <v>98</v>
      </c>
      <c r="C105" s="172">
        <v>48451</v>
      </c>
      <c r="D105" s="173" t="s">
        <v>750</v>
      </c>
      <c r="E105" s="174">
        <f t="shared" si="10"/>
        <v>31</v>
      </c>
      <c r="F105" s="170">
        <f t="shared" si="11"/>
        <v>725282.39889270929</v>
      </c>
      <c r="G105" s="170">
        <f t="shared" si="6"/>
        <v>5619.8736902978044</v>
      </c>
      <c r="H105" s="170">
        <f t="shared" si="5"/>
        <v>6745.1263097021956</v>
      </c>
      <c r="I105" s="170">
        <v>0</v>
      </c>
      <c r="J105" s="170">
        <v>12365</v>
      </c>
      <c r="K105" s="170">
        <f t="shared" si="12"/>
        <v>719662.52520241146</v>
      </c>
    </row>
    <row r="106" spans="2:11" x14ac:dyDescent="0.2">
      <c r="B106" s="171">
        <v>99</v>
      </c>
      <c r="C106" s="172">
        <v>48482</v>
      </c>
      <c r="D106" s="173" t="s">
        <v>750</v>
      </c>
      <c r="E106" s="174">
        <f t="shared" si="10"/>
        <v>31</v>
      </c>
      <c r="F106" s="170">
        <f t="shared" si="11"/>
        <v>719662.52520241146</v>
      </c>
      <c r="G106" s="170">
        <f t="shared" si="6"/>
        <v>5672.1385156175738</v>
      </c>
      <c r="H106" s="170">
        <f t="shared" si="5"/>
        <v>6692.8614843824262</v>
      </c>
      <c r="I106" s="170">
        <v>0</v>
      </c>
      <c r="J106" s="170">
        <v>12365</v>
      </c>
      <c r="K106" s="170">
        <f t="shared" si="12"/>
        <v>713990.38668679388</v>
      </c>
    </row>
    <row r="107" spans="2:11" x14ac:dyDescent="0.2">
      <c r="B107" s="171">
        <v>100</v>
      </c>
      <c r="C107" s="172">
        <v>48512</v>
      </c>
      <c r="D107" s="173" t="s">
        <v>750</v>
      </c>
      <c r="E107" s="174">
        <f t="shared" si="10"/>
        <v>30</v>
      </c>
      <c r="F107" s="170">
        <f t="shared" si="11"/>
        <v>713990.38668679388</v>
      </c>
      <c r="G107" s="170">
        <f t="shared" si="6"/>
        <v>5939.0865198188558</v>
      </c>
      <c r="H107" s="170">
        <f t="shared" si="5"/>
        <v>6425.9134801811442</v>
      </c>
      <c r="I107" s="170">
        <v>0</v>
      </c>
      <c r="J107" s="170">
        <v>12365</v>
      </c>
      <c r="K107" s="170">
        <f t="shared" si="12"/>
        <v>708051.30016697501</v>
      </c>
    </row>
    <row r="108" spans="2:11" x14ac:dyDescent="0.2">
      <c r="B108" s="171">
        <v>101</v>
      </c>
      <c r="C108" s="172">
        <v>48543</v>
      </c>
      <c r="D108" s="173" t="s">
        <v>750</v>
      </c>
      <c r="E108" s="174">
        <f t="shared" si="10"/>
        <v>31</v>
      </c>
      <c r="F108" s="170">
        <f t="shared" si="11"/>
        <v>708051.30016697501</v>
      </c>
      <c r="G108" s="170">
        <f t="shared" si="6"/>
        <v>5780.1229084471333</v>
      </c>
      <c r="H108" s="170">
        <f t="shared" si="5"/>
        <v>6584.8770915528667</v>
      </c>
      <c r="I108" s="170">
        <v>0</v>
      </c>
      <c r="J108" s="170">
        <v>12365</v>
      </c>
      <c r="K108" s="170">
        <f t="shared" si="12"/>
        <v>702271.17725852784</v>
      </c>
    </row>
    <row r="109" spans="2:11" x14ac:dyDescent="0.2">
      <c r="B109" s="171">
        <v>102</v>
      </c>
      <c r="C109" s="172">
        <v>48573</v>
      </c>
      <c r="D109" s="173" t="s">
        <v>750</v>
      </c>
      <c r="E109" s="174">
        <f t="shared" si="10"/>
        <v>30</v>
      </c>
      <c r="F109" s="170">
        <f t="shared" si="11"/>
        <v>702271.17725852784</v>
      </c>
      <c r="G109" s="170">
        <f t="shared" si="6"/>
        <v>6044.5594046732504</v>
      </c>
      <c r="H109" s="170">
        <f t="shared" si="5"/>
        <v>6320.4405953267496</v>
      </c>
      <c r="I109" s="170">
        <v>0</v>
      </c>
      <c r="J109" s="170">
        <v>12365</v>
      </c>
      <c r="K109" s="170">
        <f t="shared" si="12"/>
        <v>696226.61785385455</v>
      </c>
    </row>
    <row r="110" spans="2:11" x14ac:dyDescent="0.2">
      <c r="B110" s="171">
        <v>103</v>
      </c>
      <c r="C110" s="172">
        <v>48604</v>
      </c>
      <c r="D110" s="173" t="s">
        <v>750</v>
      </c>
      <c r="E110" s="174">
        <f t="shared" si="10"/>
        <v>31</v>
      </c>
      <c r="F110" s="170">
        <f t="shared" si="11"/>
        <v>696226.61785385455</v>
      </c>
      <c r="G110" s="170">
        <f t="shared" si="6"/>
        <v>5890.0924539591533</v>
      </c>
      <c r="H110" s="170">
        <f t="shared" si="5"/>
        <v>6474.9075460408467</v>
      </c>
      <c r="I110" s="170">
        <v>0</v>
      </c>
      <c r="J110" s="170">
        <v>12365</v>
      </c>
      <c r="K110" s="170">
        <f t="shared" si="12"/>
        <v>690336.52539989538</v>
      </c>
    </row>
    <row r="111" spans="2:11" x14ac:dyDescent="0.2">
      <c r="B111" s="171">
        <v>104</v>
      </c>
      <c r="C111" s="172">
        <v>48635</v>
      </c>
      <c r="D111" s="173" t="s">
        <v>750</v>
      </c>
      <c r="E111" s="174">
        <f t="shared" si="10"/>
        <v>31</v>
      </c>
      <c r="F111" s="170">
        <f t="shared" si="11"/>
        <v>690336.52539989538</v>
      </c>
      <c r="G111" s="170">
        <f t="shared" si="6"/>
        <v>5944.8703137809734</v>
      </c>
      <c r="H111" s="170">
        <f t="shared" si="5"/>
        <v>6420.1296862190266</v>
      </c>
      <c r="I111" s="170">
        <v>0</v>
      </c>
      <c r="J111" s="170">
        <v>12365</v>
      </c>
      <c r="K111" s="170">
        <f t="shared" si="12"/>
        <v>684391.65508611442</v>
      </c>
    </row>
    <row r="112" spans="2:11" x14ac:dyDescent="0.2">
      <c r="B112" s="171">
        <v>105</v>
      </c>
      <c r="C112" s="172">
        <v>48663</v>
      </c>
      <c r="D112" s="173" t="s">
        <v>750</v>
      </c>
      <c r="E112" s="174">
        <f t="shared" si="10"/>
        <v>28</v>
      </c>
      <c r="F112" s="170">
        <f t="shared" si="11"/>
        <v>684391.65508611442</v>
      </c>
      <c r="G112" s="170">
        <f t="shared" si="6"/>
        <v>6616.110097276639</v>
      </c>
      <c r="H112" s="170">
        <f t="shared" si="5"/>
        <v>5748.889902723361</v>
      </c>
      <c r="I112" s="170">
        <v>0</v>
      </c>
      <c r="J112" s="170">
        <v>12365</v>
      </c>
      <c r="K112" s="170">
        <f t="shared" si="12"/>
        <v>677775.54498883779</v>
      </c>
    </row>
    <row r="113" spans="2:11" x14ac:dyDescent="0.2">
      <c r="B113" s="171">
        <v>106</v>
      </c>
      <c r="C113" s="172">
        <v>48694</v>
      </c>
      <c r="D113" s="173" t="s">
        <v>750</v>
      </c>
      <c r="E113" s="174">
        <f t="shared" si="10"/>
        <v>31</v>
      </c>
      <c r="F113" s="170">
        <f t="shared" si="11"/>
        <v>677775.54498883779</v>
      </c>
      <c r="G113" s="170">
        <f t="shared" si="6"/>
        <v>6061.6874316038093</v>
      </c>
      <c r="H113" s="170">
        <f t="shared" si="5"/>
        <v>6303.3125683961907</v>
      </c>
      <c r="I113" s="170">
        <v>0</v>
      </c>
      <c r="J113" s="170">
        <v>12365</v>
      </c>
      <c r="K113" s="170">
        <f t="shared" si="12"/>
        <v>671713.85755723401</v>
      </c>
    </row>
    <row r="114" spans="2:11" x14ac:dyDescent="0.2">
      <c r="B114" s="171">
        <v>107</v>
      </c>
      <c r="C114" s="172">
        <v>48724</v>
      </c>
      <c r="D114" s="173" t="s">
        <v>750</v>
      </c>
      <c r="E114" s="174">
        <f t="shared" si="10"/>
        <v>30</v>
      </c>
      <c r="F114" s="170">
        <f t="shared" si="11"/>
        <v>671713.85755723401</v>
      </c>
      <c r="G114" s="170">
        <f t="shared" si="6"/>
        <v>6319.575281984894</v>
      </c>
      <c r="H114" s="170">
        <f t="shared" si="5"/>
        <v>6045.424718015106</v>
      </c>
      <c r="I114" s="170">
        <v>0</v>
      </c>
      <c r="J114" s="170">
        <v>12365</v>
      </c>
      <c r="K114" s="170">
        <f t="shared" si="12"/>
        <v>665394.28227524913</v>
      </c>
    </row>
    <row r="115" spans="2:11" x14ac:dyDescent="0.2">
      <c r="B115" s="171">
        <v>108</v>
      </c>
      <c r="C115" s="172">
        <v>48755</v>
      </c>
      <c r="D115" s="173" t="s">
        <v>750</v>
      </c>
      <c r="E115" s="174">
        <f t="shared" si="10"/>
        <v>31</v>
      </c>
      <c r="F115" s="170">
        <f t="shared" si="11"/>
        <v>665394.28227524913</v>
      </c>
      <c r="G115" s="170">
        <f t="shared" si="6"/>
        <v>6176.8331748401833</v>
      </c>
      <c r="H115" s="170">
        <f t="shared" si="5"/>
        <v>6188.1668251598167</v>
      </c>
      <c r="I115" s="170">
        <v>0</v>
      </c>
      <c r="J115" s="170">
        <v>12365</v>
      </c>
      <c r="K115" s="170">
        <f t="shared" si="12"/>
        <v>659217.44910040894</v>
      </c>
    </row>
    <row r="116" spans="2:11" x14ac:dyDescent="0.2">
      <c r="B116" s="171">
        <v>109</v>
      </c>
      <c r="C116" s="172">
        <v>48785</v>
      </c>
      <c r="D116" s="173" t="s">
        <v>750</v>
      </c>
      <c r="E116" s="174">
        <f t="shared" si="10"/>
        <v>30</v>
      </c>
      <c r="F116" s="170">
        <f t="shared" si="11"/>
        <v>659217.44910040894</v>
      </c>
      <c r="G116" s="170">
        <f t="shared" si="6"/>
        <v>6432.04295809632</v>
      </c>
      <c r="H116" s="170">
        <f t="shared" si="5"/>
        <v>5932.95704190368</v>
      </c>
      <c r="I116" s="170">
        <v>0</v>
      </c>
      <c r="J116" s="170">
        <v>12365</v>
      </c>
      <c r="K116" s="170">
        <f t="shared" si="12"/>
        <v>652785.40614231257</v>
      </c>
    </row>
    <row r="117" spans="2:11" x14ac:dyDescent="0.2">
      <c r="B117" s="171">
        <v>110</v>
      </c>
      <c r="C117" s="172">
        <v>48816</v>
      </c>
      <c r="D117" s="173" t="s">
        <v>750</v>
      </c>
      <c r="E117" s="174">
        <f t="shared" si="10"/>
        <v>31</v>
      </c>
      <c r="F117" s="170">
        <f t="shared" si="11"/>
        <v>652785.40614231257</v>
      </c>
      <c r="G117" s="170">
        <f t="shared" si="6"/>
        <v>6294.0957228764937</v>
      </c>
      <c r="H117" s="170">
        <f t="shared" si="5"/>
        <v>6070.9042771235063</v>
      </c>
      <c r="I117" s="170">
        <v>0</v>
      </c>
      <c r="J117" s="170">
        <v>12365</v>
      </c>
      <c r="K117" s="170">
        <f t="shared" si="12"/>
        <v>646491.31041943608</v>
      </c>
    </row>
    <row r="118" spans="2:11" x14ac:dyDescent="0.2">
      <c r="B118" s="171">
        <v>111</v>
      </c>
      <c r="C118" s="172">
        <v>48847</v>
      </c>
      <c r="D118" s="173" t="s">
        <v>750</v>
      </c>
      <c r="E118" s="174">
        <f t="shared" si="10"/>
        <v>31</v>
      </c>
      <c r="F118" s="170">
        <f t="shared" si="11"/>
        <v>646491.31041943608</v>
      </c>
      <c r="G118" s="170">
        <f t="shared" si="6"/>
        <v>6352.6308130992447</v>
      </c>
      <c r="H118" s="170">
        <f t="shared" si="5"/>
        <v>6012.3691869007553</v>
      </c>
      <c r="I118" s="170">
        <v>0</v>
      </c>
      <c r="J118" s="170">
        <v>12365</v>
      </c>
      <c r="K118" s="170">
        <f t="shared" si="12"/>
        <v>640138.67960633687</v>
      </c>
    </row>
    <row r="119" spans="2:11" x14ac:dyDescent="0.2">
      <c r="B119" s="171">
        <v>112</v>
      </c>
      <c r="C119" s="172">
        <v>48877</v>
      </c>
      <c r="D119" s="173" t="s">
        <v>750</v>
      </c>
      <c r="E119" s="174">
        <f t="shared" si="10"/>
        <v>30</v>
      </c>
      <c r="F119" s="170">
        <f t="shared" si="11"/>
        <v>640138.67960633687</v>
      </c>
      <c r="G119" s="170">
        <f t="shared" si="6"/>
        <v>6603.7518835429682</v>
      </c>
      <c r="H119" s="170">
        <f t="shared" si="5"/>
        <v>5761.2481164570318</v>
      </c>
      <c r="I119" s="170">
        <v>0</v>
      </c>
      <c r="J119" s="170">
        <v>12365</v>
      </c>
      <c r="K119" s="170">
        <f t="shared" si="12"/>
        <v>633534.92772279389</v>
      </c>
    </row>
    <row r="120" spans="2:11" x14ac:dyDescent="0.2">
      <c r="B120" s="171">
        <v>113</v>
      </c>
      <c r="C120" s="172">
        <v>48908</v>
      </c>
      <c r="D120" s="173" t="s">
        <v>750</v>
      </c>
      <c r="E120" s="174">
        <f t="shared" si="10"/>
        <v>31</v>
      </c>
      <c r="F120" s="170">
        <f t="shared" si="11"/>
        <v>633534.92772279389</v>
      </c>
      <c r="G120" s="170">
        <f t="shared" si="6"/>
        <v>6473.1251721780172</v>
      </c>
      <c r="H120" s="170">
        <f t="shared" si="5"/>
        <v>5891.8748278219828</v>
      </c>
      <c r="I120" s="170">
        <v>0</v>
      </c>
      <c r="J120" s="170">
        <v>12365</v>
      </c>
      <c r="K120" s="170">
        <f t="shared" si="12"/>
        <v>627061.80255061586</v>
      </c>
    </row>
    <row r="121" spans="2:11" x14ac:dyDescent="0.2">
      <c r="B121" s="171">
        <v>114</v>
      </c>
      <c r="C121" s="172">
        <v>48938</v>
      </c>
      <c r="D121" s="173" t="s">
        <v>750</v>
      </c>
      <c r="E121" s="174">
        <f t="shared" si="10"/>
        <v>30</v>
      </c>
      <c r="F121" s="170">
        <f t="shared" si="11"/>
        <v>627061.80255061586</v>
      </c>
      <c r="G121" s="170">
        <f t="shared" si="6"/>
        <v>6721.4437770444574</v>
      </c>
      <c r="H121" s="170">
        <f t="shared" si="5"/>
        <v>5643.5562229555426</v>
      </c>
      <c r="I121" s="170">
        <v>0</v>
      </c>
      <c r="J121" s="170">
        <v>12365</v>
      </c>
      <c r="K121" s="170">
        <f t="shared" si="12"/>
        <v>620340.35877357144</v>
      </c>
    </row>
    <row r="122" spans="2:11" x14ac:dyDescent="0.2">
      <c r="B122" s="171">
        <v>115</v>
      </c>
      <c r="C122" s="172">
        <v>48969</v>
      </c>
      <c r="D122" s="173" t="s">
        <v>750</v>
      </c>
      <c r="E122" s="174">
        <f t="shared" si="10"/>
        <v>31</v>
      </c>
      <c r="F122" s="170">
        <f t="shared" si="11"/>
        <v>620340.35877357144</v>
      </c>
      <c r="G122" s="170">
        <f t="shared" si="6"/>
        <v>6595.8346634057862</v>
      </c>
      <c r="H122" s="170">
        <f t="shared" si="5"/>
        <v>5769.1653365942138</v>
      </c>
      <c r="I122" s="170">
        <v>0</v>
      </c>
      <c r="J122" s="170">
        <v>12365</v>
      </c>
      <c r="K122" s="170">
        <f t="shared" si="12"/>
        <v>613744.52411016566</v>
      </c>
    </row>
    <row r="123" spans="2:11" x14ac:dyDescent="0.2">
      <c r="B123" s="171">
        <v>116</v>
      </c>
      <c r="C123" s="172">
        <v>49000</v>
      </c>
      <c r="D123" s="173" t="s">
        <v>750</v>
      </c>
      <c r="E123" s="174">
        <f t="shared" si="10"/>
        <v>31</v>
      </c>
      <c r="F123" s="170">
        <f t="shared" si="11"/>
        <v>613744.52411016566</v>
      </c>
      <c r="G123" s="170">
        <f t="shared" si="6"/>
        <v>6657.1759257754602</v>
      </c>
      <c r="H123" s="170">
        <f t="shared" si="5"/>
        <v>5707.8240742245398</v>
      </c>
      <c r="I123" s="170">
        <v>0</v>
      </c>
      <c r="J123" s="170">
        <v>12365</v>
      </c>
      <c r="K123" s="170">
        <f t="shared" si="12"/>
        <v>607087.34818439023</v>
      </c>
    </row>
    <row r="124" spans="2:11" x14ac:dyDescent="0.2">
      <c r="B124" s="171">
        <v>117</v>
      </c>
      <c r="C124" s="172">
        <v>49028</v>
      </c>
      <c r="D124" s="173" t="s">
        <v>750</v>
      </c>
      <c r="E124" s="174">
        <f t="shared" si="10"/>
        <v>28</v>
      </c>
      <c r="F124" s="170">
        <f t="shared" si="11"/>
        <v>607087.34818439023</v>
      </c>
      <c r="G124" s="170">
        <f t="shared" si="6"/>
        <v>7265.4662752511222</v>
      </c>
      <c r="H124" s="170">
        <f t="shared" si="5"/>
        <v>5099.5337247488778</v>
      </c>
      <c r="I124" s="170">
        <v>0</v>
      </c>
      <c r="J124" s="170">
        <v>12365</v>
      </c>
      <c r="K124" s="170">
        <f t="shared" si="12"/>
        <v>599821.88190913911</v>
      </c>
    </row>
    <row r="125" spans="2:11" x14ac:dyDescent="0.2">
      <c r="B125" s="171">
        <v>118</v>
      </c>
      <c r="C125" s="172">
        <v>49059</v>
      </c>
      <c r="D125" s="173" t="s">
        <v>750</v>
      </c>
      <c r="E125" s="174">
        <f t="shared" si="10"/>
        <v>31</v>
      </c>
      <c r="F125" s="170">
        <f t="shared" si="11"/>
        <v>599821.88190913911</v>
      </c>
      <c r="G125" s="170">
        <f t="shared" si="6"/>
        <v>6786.6564982450063</v>
      </c>
      <c r="H125" s="170">
        <f t="shared" si="5"/>
        <v>5578.3435017549937</v>
      </c>
      <c r="I125" s="170">
        <v>0</v>
      </c>
      <c r="J125" s="170">
        <v>12365</v>
      </c>
      <c r="K125" s="170">
        <f t="shared" si="12"/>
        <v>593035.22541089414</v>
      </c>
    </row>
    <row r="126" spans="2:11" x14ac:dyDescent="0.2">
      <c r="B126" s="171">
        <v>119</v>
      </c>
      <c r="C126" s="172">
        <v>49089</v>
      </c>
      <c r="D126" s="173" t="s">
        <v>750</v>
      </c>
      <c r="E126" s="174">
        <f t="shared" si="10"/>
        <v>30</v>
      </c>
      <c r="F126" s="170">
        <f t="shared" si="11"/>
        <v>593035.22541089414</v>
      </c>
      <c r="G126" s="170">
        <f t="shared" si="6"/>
        <v>7027.6829713019533</v>
      </c>
      <c r="H126" s="170">
        <f t="shared" si="5"/>
        <v>5337.3170286980467</v>
      </c>
      <c r="I126" s="170">
        <v>0</v>
      </c>
      <c r="J126" s="170">
        <v>12365</v>
      </c>
      <c r="K126" s="170">
        <f t="shared" si="12"/>
        <v>586007.54243959219</v>
      </c>
    </row>
    <row r="127" spans="2:11" x14ac:dyDescent="0.2">
      <c r="B127" s="171">
        <v>120</v>
      </c>
      <c r="C127" s="172">
        <v>49120</v>
      </c>
      <c r="D127" s="173" t="s">
        <v>750</v>
      </c>
      <c r="E127" s="174">
        <f t="shared" si="10"/>
        <v>31</v>
      </c>
      <c r="F127" s="170">
        <f t="shared" si="11"/>
        <v>586007.54243959219</v>
      </c>
      <c r="G127" s="170">
        <f t="shared" si="6"/>
        <v>6915.1298553117931</v>
      </c>
      <c r="H127" s="170">
        <f t="shared" si="5"/>
        <v>5449.8701446882069</v>
      </c>
      <c r="I127" s="170">
        <v>0</v>
      </c>
      <c r="J127" s="170">
        <v>12365</v>
      </c>
      <c r="K127" s="170">
        <f t="shared" si="12"/>
        <v>579092.41258428036</v>
      </c>
    </row>
    <row r="128" spans="2:11" x14ac:dyDescent="0.2">
      <c r="B128" s="171">
        <v>121</v>
      </c>
      <c r="C128" s="172">
        <v>49150</v>
      </c>
      <c r="D128" s="173" t="s">
        <v>750</v>
      </c>
      <c r="E128" s="174">
        <f t="shared" si="10"/>
        <v>30</v>
      </c>
      <c r="F128" s="170">
        <f t="shared" si="11"/>
        <v>579092.41258428036</v>
      </c>
      <c r="G128" s="170">
        <f t="shared" si="6"/>
        <v>7153.1682867414775</v>
      </c>
      <c r="H128" s="170">
        <f t="shared" si="5"/>
        <v>5211.8317132585225</v>
      </c>
      <c r="I128" s="170">
        <v>0</v>
      </c>
      <c r="J128" s="170">
        <v>12365</v>
      </c>
      <c r="K128" s="170">
        <f t="shared" si="12"/>
        <v>571939.24429753888</v>
      </c>
    </row>
    <row r="129" spans="2:11" x14ac:dyDescent="0.2">
      <c r="B129" s="171">
        <v>122</v>
      </c>
      <c r="C129" s="172">
        <v>49181</v>
      </c>
      <c r="D129" s="173" t="s">
        <v>750</v>
      </c>
      <c r="E129" s="174">
        <f t="shared" si="10"/>
        <v>31</v>
      </c>
      <c r="F129" s="170">
        <f t="shared" si="11"/>
        <v>571939.24429753888</v>
      </c>
      <c r="G129" s="170">
        <f t="shared" si="6"/>
        <v>7045.9650280328888</v>
      </c>
      <c r="H129" s="170">
        <f t="shared" si="5"/>
        <v>5319.0349719671112</v>
      </c>
      <c r="I129" s="170">
        <v>0</v>
      </c>
      <c r="J129" s="170">
        <v>12365</v>
      </c>
      <c r="K129" s="170">
        <f t="shared" si="12"/>
        <v>564893.27926950599</v>
      </c>
    </row>
    <row r="130" spans="2:11" x14ac:dyDescent="0.2">
      <c r="B130" s="171">
        <v>123</v>
      </c>
      <c r="C130" s="172">
        <v>49212</v>
      </c>
      <c r="D130" s="173" t="s">
        <v>750</v>
      </c>
      <c r="E130" s="174">
        <f t="shared" si="10"/>
        <v>31</v>
      </c>
      <c r="F130" s="170">
        <f t="shared" si="11"/>
        <v>564893.27926950599</v>
      </c>
      <c r="G130" s="170">
        <f t="shared" si="6"/>
        <v>7111.4925027935951</v>
      </c>
      <c r="H130" s="170">
        <f t="shared" si="5"/>
        <v>5253.5074972064049</v>
      </c>
      <c r="I130" s="170">
        <v>0</v>
      </c>
      <c r="J130" s="170">
        <v>12365</v>
      </c>
      <c r="K130" s="170">
        <f t="shared" si="12"/>
        <v>557781.78676671244</v>
      </c>
    </row>
    <row r="131" spans="2:11" x14ac:dyDescent="0.2">
      <c r="B131" s="171">
        <v>124</v>
      </c>
      <c r="C131" s="172">
        <v>49242</v>
      </c>
      <c r="D131" s="173" t="s">
        <v>750</v>
      </c>
      <c r="E131" s="174">
        <f t="shared" si="10"/>
        <v>30</v>
      </c>
      <c r="F131" s="170">
        <f t="shared" si="11"/>
        <v>557781.78676671244</v>
      </c>
      <c r="G131" s="170">
        <f t="shared" si="6"/>
        <v>7344.9639190995886</v>
      </c>
      <c r="H131" s="170">
        <f t="shared" si="5"/>
        <v>5020.0360809004114</v>
      </c>
      <c r="I131" s="170">
        <v>0</v>
      </c>
      <c r="J131" s="170">
        <v>12365</v>
      </c>
      <c r="K131" s="170">
        <f t="shared" si="12"/>
        <v>550436.8228476129</v>
      </c>
    </row>
    <row r="132" spans="2:11" x14ac:dyDescent="0.2">
      <c r="B132" s="171">
        <v>125</v>
      </c>
      <c r="C132" s="172">
        <v>49273</v>
      </c>
      <c r="D132" s="173" t="s">
        <v>750</v>
      </c>
      <c r="E132" s="174">
        <f t="shared" si="10"/>
        <v>31</v>
      </c>
      <c r="F132" s="170">
        <f t="shared" si="11"/>
        <v>550436.8228476129</v>
      </c>
      <c r="G132" s="170">
        <f t="shared" si="6"/>
        <v>7245.9375475172001</v>
      </c>
      <c r="H132" s="170">
        <f t="shared" si="5"/>
        <v>5119.0624524827999</v>
      </c>
      <c r="I132" s="170">
        <v>0</v>
      </c>
      <c r="J132" s="170">
        <v>12365</v>
      </c>
      <c r="K132" s="170">
        <f t="shared" si="12"/>
        <v>543190.88530009566</v>
      </c>
    </row>
    <row r="133" spans="2:11" x14ac:dyDescent="0.2">
      <c r="B133" s="171">
        <v>126</v>
      </c>
      <c r="C133" s="172">
        <v>49303</v>
      </c>
      <c r="D133" s="173" t="s">
        <v>750</v>
      </c>
      <c r="E133" s="174">
        <f t="shared" si="10"/>
        <v>30</v>
      </c>
      <c r="F133" s="170">
        <f t="shared" si="11"/>
        <v>543190.88530009566</v>
      </c>
      <c r="G133" s="170">
        <f t="shared" si="6"/>
        <v>7476.2820322991392</v>
      </c>
      <c r="H133" s="170">
        <f t="shared" si="5"/>
        <v>4888.7179677008608</v>
      </c>
      <c r="I133" s="170">
        <v>0</v>
      </c>
      <c r="J133" s="170">
        <v>12365</v>
      </c>
      <c r="K133" s="170">
        <f t="shared" si="12"/>
        <v>535714.60326779657</v>
      </c>
    </row>
    <row r="134" spans="2:11" x14ac:dyDescent="0.2">
      <c r="B134" s="171">
        <v>127</v>
      </c>
      <c r="C134" s="172">
        <v>49334</v>
      </c>
      <c r="D134" s="173" t="s">
        <v>750</v>
      </c>
      <c r="E134" s="174">
        <f t="shared" si="10"/>
        <v>31</v>
      </c>
      <c r="F134" s="170">
        <f t="shared" si="11"/>
        <v>535714.60326779657</v>
      </c>
      <c r="G134" s="170">
        <f t="shared" si="6"/>
        <v>7382.8541896094921</v>
      </c>
      <c r="H134" s="170">
        <f t="shared" si="5"/>
        <v>4982.1458103905079</v>
      </c>
      <c r="I134" s="170">
        <v>0</v>
      </c>
      <c r="J134" s="170">
        <v>12365</v>
      </c>
      <c r="K134" s="170">
        <f t="shared" si="12"/>
        <v>528331.74907818704</v>
      </c>
    </row>
    <row r="135" spans="2:11" x14ac:dyDescent="0.2">
      <c r="B135" s="171">
        <v>128</v>
      </c>
      <c r="C135" s="172">
        <v>49365</v>
      </c>
      <c r="D135" s="173" t="s">
        <v>750</v>
      </c>
      <c r="E135" s="174">
        <f t="shared" si="10"/>
        <v>31</v>
      </c>
      <c r="F135" s="170">
        <f t="shared" si="11"/>
        <v>528331.74907818704</v>
      </c>
      <c r="G135" s="170">
        <f t="shared" si="6"/>
        <v>7451.5147335728607</v>
      </c>
      <c r="H135" s="170">
        <f t="shared" si="5"/>
        <v>4913.4852664271393</v>
      </c>
      <c r="I135" s="170">
        <v>0</v>
      </c>
      <c r="J135" s="170">
        <v>12365</v>
      </c>
      <c r="K135" s="170">
        <f t="shared" si="12"/>
        <v>520880.2343446142</v>
      </c>
    </row>
    <row r="136" spans="2:11" x14ac:dyDescent="0.2">
      <c r="B136" s="171">
        <v>129</v>
      </c>
      <c r="C136" s="172">
        <v>49393</v>
      </c>
      <c r="D136" s="173" t="s">
        <v>750</v>
      </c>
      <c r="E136" s="174">
        <f t="shared" si="10"/>
        <v>28</v>
      </c>
      <c r="F136" s="170">
        <f t="shared" si="11"/>
        <v>520880.2343446142</v>
      </c>
      <c r="G136" s="170">
        <f t="shared" si="6"/>
        <v>7989.6060315052409</v>
      </c>
      <c r="H136" s="170">
        <f t="shared" si="5"/>
        <v>4375.3939684947591</v>
      </c>
      <c r="I136" s="170">
        <v>0</v>
      </c>
      <c r="J136" s="170">
        <v>12365</v>
      </c>
      <c r="K136" s="170">
        <f t="shared" si="12"/>
        <v>512890.62831310899</v>
      </c>
    </row>
    <row r="137" spans="2:11" x14ac:dyDescent="0.2">
      <c r="B137" s="171">
        <v>130</v>
      </c>
      <c r="C137" s="172">
        <v>49424</v>
      </c>
      <c r="D137" s="173" t="s">
        <v>750</v>
      </c>
      <c r="E137" s="174">
        <f t="shared" si="10"/>
        <v>31</v>
      </c>
      <c r="F137" s="170">
        <f t="shared" si="11"/>
        <v>512890.62831310899</v>
      </c>
      <c r="G137" s="170">
        <f t="shared" si="6"/>
        <v>7595.1171566880867</v>
      </c>
      <c r="H137" s="170">
        <f t="shared" ref="H137:H187" si="13">+F137*((0.009/30)*E137)</f>
        <v>4769.8828433119133</v>
      </c>
      <c r="I137" s="170">
        <v>0</v>
      </c>
      <c r="J137" s="170">
        <v>12365</v>
      </c>
      <c r="K137" s="170">
        <f t="shared" si="12"/>
        <v>505295.51115642092</v>
      </c>
    </row>
    <row r="138" spans="2:11" x14ac:dyDescent="0.2">
      <c r="B138" s="171">
        <v>131</v>
      </c>
      <c r="C138" s="172">
        <v>49454</v>
      </c>
      <c r="D138" s="173" t="s">
        <v>750</v>
      </c>
      <c r="E138" s="174">
        <f t="shared" si="10"/>
        <v>30</v>
      </c>
      <c r="F138" s="170">
        <f t="shared" si="11"/>
        <v>505295.51115642092</v>
      </c>
      <c r="G138" s="170">
        <f t="shared" ref="G138:G187" si="14">+J138-H138-I138</f>
        <v>7817.3403995922117</v>
      </c>
      <c r="H138" s="170">
        <f t="shared" si="13"/>
        <v>4547.6596004077883</v>
      </c>
      <c r="I138" s="170">
        <v>0</v>
      </c>
      <c r="J138" s="170">
        <v>12365</v>
      </c>
      <c r="K138" s="170">
        <f t="shared" si="12"/>
        <v>497478.17075682874</v>
      </c>
    </row>
    <row r="139" spans="2:11" x14ac:dyDescent="0.2">
      <c r="B139" s="171">
        <v>132</v>
      </c>
      <c r="C139" s="172">
        <v>49485</v>
      </c>
      <c r="D139" s="173" t="s">
        <v>750</v>
      </c>
      <c r="E139" s="174">
        <f t="shared" si="10"/>
        <v>31</v>
      </c>
      <c r="F139" s="170">
        <f t="shared" si="11"/>
        <v>497478.17075682874</v>
      </c>
      <c r="G139" s="170">
        <f t="shared" si="14"/>
        <v>7738.4530119614928</v>
      </c>
      <c r="H139" s="170">
        <f t="shared" si="13"/>
        <v>4626.5469880385072</v>
      </c>
      <c r="I139" s="170">
        <v>0</v>
      </c>
      <c r="J139" s="170">
        <v>12365</v>
      </c>
      <c r="K139" s="170">
        <f t="shared" si="12"/>
        <v>489739.71774486726</v>
      </c>
    </row>
    <row r="140" spans="2:11" x14ac:dyDescent="0.2">
      <c r="B140" s="171">
        <v>133</v>
      </c>
      <c r="C140" s="172">
        <v>49515</v>
      </c>
      <c r="D140" s="173" t="s">
        <v>750</v>
      </c>
      <c r="E140" s="174">
        <f t="shared" si="10"/>
        <v>30</v>
      </c>
      <c r="F140" s="170">
        <f t="shared" si="11"/>
        <v>489739.71774486726</v>
      </c>
      <c r="G140" s="170">
        <f t="shared" si="14"/>
        <v>7957.3425402961948</v>
      </c>
      <c r="H140" s="170">
        <f t="shared" si="13"/>
        <v>4407.6574597038052</v>
      </c>
      <c r="I140" s="170">
        <v>0</v>
      </c>
      <c r="J140" s="170">
        <v>12365</v>
      </c>
      <c r="K140" s="170">
        <f t="shared" si="12"/>
        <v>481782.37520457106</v>
      </c>
    </row>
    <row r="141" spans="2:11" x14ac:dyDescent="0.2">
      <c r="B141" s="171">
        <v>134</v>
      </c>
      <c r="C141" s="172">
        <v>49546</v>
      </c>
      <c r="D141" s="173" t="s">
        <v>750</v>
      </c>
      <c r="E141" s="174">
        <f t="shared" si="10"/>
        <v>31</v>
      </c>
      <c r="F141" s="170">
        <f t="shared" si="11"/>
        <v>481782.37520457106</v>
      </c>
      <c r="G141" s="170">
        <f t="shared" si="14"/>
        <v>7884.4239105974893</v>
      </c>
      <c r="H141" s="170">
        <f t="shared" si="13"/>
        <v>4480.5760894025107</v>
      </c>
      <c r="I141" s="170">
        <v>0</v>
      </c>
      <c r="J141" s="170">
        <v>12365</v>
      </c>
      <c r="K141" s="170">
        <f t="shared" si="12"/>
        <v>473897.95129397354</v>
      </c>
    </row>
    <row r="142" spans="2:11" x14ac:dyDescent="0.2">
      <c r="B142" s="171">
        <v>135</v>
      </c>
      <c r="C142" s="172">
        <v>49577</v>
      </c>
      <c r="D142" s="173" t="s">
        <v>750</v>
      </c>
      <c r="E142" s="174">
        <f t="shared" si="10"/>
        <v>31</v>
      </c>
      <c r="F142" s="170">
        <f t="shared" si="11"/>
        <v>473897.95129397354</v>
      </c>
      <c r="G142" s="170">
        <f t="shared" si="14"/>
        <v>7957.7490529660463</v>
      </c>
      <c r="H142" s="170">
        <f t="shared" si="13"/>
        <v>4407.2509470339537</v>
      </c>
      <c r="I142" s="170">
        <v>0</v>
      </c>
      <c r="J142" s="170">
        <v>12365</v>
      </c>
      <c r="K142" s="170">
        <f t="shared" si="12"/>
        <v>465940.20224100747</v>
      </c>
    </row>
    <row r="143" spans="2:11" x14ac:dyDescent="0.2">
      <c r="B143" s="171">
        <v>136</v>
      </c>
      <c r="C143" s="172">
        <v>49607</v>
      </c>
      <c r="D143" s="173" t="s">
        <v>750</v>
      </c>
      <c r="E143" s="174">
        <f t="shared" ref="E143:E187" si="15">+C143-C142</f>
        <v>30</v>
      </c>
      <c r="F143" s="170">
        <f t="shared" ref="F143:F187" si="16">+K142</f>
        <v>465940.20224100747</v>
      </c>
      <c r="G143" s="170">
        <f t="shared" si="14"/>
        <v>8171.5381798309327</v>
      </c>
      <c r="H143" s="170">
        <f t="shared" si="13"/>
        <v>4193.4618201690673</v>
      </c>
      <c r="I143" s="170">
        <v>0</v>
      </c>
      <c r="J143" s="170">
        <v>12365</v>
      </c>
      <c r="K143" s="170">
        <f t="shared" ref="K143:K187" si="17">+F143-G143</f>
        <v>457768.66406117653</v>
      </c>
    </row>
    <row r="144" spans="2:11" x14ac:dyDescent="0.2">
      <c r="B144" s="171">
        <v>137</v>
      </c>
      <c r="C144" s="172">
        <v>49638</v>
      </c>
      <c r="D144" s="173" t="s">
        <v>750</v>
      </c>
      <c r="E144" s="174">
        <f t="shared" si="15"/>
        <v>31</v>
      </c>
      <c r="F144" s="170">
        <f t="shared" si="16"/>
        <v>457768.66406117653</v>
      </c>
      <c r="G144" s="170">
        <f t="shared" si="14"/>
        <v>8107.751424231059</v>
      </c>
      <c r="H144" s="170">
        <f t="shared" si="13"/>
        <v>4257.248575768941</v>
      </c>
      <c r="I144" s="170">
        <v>0</v>
      </c>
      <c r="J144" s="170">
        <v>12365</v>
      </c>
      <c r="K144" s="170">
        <f t="shared" si="17"/>
        <v>449660.91263694549</v>
      </c>
    </row>
    <row r="145" spans="2:11" x14ac:dyDescent="0.2">
      <c r="B145" s="171">
        <v>138</v>
      </c>
      <c r="C145" s="172">
        <v>49668</v>
      </c>
      <c r="D145" s="173" t="s">
        <v>750</v>
      </c>
      <c r="E145" s="174">
        <f t="shared" si="15"/>
        <v>30</v>
      </c>
      <c r="F145" s="170">
        <f t="shared" si="16"/>
        <v>449660.91263694549</v>
      </c>
      <c r="G145" s="170">
        <f t="shared" si="14"/>
        <v>8318.0517862674915</v>
      </c>
      <c r="H145" s="170">
        <f t="shared" si="13"/>
        <v>4046.948213732509</v>
      </c>
      <c r="I145" s="170">
        <v>0</v>
      </c>
      <c r="J145" s="170">
        <v>12365</v>
      </c>
      <c r="K145" s="170">
        <f t="shared" si="17"/>
        <v>441342.860850678</v>
      </c>
    </row>
    <row r="146" spans="2:11" x14ac:dyDescent="0.2">
      <c r="B146" s="171">
        <v>139</v>
      </c>
      <c r="C146" s="172">
        <v>49699</v>
      </c>
      <c r="D146" s="173" t="s">
        <v>750</v>
      </c>
      <c r="E146" s="174">
        <f t="shared" si="15"/>
        <v>31</v>
      </c>
      <c r="F146" s="170">
        <f t="shared" si="16"/>
        <v>441342.860850678</v>
      </c>
      <c r="G146" s="170">
        <f t="shared" si="14"/>
        <v>8260.5113940886949</v>
      </c>
      <c r="H146" s="170">
        <f t="shared" si="13"/>
        <v>4104.4886059113051</v>
      </c>
      <c r="I146" s="170">
        <v>0</v>
      </c>
      <c r="J146" s="170">
        <v>12365</v>
      </c>
      <c r="K146" s="170">
        <f t="shared" si="17"/>
        <v>433082.34945658932</v>
      </c>
    </row>
    <row r="147" spans="2:11" x14ac:dyDescent="0.2">
      <c r="B147" s="171">
        <v>140</v>
      </c>
      <c r="C147" s="172">
        <v>49730</v>
      </c>
      <c r="D147" s="173" t="s">
        <v>750</v>
      </c>
      <c r="E147" s="174">
        <f t="shared" si="15"/>
        <v>31</v>
      </c>
      <c r="F147" s="170">
        <f t="shared" si="16"/>
        <v>433082.34945658932</v>
      </c>
      <c r="G147" s="170">
        <f t="shared" si="14"/>
        <v>8337.334150053719</v>
      </c>
      <c r="H147" s="170">
        <f t="shared" si="13"/>
        <v>4027.6658499462806</v>
      </c>
      <c r="I147" s="170">
        <v>0</v>
      </c>
      <c r="J147" s="170">
        <v>12365</v>
      </c>
      <c r="K147" s="170">
        <f t="shared" si="17"/>
        <v>424745.01530653558</v>
      </c>
    </row>
    <row r="148" spans="2:11" x14ac:dyDescent="0.2">
      <c r="B148" s="171">
        <v>141</v>
      </c>
      <c r="C148" s="172">
        <v>49759</v>
      </c>
      <c r="D148" s="173" t="s">
        <v>750</v>
      </c>
      <c r="E148" s="174">
        <f t="shared" si="15"/>
        <v>29</v>
      </c>
      <c r="F148" s="170">
        <f t="shared" si="16"/>
        <v>424745.01530653558</v>
      </c>
      <c r="G148" s="170">
        <f t="shared" si="14"/>
        <v>8669.7183668331418</v>
      </c>
      <c r="H148" s="170">
        <f t="shared" si="13"/>
        <v>3695.2816331668591</v>
      </c>
      <c r="I148" s="170">
        <v>0</v>
      </c>
      <c r="J148" s="170">
        <v>12365</v>
      </c>
      <c r="K148" s="170">
        <f t="shared" si="17"/>
        <v>416075.29693970247</v>
      </c>
    </row>
    <row r="149" spans="2:11" x14ac:dyDescent="0.2">
      <c r="B149" s="171">
        <v>142</v>
      </c>
      <c r="C149" s="172">
        <v>49790</v>
      </c>
      <c r="D149" s="173" t="s">
        <v>750</v>
      </c>
      <c r="E149" s="174">
        <f t="shared" si="15"/>
        <v>31</v>
      </c>
      <c r="F149" s="170">
        <f t="shared" si="16"/>
        <v>416075.29693970247</v>
      </c>
      <c r="G149" s="170">
        <f t="shared" si="14"/>
        <v>8495.4997384607668</v>
      </c>
      <c r="H149" s="170">
        <f t="shared" si="13"/>
        <v>3869.5002615392327</v>
      </c>
      <c r="I149" s="170">
        <v>0</v>
      </c>
      <c r="J149" s="170">
        <v>12365</v>
      </c>
      <c r="K149" s="170">
        <f t="shared" si="17"/>
        <v>407579.79720124172</v>
      </c>
    </row>
    <row r="150" spans="2:11" x14ac:dyDescent="0.2">
      <c r="B150" s="171">
        <v>143</v>
      </c>
      <c r="C150" s="172">
        <v>49820</v>
      </c>
      <c r="D150" s="173" t="s">
        <v>750</v>
      </c>
      <c r="E150" s="174">
        <f t="shared" si="15"/>
        <v>30</v>
      </c>
      <c r="F150" s="170">
        <f t="shared" si="16"/>
        <v>407579.79720124172</v>
      </c>
      <c r="G150" s="170">
        <f t="shared" si="14"/>
        <v>8696.7818251888239</v>
      </c>
      <c r="H150" s="170">
        <f t="shared" si="13"/>
        <v>3668.2181748111752</v>
      </c>
      <c r="I150" s="170">
        <v>0</v>
      </c>
      <c r="J150" s="170">
        <v>12365</v>
      </c>
      <c r="K150" s="170">
        <f t="shared" si="17"/>
        <v>398883.01537605288</v>
      </c>
    </row>
    <row r="151" spans="2:11" x14ac:dyDescent="0.2">
      <c r="B151" s="171">
        <v>144</v>
      </c>
      <c r="C151" s="172">
        <v>49851</v>
      </c>
      <c r="D151" s="173" t="s">
        <v>750</v>
      </c>
      <c r="E151" s="174">
        <f t="shared" si="15"/>
        <v>31</v>
      </c>
      <c r="F151" s="170">
        <f t="shared" si="16"/>
        <v>398883.01537605288</v>
      </c>
      <c r="G151" s="170">
        <f t="shared" si="14"/>
        <v>8655.3879570027093</v>
      </c>
      <c r="H151" s="170">
        <f t="shared" si="13"/>
        <v>3709.6120429972916</v>
      </c>
      <c r="I151" s="170">
        <v>0</v>
      </c>
      <c r="J151" s="170">
        <v>12365</v>
      </c>
      <c r="K151" s="170">
        <f t="shared" si="17"/>
        <v>390227.62741905014</v>
      </c>
    </row>
    <row r="152" spans="2:11" x14ac:dyDescent="0.2">
      <c r="B152" s="171">
        <v>145</v>
      </c>
      <c r="C152" s="172">
        <v>49881</v>
      </c>
      <c r="D152" s="173" t="s">
        <v>750</v>
      </c>
      <c r="E152" s="174">
        <f t="shared" si="15"/>
        <v>30</v>
      </c>
      <c r="F152" s="170">
        <f t="shared" si="16"/>
        <v>390227.62741905014</v>
      </c>
      <c r="G152" s="170">
        <f t="shared" si="14"/>
        <v>8852.9513532285491</v>
      </c>
      <c r="H152" s="170">
        <f t="shared" si="13"/>
        <v>3512.0486467714509</v>
      </c>
      <c r="I152" s="170">
        <v>0</v>
      </c>
      <c r="J152" s="170">
        <v>12365</v>
      </c>
      <c r="K152" s="170">
        <f t="shared" si="17"/>
        <v>381374.67606582161</v>
      </c>
    </row>
    <row r="153" spans="2:11" x14ac:dyDescent="0.2">
      <c r="B153" s="171">
        <v>146</v>
      </c>
      <c r="C153" s="172">
        <v>49912</v>
      </c>
      <c r="D153" s="173" t="s">
        <v>750</v>
      </c>
      <c r="E153" s="174">
        <f t="shared" si="15"/>
        <v>31</v>
      </c>
      <c r="F153" s="170">
        <f t="shared" si="16"/>
        <v>381374.67606582161</v>
      </c>
      <c r="G153" s="170">
        <f t="shared" si="14"/>
        <v>8818.2155125878598</v>
      </c>
      <c r="H153" s="170">
        <f t="shared" si="13"/>
        <v>3546.7844874121406</v>
      </c>
      <c r="I153" s="170">
        <v>0</v>
      </c>
      <c r="J153" s="170">
        <v>12365</v>
      </c>
      <c r="K153" s="170">
        <f t="shared" si="17"/>
        <v>372556.46055323374</v>
      </c>
    </row>
    <row r="154" spans="2:11" x14ac:dyDescent="0.2">
      <c r="B154" s="171">
        <v>147</v>
      </c>
      <c r="C154" s="172">
        <v>49943</v>
      </c>
      <c r="D154" s="173" t="s">
        <v>750</v>
      </c>
      <c r="E154" s="174">
        <f t="shared" si="15"/>
        <v>31</v>
      </c>
      <c r="F154" s="170">
        <f t="shared" si="16"/>
        <v>372556.46055323374</v>
      </c>
      <c r="G154" s="170">
        <f t="shared" si="14"/>
        <v>8900.2249168549261</v>
      </c>
      <c r="H154" s="170">
        <f t="shared" si="13"/>
        <v>3464.7750831450735</v>
      </c>
      <c r="I154" s="170">
        <v>0</v>
      </c>
      <c r="J154" s="170">
        <v>12365</v>
      </c>
      <c r="K154" s="170">
        <f t="shared" si="17"/>
        <v>363656.23563637881</v>
      </c>
    </row>
    <row r="155" spans="2:11" x14ac:dyDescent="0.2">
      <c r="B155" s="171">
        <v>148</v>
      </c>
      <c r="C155" s="172">
        <v>49973</v>
      </c>
      <c r="D155" s="173" t="s">
        <v>750</v>
      </c>
      <c r="E155" s="174">
        <f t="shared" si="15"/>
        <v>30</v>
      </c>
      <c r="F155" s="170">
        <f t="shared" si="16"/>
        <v>363656.23563637881</v>
      </c>
      <c r="G155" s="170">
        <f t="shared" si="14"/>
        <v>9092.0938792725901</v>
      </c>
      <c r="H155" s="170">
        <f t="shared" si="13"/>
        <v>3272.906120727409</v>
      </c>
      <c r="I155" s="170">
        <v>0</v>
      </c>
      <c r="J155" s="170">
        <v>12365</v>
      </c>
      <c r="K155" s="170">
        <f t="shared" si="17"/>
        <v>354564.14175710623</v>
      </c>
    </row>
    <row r="156" spans="2:11" x14ac:dyDescent="0.2">
      <c r="B156" s="171">
        <v>149</v>
      </c>
      <c r="C156" s="172">
        <v>50004</v>
      </c>
      <c r="D156" s="173" t="s">
        <v>750</v>
      </c>
      <c r="E156" s="174">
        <f t="shared" si="15"/>
        <v>31</v>
      </c>
      <c r="F156" s="170">
        <f t="shared" si="16"/>
        <v>354564.14175710623</v>
      </c>
      <c r="G156" s="170">
        <f t="shared" si="14"/>
        <v>9067.5534816589134</v>
      </c>
      <c r="H156" s="170">
        <f t="shared" si="13"/>
        <v>3297.4465183410875</v>
      </c>
      <c r="I156" s="170">
        <v>0</v>
      </c>
      <c r="J156" s="170">
        <v>12365</v>
      </c>
      <c r="K156" s="170">
        <f t="shared" si="17"/>
        <v>345496.58827544731</v>
      </c>
    </row>
    <row r="157" spans="2:11" x14ac:dyDescent="0.2">
      <c r="B157" s="171">
        <v>150</v>
      </c>
      <c r="C157" s="172">
        <v>50034</v>
      </c>
      <c r="D157" s="173" t="s">
        <v>750</v>
      </c>
      <c r="E157" s="174">
        <f t="shared" si="15"/>
        <v>30</v>
      </c>
      <c r="F157" s="170">
        <f t="shared" si="16"/>
        <v>345496.58827544731</v>
      </c>
      <c r="G157" s="170">
        <f t="shared" si="14"/>
        <v>9255.5307055209742</v>
      </c>
      <c r="H157" s="170">
        <f t="shared" si="13"/>
        <v>3109.4692944790254</v>
      </c>
      <c r="I157" s="170">
        <v>0</v>
      </c>
      <c r="J157" s="170">
        <v>12365</v>
      </c>
      <c r="K157" s="170">
        <f t="shared" si="17"/>
        <v>336241.05756992631</v>
      </c>
    </row>
    <row r="158" spans="2:11" x14ac:dyDescent="0.2">
      <c r="B158" s="171">
        <v>151</v>
      </c>
      <c r="C158" s="172">
        <v>50065</v>
      </c>
      <c r="D158" s="173" t="s">
        <v>750</v>
      </c>
      <c r="E158" s="174">
        <f t="shared" si="15"/>
        <v>31</v>
      </c>
      <c r="F158" s="170">
        <f t="shared" si="16"/>
        <v>336241.05756992631</v>
      </c>
      <c r="G158" s="170">
        <f t="shared" si="14"/>
        <v>9237.9581645996859</v>
      </c>
      <c r="H158" s="170">
        <f t="shared" si="13"/>
        <v>3127.0418354003145</v>
      </c>
      <c r="I158" s="170">
        <v>0</v>
      </c>
      <c r="J158" s="170">
        <v>12365</v>
      </c>
      <c r="K158" s="170">
        <f t="shared" si="17"/>
        <v>327003.09940532665</v>
      </c>
    </row>
    <row r="159" spans="2:11" x14ac:dyDescent="0.2">
      <c r="B159" s="171">
        <v>152</v>
      </c>
      <c r="C159" s="172">
        <v>50096</v>
      </c>
      <c r="D159" s="173" t="s">
        <v>750</v>
      </c>
      <c r="E159" s="174">
        <f t="shared" si="15"/>
        <v>31</v>
      </c>
      <c r="F159" s="170">
        <f t="shared" si="16"/>
        <v>327003.09940532665</v>
      </c>
      <c r="G159" s="170">
        <f t="shared" si="14"/>
        <v>9323.871175530463</v>
      </c>
      <c r="H159" s="170">
        <f t="shared" si="13"/>
        <v>3041.1288244695374</v>
      </c>
      <c r="I159" s="170">
        <v>0</v>
      </c>
      <c r="J159" s="170">
        <v>12365</v>
      </c>
      <c r="K159" s="170">
        <f t="shared" si="17"/>
        <v>317679.22822979616</v>
      </c>
    </row>
    <row r="160" spans="2:11" x14ac:dyDescent="0.2">
      <c r="B160" s="171">
        <v>153</v>
      </c>
      <c r="C160" s="172">
        <v>50124</v>
      </c>
      <c r="D160" s="173" t="s">
        <v>750</v>
      </c>
      <c r="E160" s="174">
        <f t="shared" si="15"/>
        <v>28</v>
      </c>
      <c r="F160" s="170">
        <f t="shared" si="16"/>
        <v>317679.22822979616</v>
      </c>
      <c r="G160" s="170">
        <f t="shared" si="14"/>
        <v>9696.4944828697116</v>
      </c>
      <c r="H160" s="170">
        <f t="shared" si="13"/>
        <v>2668.5055171302874</v>
      </c>
      <c r="I160" s="170">
        <v>0</v>
      </c>
      <c r="J160" s="170">
        <v>12365</v>
      </c>
      <c r="K160" s="170">
        <f t="shared" si="17"/>
        <v>307982.73374692647</v>
      </c>
    </row>
    <row r="161" spans="2:11" x14ac:dyDescent="0.2">
      <c r="B161" s="171">
        <v>154</v>
      </c>
      <c r="C161" s="172">
        <v>50155</v>
      </c>
      <c r="D161" s="173" t="s">
        <v>750</v>
      </c>
      <c r="E161" s="174">
        <f t="shared" si="15"/>
        <v>31</v>
      </c>
      <c r="F161" s="170">
        <f t="shared" si="16"/>
        <v>307982.73374692647</v>
      </c>
      <c r="G161" s="170">
        <f t="shared" si="14"/>
        <v>9500.7605761535851</v>
      </c>
      <c r="H161" s="170">
        <f t="shared" si="13"/>
        <v>2864.2394238464158</v>
      </c>
      <c r="I161" s="170">
        <v>0</v>
      </c>
      <c r="J161" s="170">
        <v>12365</v>
      </c>
      <c r="K161" s="170">
        <f t="shared" si="17"/>
        <v>298481.97317077289</v>
      </c>
    </row>
    <row r="162" spans="2:11" x14ac:dyDescent="0.2">
      <c r="B162" s="171">
        <v>155</v>
      </c>
      <c r="C162" s="172">
        <v>50185</v>
      </c>
      <c r="D162" s="173" t="s">
        <v>750</v>
      </c>
      <c r="E162" s="174">
        <f t="shared" si="15"/>
        <v>30</v>
      </c>
      <c r="F162" s="170">
        <f t="shared" si="16"/>
        <v>298481.97317077289</v>
      </c>
      <c r="G162" s="170">
        <f t="shared" si="14"/>
        <v>9678.6622414630438</v>
      </c>
      <c r="H162" s="170">
        <f t="shared" si="13"/>
        <v>2686.3377585369558</v>
      </c>
      <c r="I162" s="170">
        <v>0</v>
      </c>
      <c r="J162" s="170">
        <v>12365</v>
      </c>
      <c r="K162" s="170">
        <f t="shared" si="17"/>
        <v>288803.31092930987</v>
      </c>
    </row>
    <row r="163" spans="2:11" x14ac:dyDescent="0.2">
      <c r="B163" s="171">
        <v>156</v>
      </c>
      <c r="C163" s="172">
        <v>50216</v>
      </c>
      <c r="D163" s="173" t="s">
        <v>750</v>
      </c>
      <c r="E163" s="174">
        <f t="shared" si="15"/>
        <v>31</v>
      </c>
      <c r="F163" s="170">
        <f t="shared" si="16"/>
        <v>288803.31092930987</v>
      </c>
      <c r="G163" s="170">
        <f t="shared" si="14"/>
        <v>9679.129208357419</v>
      </c>
      <c r="H163" s="170">
        <f t="shared" si="13"/>
        <v>2685.8707916425815</v>
      </c>
      <c r="I163" s="170">
        <v>0</v>
      </c>
      <c r="J163" s="170">
        <v>12365</v>
      </c>
      <c r="K163" s="170">
        <f t="shared" si="17"/>
        <v>279124.18172095245</v>
      </c>
    </row>
    <row r="164" spans="2:11" x14ac:dyDescent="0.2">
      <c r="B164" s="171">
        <v>157</v>
      </c>
      <c r="C164" s="172">
        <v>50246</v>
      </c>
      <c r="D164" s="173" t="s">
        <v>750</v>
      </c>
      <c r="E164" s="174">
        <f t="shared" si="15"/>
        <v>30</v>
      </c>
      <c r="F164" s="170">
        <f t="shared" si="16"/>
        <v>279124.18172095245</v>
      </c>
      <c r="G164" s="170">
        <f t="shared" si="14"/>
        <v>9852.882364511428</v>
      </c>
      <c r="H164" s="170">
        <f t="shared" si="13"/>
        <v>2512.117635488572</v>
      </c>
      <c r="I164" s="170">
        <v>0</v>
      </c>
      <c r="J164" s="170">
        <v>12365</v>
      </c>
      <c r="K164" s="170">
        <f t="shared" si="17"/>
        <v>269271.29935644101</v>
      </c>
    </row>
    <row r="165" spans="2:11" x14ac:dyDescent="0.2">
      <c r="B165" s="171">
        <v>158</v>
      </c>
      <c r="C165" s="172">
        <v>50277</v>
      </c>
      <c r="D165" s="173" t="s">
        <v>750</v>
      </c>
      <c r="E165" s="174">
        <f t="shared" si="15"/>
        <v>31</v>
      </c>
      <c r="F165" s="170">
        <f t="shared" si="16"/>
        <v>269271.29935644101</v>
      </c>
      <c r="G165" s="170">
        <f t="shared" si="14"/>
        <v>9860.7769159850977</v>
      </c>
      <c r="H165" s="170">
        <f t="shared" si="13"/>
        <v>2504.2230840149014</v>
      </c>
      <c r="I165" s="170">
        <v>0</v>
      </c>
      <c r="J165" s="170">
        <v>12365</v>
      </c>
      <c r="K165" s="170">
        <f t="shared" si="17"/>
        <v>259410.52244045591</v>
      </c>
    </row>
    <row r="166" spans="2:11" x14ac:dyDescent="0.2">
      <c r="B166" s="171">
        <v>159</v>
      </c>
      <c r="C166" s="172">
        <v>50308</v>
      </c>
      <c r="D166" s="173" t="s">
        <v>750</v>
      </c>
      <c r="E166" s="174">
        <f t="shared" si="15"/>
        <v>31</v>
      </c>
      <c r="F166" s="170">
        <f t="shared" si="16"/>
        <v>259410.52244045591</v>
      </c>
      <c r="G166" s="170">
        <f t="shared" si="14"/>
        <v>9952.4821413037607</v>
      </c>
      <c r="H166" s="170">
        <f t="shared" si="13"/>
        <v>2412.5178586962397</v>
      </c>
      <c r="I166" s="170">
        <v>0</v>
      </c>
      <c r="J166" s="170">
        <v>12365</v>
      </c>
      <c r="K166" s="170">
        <f t="shared" si="17"/>
        <v>249458.04029915214</v>
      </c>
    </row>
    <row r="167" spans="2:11" x14ac:dyDescent="0.2">
      <c r="B167" s="171">
        <v>160</v>
      </c>
      <c r="C167" s="172">
        <v>50338</v>
      </c>
      <c r="D167" s="173" t="s">
        <v>750</v>
      </c>
      <c r="E167" s="174">
        <f t="shared" si="15"/>
        <v>30</v>
      </c>
      <c r="F167" s="170">
        <f t="shared" si="16"/>
        <v>249458.04029915214</v>
      </c>
      <c r="G167" s="170">
        <f t="shared" si="14"/>
        <v>10119.877637307631</v>
      </c>
      <c r="H167" s="170">
        <f t="shared" si="13"/>
        <v>2245.1223626923693</v>
      </c>
      <c r="I167" s="170">
        <v>0</v>
      </c>
      <c r="J167" s="170">
        <v>12365</v>
      </c>
      <c r="K167" s="170">
        <f t="shared" si="17"/>
        <v>239338.16266184452</v>
      </c>
    </row>
    <row r="168" spans="2:11" x14ac:dyDescent="0.2">
      <c r="B168" s="171">
        <v>161</v>
      </c>
      <c r="C168" s="172">
        <v>50369</v>
      </c>
      <c r="D168" s="173" t="s">
        <v>750</v>
      </c>
      <c r="E168" s="174">
        <f t="shared" si="15"/>
        <v>31</v>
      </c>
      <c r="F168" s="170">
        <f t="shared" si="16"/>
        <v>239338.16266184452</v>
      </c>
      <c r="G168" s="170">
        <f t="shared" si="14"/>
        <v>10139.155087244846</v>
      </c>
      <c r="H168" s="170">
        <f t="shared" si="13"/>
        <v>2225.8449127551539</v>
      </c>
      <c r="I168" s="170">
        <v>0</v>
      </c>
      <c r="J168" s="170">
        <v>12365</v>
      </c>
      <c r="K168" s="170">
        <f t="shared" si="17"/>
        <v>229199.00757459967</v>
      </c>
    </row>
    <row r="169" spans="2:11" x14ac:dyDescent="0.2">
      <c r="B169" s="171">
        <v>162</v>
      </c>
      <c r="C169" s="172">
        <v>50399</v>
      </c>
      <c r="D169" s="173" t="s">
        <v>750</v>
      </c>
      <c r="E169" s="174">
        <f t="shared" si="15"/>
        <v>30</v>
      </c>
      <c r="F169" s="170">
        <f t="shared" si="16"/>
        <v>229199.00757459967</v>
      </c>
      <c r="G169" s="170">
        <f t="shared" si="14"/>
        <v>10302.208931828603</v>
      </c>
      <c r="H169" s="170">
        <f t="shared" si="13"/>
        <v>2062.791068171397</v>
      </c>
      <c r="I169" s="170">
        <v>0</v>
      </c>
      <c r="J169" s="170">
        <v>12365</v>
      </c>
      <c r="K169" s="170">
        <f t="shared" si="17"/>
        <v>218896.79864277106</v>
      </c>
    </row>
    <row r="170" spans="2:11" x14ac:dyDescent="0.2">
      <c r="B170" s="171">
        <v>163</v>
      </c>
      <c r="C170" s="172">
        <v>50430</v>
      </c>
      <c r="D170" s="173" t="s">
        <v>750</v>
      </c>
      <c r="E170" s="174">
        <f t="shared" si="15"/>
        <v>31</v>
      </c>
      <c r="F170" s="170">
        <f t="shared" si="16"/>
        <v>218896.79864277106</v>
      </c>
      <c r="G170" s="170">
        <f t="shared" si="14"/>
        <v>10329.25977262223</v>
      </c>
      <c r="H170" s="170">
        <f t="shared" si="13"/>
        <v>2035.7402273777707</v>
      </c>
      <c r="I170" s="170">
        <v>0</v>
      </c>
      <c r="J170" s="170">
        <v>12365</v>
      </c>
      <c r="K170" s="170">
        <f t="shared" si="17"/>
        <v>208567.53887014883</v>
      </c>
    </row>
    <row r="171" spans="2:11" x14ac:dyDescent="0.2">
      <c r="B171" s="171">
        <v>164</v>
      </c>
      <c r="C171" s="172">
        <v>50461</v>
      </c>
      <c r="D171" s="173" t="s">
        <v>750</v>
      </c>
      <c r="E171" s="174">
        <f t="shared" si="15"/>
        <v>31</v>
      </c>
      <c r="F171" s="170">
        <f t="shared" si="16"/>
        <v>208567.53887014883</v>
      </c>
      <c r="G171" s="170">
        <f t="shared" si="14"/>
        <v>10425.321888507617</v>
      </c>
      <c r="H171" s="170">
        <f t="shared" si="13"/>
        <v>1939.678111492384</v>
      </c>
      <c r="I171" s="170">
        <v>0</v>
      </c>
      <c r="J171" s="170">
        <v>12365</v>
      </c>
      <c r="K171" s="170">
        <f t="shared" si="17"/>
        <v>198142.21698164122</v>
      </c>
    </row>
    <row r="172" spans="2:11" x14ac:dyDescent="0.2">
      <c r="B172" s="171">
        <v>165</v>
      </c>
      <c r="C172" s="172">
        <v>50489</v>
      </c>
      <c r="D172" s="173" t="s">
        <v>750</v>
      </c>
      <c r="E172" s="174">
        <f t="shared" si="15"/>
        <v>28</v>
      </c>
      <c r="F172" s="170">
        <f t="shared" si="16"/>
        <v>198142.21698164122</v>
      </c>
      <c r="G172" s="170">
        <f t="shared" si="14"/>
        <v>10700.605377354213</v>
      </c>
      <c r="H172" s="170">
        <f t="shared" si="13"/>
        <v>1664.3946226457861</v>
      </c>
      <c r="I172" s="170">
        <v>0</v>
      </c>
      <c r="J172" s="170">
        <v>12365</v>
      </c>
      <c r="K172" s="170">
        <f t="shared" si="17"/>
        <v>187441.611604287</v>
      </c>
    </row>
    <row r="173" spans="2:11" x14ac:dyDescent="0.2">
      <c r="B173" s="171">
        <v>166</v>
      </c>
      <c r="C173" s="172">
        <v>50520</v>
      </c>
      <c r="D173" s="173" t="s">
        <v>750</v>
      </c>
      <c r="E173" s="174">
        <f t="shared" si="15"/>
        <v>31</v>
      </c>
      <c r="F173" s="170">
        <f t="shared" si="16"/>
        <v>187441.611604287</v>
      </c>
      <c r="G173" s="170">
        <f t="shared" si="14"/>
        <v>10621.793012080132</v>
      </c>
      <c r="H173" s="170">
        <f t="shared" si="13"/>
        <v>1743.2069879198689</v>
      </c>
      <c r="I173" s="170">
        <v>0</v>
      </c>
      <c r="J173" s="170">
        <v>12365</v>
      </c>
      <c r="K173" s="170">
        <f t="shared" si="17"/>
        <v>176819.81859220687</v>
      </c>
    </row>
    <row r="174" spans="2:11" x14ac:dyDescent="0.2">
      <c r="B174" s="171">
        <v>167</v>
      </c>
      <c r="C174" s="172">
        <v>50550</v>
      </c>
      <c r="D174" s="173" t="s">
        <v>750</v>
      </c>
      <c r="E174" s="174">
        <f t="shared" si="15"/>
        <v>30</v>
      </c>
      <c r="F174" s="170">
        <f t="shared" si="16"/>
        <v>176819.81859220687</v>
      </c>
      <c r="G174" s="170">
        <f t="shared" si="14"/>
        <v>10773.621632670138</v>
      </c>
      <c r="H174" s="170">
        <f t="shared" si="13"/>
        <v>1591.3783673298617</v>
      </c>
      <c r="I174" s="170">
        <v>0</v>
      </c>
      <c r="J174" s="170">
        <v>12365</v>
      </c>
      <c r="K174" s="170">
        <f t="shared" si="17"/>
        <v>166046.19695953673</v>
      </c>
    </row>
    <row r="175" spans="2:11" x14ac:dyDescent="0.2">
      <c r="B175" s="171">
        <v>168</v>
      </c>
      <c r="C175" s="172">
        <v>50581</v>
      </c>
      <c r="D175" s="173" t="s">
        <v>750</v>
      </c>
      <c r="E175" s="174">
        <f t="shared" si="15"/>
        <v>31</v>
      </c>
      <c r="F175" s="170">
        <f t="shared" si="16"/>
        <v>166046.19695953673</v>
      </c>
      <c r="G175" s="170">
        <f t="shared" si="14"/>
        <v>10820.770368276309</v>
      </c>
      <c r="H175" s="170">
        <f t="shared" si="13"/>
        <v>1544.2296317236915</v>
      </c>
      <c r="I175" s="170">
        <v>0</v>
      </c>
      <c r="J175" s="170">
        <v>12365</v>
      </c>
      <c r="K175" s="170">
        <f t="shared" si="17"/>
        <v>155225.42659126042</v>
      </c>
    </row>
    <row r="176" spans="2:11" x14ac:dyDescent="0.2">
      <c r="B176" s="171">
        <v>169</v>
      </c>
      <c r="C176" s="172">
        <v>50611</v>
      </c>
      <c r="D176" s="173" t="s">
        <v>750</v>
      </c>
      <c r="E176" s="174">
        <f t="shared" si="15"/>
        <v>30</v>
      </c>
      <c r="F176" s="170">
        <f t="shared" si="16"/>
        <v>155225.42659126042</v>
      </c>
      <c r="G176" s="170">
        <f t="shared" si="14"/>
        <v>10967.971160678657</v>
      </c>
      <c r="H176" s="170">
        <f t="shared" si="13"/>
        <v>1397.0288393213436</v>
      </c>
      <c r="I176" s="170">
        <v>0</v>
      </c>
      <c r="J176" s="170">
        <v>12365</v>
      </c>
      <c r="K176" s="170">
        <f t="shared" si="17"/>
        <v>144257.45543058176</v>
      </c>
    </row>
    <row r="177" spans="2:11" x14ac:dyDescent="0.2">
      <c r="B177" s="171">
        <v>170</v>
      </c>
      <c r="C177" s="172">
        <v>50642</v>
      </c>
      <c r="D177" s="173" t="s">
        <v>750</v>
      </c>
      <c r="E177" s="174">
        <f t="shared" si="15"/>
        <v>31</v>
      </c>
      <c r="F177" s="170">
        <f t="shared" si="16"/>
        <v>144257.45543058176</v>
      </c>
      <c r="G177" s="170">
        <f t="shared" si="14"/>
        <v>11023.405664495589</v>
      </c>
      <c r="H177" s="170">
        <f t="shared" si="13"/>
        <v>1341.5943355044103</v>
      </c>
      <c r="I177" s="170">
        <v>0</v>
      </c>
      <c r="J177" s="170">
        <v>12365</v>
      </c>
      <c r="K177" s="170">
        <f t="shared" si="17"/>
        <v>133234.04976608616</v>
      </c>
    </row>
    <row r="178" spans="2:11" x14ac:dyDescent="0.2">
      <c r="B178" s="171">
        <v>171</v>
      </c>
      <c r="C178" s="172">
        <v>50673</v>
      </c>
      <c r="D178" s="173" t="s">
        <v>750</v>
      </c>
      <c r="E178" s="174">
        <f t="shared" si="15"/>
        <v>31</v>
      </c>
      <c r="F178" s="170">
        <f t="shared" si="16"/>
        <v>133234.04976608616</v>
      </c>
      <c r="G178" s="170">
        <f t="shared" si="14"/>
        <v>11125.923337175398</v>
      </c>
      <c r="H178" s="170">
        <f t="shared" si="13"/>
        <v>1239.0766628246013</v>
      </c>
      <c r="I178" s="170">
        <v>0</v>
      </c>
      <c r="J178" s="170">
        <v>12365</v>
      </c>
      <c r="K178" s="170">
        <f t="shared" si="17"/>
        <v>122108.12642891076</v>
      </c>
    </row>
    <row r="179" spans="2:11" x14ac:dyDescent="0.2">
      <c r="B179" s="171">
        <v>172</v>
      </c>
      <c r="C179" s="172">
        <v>50703</v>
      </c>
      <c r="D179" s="173" t="s">
        <v>750</v>
      </c>
      <c r="E179" s="174">
        <f t="shared" si="15"/>
        <v>30</v>
      </c>
      <c r="F179" s="170">
        <f t="shared" si="16"/>
        <v>122108.12642891076</v>
      </c>
      <c r="G179" s="170">
        <f t="shared" si="14"/>
        <v>11266.026862139803</v>
      </c>
      <c r="H179" s="170">
        <f t="shared" si="13"/>
        <v>1098.9731378601969</v>
      </c>
      <c r="I179" s="170">
        <v>0</v>
      </c>
      <c r="J179" s="170">
        <v>12365</v>
      </c>
      <c r="K179" s="170">
        <f t="shared" si="17"/>
        <v>110842.09956677096</v>
      </c>
    </row>
    <row r="180" spans="2:11" x14ac:dyDescent="0.2">
      <c r="B180" s="171">
        <v>173</v>
      </c>
      <c r="C180" s="172">
        <v>50734</v>
      </c>
      <c r="D180" s="173" t="s">
        <v>750</v>
      </c>
      <c r="E180" s="174">
        <f t="shared" si="15"/>
        <v>31</v>
      </c>
      <c r="F180" s="170">
        <f t="shared" si="16"/>
        <v>110842.09956677096</v>
      </c>
      <c r="G180" s="170">
        <f t="shared" si="14"/>
        <v>11334.168474029029</v>
      </c>
      <c r="H180" s="170">
        <f t="shared" si="13"/>
        <v>1030.8315259709698</v>
      </c>
      <c r="I180" s="170">
        <v>0</v>
      </c>
      <c r="J180" s="170">
        <v>12365</v>
      </c>
      <c r="K180" s="170">
        <f t="shared" si="17"/>
        <v>99507.931092741928</v>
      </c>
    </row>
    <row r="181" spans="2:11" x14ac:dyDescent="0.2">
      <c r="B181" s="171">
        <v>174</v>
      </c>
      <c r="C181" s="172">
        <v>50764</v>
      </c>
      <c r="D181" s="173" t="s">
        <v>750</v>
      </c>
      <c r="E181" s="174">
        <f t="shared" si="15"/>
        <v>30</v>
      </c>
      <c r="F181" s="170">
        <f t="shared" si="16"/>
        <v>99507.931092741928</v>
      </c>
      <c r="G181" s="170">
        <f t="shared" si="14"/>
        <v>11469.428620165323</v>
      </c>
      <c r="H181" s="170">
        <f t="shared" si="13"/>
        <v>895.57137983467726</v>
      </c>
      <c r="I181" s="170">
        <v>0</v>
      </c>
      <c r="J181" s="170">
        <v>12365</v>
      </c>
      <c r="K181" s="170">
        <f t="shared" si="17"/>
        <v>88038.502472576598</v>
      </c>
    </row>
    <row r="182" spans="2:11" x14ac:dyDescent="0.2">
      <c r="B182" s="171">
        <v>175</v>
      </c>
      <c r="C182" s="172">
        <v>50795</v>
      </c>
      <c r="D182" s="173" t="s">
        <v>750</v>
      </c>
      <c r="E182" s="174">
        <f t="shared" si="15"/>
        <v>31</v>
      </c>
      <c r="F182" s="170">
        <f t="shared" si="16"/>
        <v>88038.502472576598</v>
      </c>
      <c r="G182" s="170">
        <f t="shared" si="14"/>
        <v>11546.241927005038</v>
      </c>
      <c r="H182" s="170">
        <f t="shared" si="13"/>
        <v>818.75807299496228</v>
      </c>
      <c r="I182" s="170">
        <v>0</v>
      </c>
      <c r="J182" s="170">
        <v>12365</v>
      </c>
      <c r="K182" s="170">
        <f t="shared" si="17"/>
        <v>76492.260545571567</v>
      </c>
    </row>
    <row r="183" spans="2:11" x14ac:dyDescent="0.2">
      <c r="B183" s="171">
        <v>176</v>
      </c>
      <c r="C183" s="172">
        <v>50826</v>
      </c>
      <c r="D183" s="173" t="s">
        <v>750</v>
      </c>
      <c r="E183" s="174">
        <f t="shared" si="15"/>
        <v>31</v>
      </c>
      <c r="F183" s="170">
        <f t="shared" si="16"/>
        <v>76492.260545571567</v>
      </c>
      <c r="G183" s="170">
        <f t="shared" si="14"/>
        <v>11653.621976926184</v>
      </c>
      <c r="H183" s="170">
        <f t="shared" si="13"/>
        <v>711.37802307381548</v>
      </c>
      <c r="I183" s="170">
        <v>0</v>
      </c>
      <c r="J183" s="170">
        <v>12365</v>
      </c>
      <c r="K183" s="170">
        <f t="shared" si="17"/>
        <v>64838.638568645387</v>
      </c>
    </row>
    <row r="184" spans="2:11" x14ac:dyDescent="0.2">
      <c r="B184" s="171">
        <v>177</v>
      </c>
      <c r="C184" s="172">
        <v>50854</v>
      </c>
      <c r="D184" s="173" t="s">
        <v>750</v>
      </c>
      <c r="E184" s="174">
        <f t="shared" si="15"/>
        <v>28</v>
      </c>
      <c r="F184" s="170">
        <f t="shared" si="16"/>
        <v>64838.638568645387</v>
      </c>
      <c r="G184" s="170">
        <f t="shared" si="14"/>
        <v>11820.355436023379</v>
      </c>
      <c r="H184" s="170">
        <f t="shared" si="13"/>
        <v>544.64456397662127</v>
      </c>
      <c r="I184" s="170">
        <v>0</v>
      </c>
      <c r="J184" s="170">
        <v>12365</v>
      </c>
      <c r="K184" s="170">
        <f t="shared" si="17"/>
        <v>53018.283132622004</v>
      </c>
    </row>
    <row r="185" spans="2:11" x14ac:dyDescent="0.2">
      <c r="B185" s="171">
        <v>178</v>
      </c>
      <c r="C185" s="172">
        <v>50885</v>
      </c>
      <c r="D185" s="173" t="s">
        <v>750</v>
      </c>
      <c r="E185" s="174">
        <f t="shared" si="15"/>
        <v>31</v>
      </c>
      <c r="F185" s="170">
        <f t="shared" si="16"/>
        <v>53018.283132622004</v>
      </c>
      <c r="G185" s="170">
        <f t="shared" si="14"/>
        <v>11871.929966866615</v>
      </c>
      <c r="H185" s="170">
        <f t="shared" si="13"/>
        <v>493.07003313338458</v>
      </c>
      <c r="I185" s="170">
        <v>0</v>
      </c>
      <c r="J185" s="170">
        <v>12365</v>
      </c>
      <c r="K185" s="170">
        <f t="shared" si="17"/>
        <v>41146.35316575539</v>
      </c>
    </row>
    <row r="186" spans="2:11" x14ac:dyDescent="0.2">
      <c r="B186" s="171">
        <v>179</v>
      </c>
      <c r="C186" s="172">
        <v>50915</v>
      </c>
      <c r="D186" s="173" t="s">
        <v>750</v>
      </c>
      <c r="E186" s="174">
        <f t="shared" si="15"/>
        <v>30</v>
      </c>
      <c r="F186" s="170">
        <f t="shared" si="16"/>
        <v>41146.35316575539</v>
      </c>
      <c r="G186" s="170">
        <f t="shared" si="14"/>
        <v>11994.682821508202</v>
      </c>
      <c r="H186" s="170">
        <f t="shared" si="13"/>
        <v>370.31717849179847</v>
      </c>
      <c r="I186" s="170">
        <v>0</v>
      </c>
      <c r="J186" s="170">
        <v>12365</v>
      </c>
      <c r="K186" s="170">
        <f t="shared" si="17"/>
        <v>29151.670344247188</v>
      </c>
    </row>
    <row r="187" spans="2:11" x14ac:dyDescent="0.2">
      <c r="B187" s="171">
        <v>180</v>
      </c>
      <c r="C187" s="172">
        <v>50946</v>
      </c>
      <c r="D187" s="173" t="s">
        <v>750</v>
      </c>
      <c r="E187" s="174">
        <f t="shared" si="15"/>
        <v>31</v>
      </c>
      <c r="F187" s="170">
        <f t="shared" si="16"/>
        <v>29151.670344247188</v>
      </c>
      <c r="G187" s="170">
        <f t="shared" si="14"/>
        <v>12093.889465798502</v>
      </c>
      <c r="H187" s="170">
        <f t="shared" si="13"/>
        <v>271.11053420149881</v>
      </c>
      <c r="I187" s="170">
        <v>0</v>
      </c>
      <c r="J187" s="170">
        <v>12365</v>
      </c>
      <c r="K187" s="170">
        <f t="shared" si="17"/>
        <v>17057.780878448684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8E9-29B2-454D-A726-60E56F8D2CC3}">
  <dimension ref="A1:L28"/>
  <sheetViews>
    <sheetView showGridLines="0" zoomScale="80" zoomScaleNormal="80" workbookViewId="0">
      <selection activeCell="K26" sqref="K26"/>
    </sheetView>
  </sheetViews>
  <sheetFormatPr baseColWidth="10" defaultRowHeight="15" x14ac:dyDescent="0.2"/>
  <cols>
    <col min="1" max="1" width="2.21875" customWidth="1"/>
    <col min="2" max="12" width="14.77734375" customWidth="1"/>
  </cols>
  <sheetData>
    <row r="1" spans="1:12" x14ac:dyDescent="0.2">
      <c r="A1" s="1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0.25" x14ac:dyDescent="0.3">
      <c r="A2" s="1"/>
      <c r="B2" s="346" t="s">
        <v>0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</row>
    <row r="3" spans="1:12" ht="18" x14ac:dyDescent="0.25">
      <c r="A3" s="1"/>
      <c r="B3" s="347" t="s">
        <v>183</v>
      </c>
      <c r="C3" s="347"/>
      <c r="D3" s="347"/>
      <c r="E3" s="347"/>
      <c r="F3" s="347"/>
      <c r="G3" s="347"/>
      <c r="H3" s="347"/>
      <c r="I3" s="347"/>
      <c r="J3" s="347"/>
      <c r="K3" s="347"/>
      <c r="L3" s="347"/>
    </row>
    <row r="4" spans="1:12" ht="18" x14ac:dyDescent="0.25">
      <c r="A4" s="1"/>
      <c r="B4" s="348" t="s">
        <v>184</v>
      </c>
      <c r="C4" s="348"/>
      <c r="D4" s="348"/>
      <c r="E4" s="348"/>
      <c r="F4" s="348"/>
      <c r="G4" s="348"/>
      <c r="H4" s="348"/>
      <c r="I4" s="348"/>
      <c r="J4" s="348"/>
      <c r="K4" s="348"/>
      <c r="L4" s="348"/>
    </row>
    <row r="5" spans="1:12" x14ac:dyDescent="0.2">
      <c r="A5" s="1"/>
      <c r="B5" s="349">
        <v>44901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</row>
    <row r="6" spans="1:12" ht="15.75" thickBot="1" x14ac:dyDescent="0.25">
      <c r="A6" s="1"/>
      <c r="B6" s="19" t="s">
        <v>33</v>
      </c>
      <c r="C6" s="19" t="s">
        <v>14</v>
      </c>
      <c r="D6" s="19" t="s">
        <v>185</v>
      </c>
      <c r="E6" s="19" t="s">
        <v>126</v>
      </c>
      <c r="F6" s="19" t="s">
        <v>148</v>
      </c>
      <c r="G6" s="19" t="s">
        <v>41</v>
      </c>
      <c r="H6" s="19" t="s">
        <v>186</v>
      </c>
      <c r="I6" s="19" t="s">
        <v>26</v>
      </c>
      <c r="J6" s="19" t="s">
        <v>31</v>
      </c>
      <c r="K6" s="19" t="s">
        <v>43</v>
      </c>
      <c r="L6" s="19" t="s">
        <v>38</v>
      </c>
    </row>
    <row r="7" spans="1:12" x14ac:dyDescent="0.2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"/>
      <c r="B8" s="17" t="s">
        <v>187</v>
      </c>
      <c r="C8" s="18" t="s">
        <v>13</v>
      </c>
      <c r="D8" s="17" t="s">
        <v>188</v>
      </c>
      <c r="E8" s="17" t="s">
        <v>613</v>
      </c>
      <c r="F8" s="18" t="s">
        <v>190</v>
      </c>
      <c r="G8" s="18" t="s">
        <v>45</v>
      </c>
      <c r="H8" s="18" t="s">
        <v>191</v>
      </c>
      <c r="I8" s="160" t="s">
        <v>27</v>
      </c>
      <c r="J8" s="17" t="s">
        <v>32</v>
      </c>
      <c r="K8" s="18" t="s">
        <v>86</v>
      </c>
      <c r="L8" s="18" t="s">
        <v>39</v>
      </c>
    </row>
    <row r="9" spans="1:12" x14ac:dyDescent="0.2">
      <c r="A9" s="1"/>
      <c r="B9" s="17" t="s">
        <v>34</v>
      </c>
      <c r="C9" s="18" t="s">
        <v>16</v>
      </c>
      <c r="D9" s="17" t="s">
        <v>192</v>
      </c>
      <c r="E9" s="17" t="s">
        <v>189</v>
      </c>
      <c r="F9" s="18" t="s">
        <v>193</v>
      </c>
      <c r="G9" s="18" t="s">
        <v>47</v>
      </c>
      <c r="H9" s="18" t="s">
        <v>194</v>
      </c>
      <c r="I9" s="160" t="s">
        <v>29</v>
      </c>
      <c r="J9" s="17" t="s">
        <v>56</v>
      </c>
      <c r="K9" s="18" t="s">
        <v>118</v>
      </c>
      <c r="L9" s="18" t="s">
        <v>87</v>
      </c>
    </row>
    <row r="10" spans="1:12" x14ac:dyDescent="0.2">
      <c r="A10" s="1"/>
      <c r="B10" s="17" t="s">
        <v>195</v>
      </c>
      <c r="C10" s="18" t="s">
        <v>17</v>
      </c>
      <c r="D10" s="16"/>
      <c r="E10" s="17" t="s">
        <v>614</v>
      </c>
      <c r="F10" s="18" t="s">
        <v>197</v>
      </c>
      <c r="G10" s="18" t="s">
        <v>46</v>
      </c>
      <c r="H10" s="18" t="s">
        <v>198</v>
      </c>
      <c r="I10" s="159"/>
      <c r="J10" s="17" t="s">
        <v>49</v>
      </c>
      <c r="K10" s="18" t="s">
        <v>199</v>
      </c>
      <c r="L10" s="18" t="s">
        <v>83</v>
      </c>
    </row>
    <row r="11" spans="1:12" x14ac:dyDescent="0.2">
      <c r="A11" s="1"/>
      <c r="B11" s="17" t="s">
        <v>67</v>
      </c>
      <c r="C11" s="18" t="s">
        <v>18</v>
      </c>
      <c r="D11" s="16"/>
      <c r="E11" s="17" t="s">
        <v>612</v>
      </c>
      <c r="F11" s="18" t="s">
        <v>149</v>
      </c>
      <c r="G11" s="18" t="s">
        <v>42</v>
      </c>
      <c r="H11" s="18" t="s">
        <v>201</v>
      </c>
      <c r="I11" s="16"/>
      <c r="J11" s="16"/>
      <c r="K11" s="18" t="s">
        <v>797</v>
      </c>
      <c r="L11" s="18" t="s">
        <v>113</v>
      </c>
    </row>
    <row r="12" spans="1:12" x14ac:dyDescent="0.2">
      <c r="A12" s="1"/>
      <c r="B12" s="17" t="s">
        <v>107</v>
      </c>
      <c r="C12" s="18" t="s">
        <v>19</v>
      </c>
      <c r="D12" s="16"/>
      <c r="E12" s="17" t="s">
        <v>196</v>
      </c>
      <c r="F12" s="18" t="s">
        <v>202</v>
      </c>
      <c r="G12" s="16"/>
      <c r="H12" s="16"/>
      <c r="I12" s="16"/>
      <c r="J12" s="16"/>
      <c r="K12" s="18" t="s">
        <v>70</v>
      </c>
      <c r="L12" s="18" t="s">
        <v>146</v>
      </c>
    </row>
    <row r="13" spans="1:12" x14ac:dyDescent="0.2">
      <c r="A13" s="1"/>
      <c r="B13" s="17" t="s">
        <v>36</v>
      </c>
      <c r="C13" s="18" t="s">
        <v>20</v>
      </c>
      <c r="D13" s="16"/>
      <c r="E13" s="17" t="s">
        <v>200</v>
      </c>
      <c r="F13" s="18" t="s">
        <v>203</v>
      </c>
      <c r="G13" s="16"/>
      <c r="H13" s="16"/>
      <c r="I13" s="16"/>
      <c r="J13" s="16"/>
      <c r="K13" s="160" t="s">
        <v>786</v>
      </c>
      <c r="L13" s="18" t="s">
        <v>159</v>
      </c>
    </row>
    <row r="14" spans="1:12" x14ac:dyDescent="0.2">
      <c r="A14" s="1"/>
      <c r="B14" s="17" t="s">
        <v>205</v>
      </c>
      <c r="C14" s="18" t="s">
        <v>21</v>
      </c>
      <c r="D14" s="16"/>
      <c r="E14" s="16"/>
      <c r="F14" s="16"/>
      <c r="G14" s="16"/>
      <c r="H14" s="16"/>
      <c r="I14" s="16"/>
      <c r="J14" s="16"/>
      <c r="K14" s="18" t="s">
        <v>51</v>
      </c>
      <c r="L14" s="18" t="s">
        <v>206</v>
      </c>
    </row>
    <row r="15" spans="1:12" x14ac:dyDescent="0.2">
      <c r="A15" s="1"/>
      <c r="B15" s="16"/>
      <c r="C15" s="18" t="s">
        <v>22</v>
      </c>
      <c r="D15" s="16"/>
      <c r="E15" s="16"/>
      <c r="F15" s="16"/>
      <c r="G15" s="16"/>
      <c r="H15" s="16"/>
      <c r="I15" s="16"/>
      <c r="J15" s="16"/>
      <c r="K15" s="18" t="s">
        <v>204</v>
      </c>
      <c r="L15" s="18" t="s">
        <v>208</v>
      </c>
    </row>
    <row r="16" spans="1:12" x14ac:dyDescent="0.2">
      <c r="A16" s="1"/>
      <c r="B16" s="16"/>
      <c r="C16" s="18" t="s">
        <v>662</v>
      </c>
      <c r="D16" s="16"/>
      <c r="E16" s="16"/>
      <c r="F16" s="16"/>
      <c r="G16" s="16"/>
      <c r="H16" s="16"/>
      <c r="I16" s="16"/>
      <c r="J16" s="16"/>
      <c r="K16" s="18" t="s">
        <v>72</v>
      </c>
      <c r="L16" s="18" t="s">
        <v>102</v>
      </c>
    </row>
    <row r="17" spans="1:12" x14ac:dyDescent="0.2">
      <c r="A17" s="1"/>
      <c r="B17" s="16"/>
      <c r="C17" s="18" t="s">
        <v>23</v>
      </c>
      <c r="D17" s="16"/>
      <c r="E17" s="16"/>
      <c r="F17" s="16"/>
      <c r="G17" s="16"/>
      <c r="H17" s="16"/>
      <c r="I17" s="16"/>
      <c r="J17" s="16"/>
      <c r="K17" s="18" t="s">
        <v>207</v>
      </c>
      <c r="L17" s="18" t="s">
        <v>96</v>
      </c>
    </row>
    <row r="18" spans="1:12" x14ac:dyDescent="0.2">
      <c r="A18" s="1"/>
      <c r="B18" s="16"/>
      <c r="C18" s="18" t="s">
        <v>24</v>
      </c>
      <c r="D18" s="16"/>
      <c r="E18" s="16"/>
      <c r="F18" s="16"/>
      <c r="G18" s="16"/>
      <c r="H18" s="16"/>
      <c r="I18" s="16"/>
      <c r="J18" s="16"/>
      <c r="K18" s="18" t="s">
        <v>209</v>
      </c>
      <c r="L18" s="18" t="s">
        <v>210</v>
      </c>
    </row>
    <row r="19" spans="1:12" x14ac:dyDescent="0.2">
      <c r="A19" s="1"/>
      <c r="B19" s="16"/>
      <c r="C19" s="18" t="s">
        <v>25</v>
      </c>
      <c r="D19" s="16"/>
      <c r="E19" s="16"/>
      <c r="F19" s="16"/>
      <c r="G19" s="16"/>
      <c r="H19" s="16"/>
      <c r="I19" s="16"/>
      <c r="J19" s="16"/>
      <c r="K19" s="18" t="s">
        <v>53</v>
      </c>
      <c r="L19" s="16"/>
    </row>
    <row r="20" spans="1:12" x14ac:dyDescent="0.2">
      <c r="A20" s="1"/>
      <c r="B20" s="16"/>
      <c r="C20" s="16"/>
      <c r="D20" s="16"/>
      <c r="E20" s="16"/>
      <c r="F20" s="16"/>
      <c r="G20" s="16"/>
      <c r="H20" s="16"/>
      <c r="I20" s="16"/>
      <c r="J20" s="16"/>
      <c r="K20" s="18" t="s">
        <v>55</v>
      </c>
      <c r="L20" s="16"/>
    </row>
    <row r="21" spans="1:12" x14ac:dyDescent="0.2">
      <c r="A21" s="1"/>
      <c r="B21" s="16"/>
      <c r="C21" s="16"/>
      <c r="D21" s="16"/>
      <c r="E21" s="16"/>
      <c r="F21" s="16"/>
      <c r="G21" s="16"/>
      <c r="H21" s="16"/>
      <c r="I21" s="16"/>
      <c r="J21" s="16"/>
      <c r="K21" s="18" t="s">
        <v>44</v>
      </c>
      <c r="L21" s="16"/>
    </row>
    <row r="22" spans="1:12" x14ac:dyDescent="0.2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8" t="s">
        <v>211</v>
      </c>
      <c r="L22" s="16"/>
    </row>
    <row r="23" spans="1:12" x14ac:dyDescent="0.2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8" t="s">
        <v>798</v>
      </c>
      <c r="L23" s="16"/>
    </row>
    <row r="24" spans="1:12" x14ac:dyDescent="0.2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0" t="s">
        <v>770</v>
      </c>
      <c r="L24" s="16"/>
    </row>
    <row r="25" spans="1:12" x14ac:dyDescent="0.2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0" t="s">
        <v>771</v>
      </c>
      <c r="L25" s="16"/>
    </row>
    <row r="26" spans="1:12" x14ac:dyDescent="0.2">
      <c r="C26" s="16"/>
      <c r="E26" s="16"/>
      <c r="K26" s="18" t="s">
        <v>73</v>
      </c>
    </row>
    <row r="27" spans="1:12" x14ac:dyDescent="0.2">
      <c r="E27" s="16"/>
      <c r="K27" s="16"/>
    </row>
    <row r="28" spans="1:12" x14ac:dyDescent="0.2">
      <c r="K28" s="16"/>
    </row>
  </sheetData>
  <sortState xmlns:xlrd2="http://schemas.microsoft.com/office/spreadsheetml/2017/richdata2" ref="K8:K26">
    <sortCondition ref="K8:K26"/>
  </sortState>
  <mergeCells count="4">
    <mergeCell ref="B2:L2"/>
    <mergeCell ref="B3:L3"/>
    <mergeCell ref="B4:L4"/>
    <mergeCell ref="B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14</vt:i4>
      </vt:variant>
    </vt:vector>
  </HeadingPairs>
  <TitlesOfParts>
    <vt:vector size="26" baseType="lpstr">
      <vt:lpstr>PWS</vt:lpstr>
      <vt:lpstr>DOC</vt:lpstr>
      <vt:lpstr>CUENTA</vt:lpstr>
      <vt:lpstr>DDD</vt:lpstr>
      <vt:lpstr>PRESUPUESTO</vt:lpstr>
      <vt:lpstr>RESUMEN</vt:lpstr>
      <vt:lpstr>DIARIO_2024</vt:lpstr>
      <vt:lpstr>VIVIENDA</vt:lpstr>
      <vt:lpstr>CATEGORIAS</vt:lpstr>
      <vt:lpstr>AUTO</vt:lpstr>
      <vt:lpstr>HIPOTECA</vt:lpstr>
      <vt:lpstr>TERTIUS</vt:lpstr>
      <vt:lpstr>CUENTA!Área_de_impresión</vt:lpstr>
      <vt:lpstr>DDD!Área_de_impresión</vt:lpstr>
      <vt:lpstr>AUTOMOVIL</vt:lpstr>
      <vt:lpstr>BANCOS</vt:lpstr>
      <vt:lpstr>CAPACITACION</vt:lpstr>
      <vt:lpstr>CASA</vt:lpstr>
      <vt:lpstr>CATEGORIA</vt:lpstr>
      <vt:lpstr>CUE_CON</vt:lpstr>
      <vt:lpstr>EXTRAS</vt:lpstr>
      <vt:lpstr>INGRESOS</vt:lpstr>
      <vt:lpstr>OCIO</vt:lpstr>
      <vt:lpstr>PERSONALES</vt:lpstr>
      <vt:lpstr>SEMANAL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2024-08-02T19:19:48Z</cp:lastPrinted>
  <dcterms:created xsi:type="dcterms:W3CDTF">2024-03-05T21:59:21Z</dcterms:created>
  <dcterms:modified xsi:type="dcterms:W3CDTF">2024-08-02T19:25:27Z</dcterms:modified>
</cp:coreProperties>
</file>