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https://d.docs.live.net/8f3ea8a82edf3cab/_mei-ESfactory/"/>
    </mc:Choice>
  </mc:AlternateContent>
  <xr:revisionPtr revIDLastSave="3336" documentId="13_ncr:1_{F217A611-204C-47C7-A795-278FFBCA7C05}" xr6:coauthVersionLast="47" xr6:coauthVersionMax="47" xr10:uidLastSave="{DA16AE64-EC8E-4907-9D33-E3048BF06EEF}"/>
  <bookViews>
    <workbookView xWindow="600" yWindow="870" windowWidth="25425" windowHeight="12675" xr2:uid="{00000000-000D-0000-FFFF-FFFF00000000}"/>
  </bookViews>
  <sheets>
    <sheet name="opcao_c" sheetId="14" r:id="rId1"/>
    <sheet name="operacao" sheetId="7" r:id="rId2"/>
    <sheet name="IR" sheetId="9" r:id="rId3"/>
    <sheet name="bv2" sheetId="8" r:id="rId4"/>
    <sheet name="mat const" sheetId="10" r:id="rId5"/>
    <sheet name="Planilha2" sheetId="12" r:id="rId6"/>
    <sheet name="escala" sheetId="13" r:id="rId7"/>
  </sheets>
  <definedNames>
    <definedName name="_xlnm._FilterDatabase" localSheetId="4" hidden="1">'mat const'!$A$30:$Y$76</definedName>
    <definedName name="_xlnm._FilterDatabase" localSheetId="1" hidden="1">operacao!$B$5:$Q$68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2" i="7" l="1" a="1"/>
  <c r="E72" i="7" s="1"/>
  <c r="E73" i="7" a="1"/>
  <c r="E73" i="7"/>
  <c r="H73" i="7" s="1"/>
  <c r="I73" i="7" s="1"/>
  <c r="E74" i="7" a="1"/>
  <c r="E74" i="7" s="1"/>
  <c r="H74" i="7" s="1"/>
  <c r="I74" i="7" s="1"/>
  <c r="E75" i="7" a="1"/>
  <c r="E75" i="7"/>
  <c r="H75" i="7" s="1"/>
  <c r="I75" i="7" s="1"/>
  <c r="V72" i="7"/>
  <c r="I23" i="7"/>
  <c r="H18" i="7"/>
  <c r="I18" i="7" s="1"/>
  <c r="J18" i="7" s="1"/>
  <c r="H19" i="7"/>
  <c r="I19" i="7" s="1"/>
  <c r="H20" i="7"/>
  <c r="I20" i="7" s="1"/>
  <c r="J20" i="7" s="1"/>
  <c r="H21" i="7"/>
  <c r="I21" i="7" s="1"/>
  <c r="H22" i="7"/>
  <c r="I22" i="7" s="1"/>
  <c r="J22" i="7" s="1"/>
  <c r="H23" i="7"/>
  <c r="H24" i="7"/>
  <c r="I24" i="7" s="1"/>
  <c r="H14" i="7"/>
  <c r="I14" i="7" s="1"/>
  <c r="H15" i="7"/>
  <c r="I15" i="7" s="1"/>
  <c r="H16" i="7"/>
  <c r="H17" i="7"/>
  <c r="H10" i="7"/>
  <c r="I10" i="7" s="1"/>
  <c r="H11" i="7"/>
  <c r="I11" i="7" s="1"/>
  <c r="H12" i="7"/>
  <c r="I12" i="7" s="1"/>
  <c r="H13" i="7"/>
  <c r="I13" i="7" s="1"/>
  <c r="H7" i="7"/>
  <c r="H8" i="7"/>
  <c r="I8" i="7" s="1"/>
  <c r="H9" i="7"/>
  <c r="I9" i="7" s="1"/>
  <c r="F4" i="14"/>
  <c r="F5" i="14"/>
  <c r="F7" i="14"/>
  <c r="F8" i="14"/>
  <c r="E3" i="14"/>
  <c r="E4" i="14" s="1"/>
  <c r="E5" i="14" s="1"/>
  <c r="E6" i="14" s="1"/>
  <c r="E7" i="14" s="1"/>
  <c r="E8" i="14" s="1"/>
  <c r="E9" i="14" s="1"/>
  <c r="E10" i="14" s="1"/>
  <c r="E11" i="14" s="1"/>
  <c r="E12" i="14" s="1"/>
  <c r="E13" i="14" s="1"/>
  <c r="E14" i="14" s="1"/>
  <c r="E15" i="14" s="1"/>
  <c r="E16" i="14" s="1"/>
  <c r="E17" i="14" s="1"/>
  <c r="E18" i="14" s="1"/>
  <c r="E19" i="14" s="1"/>
  <c r="E20" i="14" s="1"/>
  <c r="E21" i="14" s="1"/>
  <c r="E22" i="14" s="1"/>
  <c r="E23" i="14" s="1"/>
  <c r="E24" i="14" s="1"/>
  <c r="E25" i="14" s="1"/>
  <c r="E26" i="14" s="1"/>
  <c r="E27" i="14" s="1"/>
  <c r="E28" i="14" s="1"/>
  <c r="T25" i="7"/>
  <c r="S25" i="7"/>
  <c r="R25" i="7"/>
  <c r="I25" i="7"/>
  <c r="H25" i="7"/>
  <c r="P2" i="7"/>
  <c r="Y63" i="7"/>
  <c r="L63" i="7"/>
  <c r="T63" i="7" s="1"/>
  <c r="E63" i="7" a="1"/>
  <c r="E63" i="7" s="1"/>
  <c r="Y64" i="7"/>
  <c r="L64" i="7"/>
  <c r="T64" i="7" s="1"/>
  <c r="E64" i="7" a="1"/>
  <c r="E64" i="7" s="1"/>
  <c r="H6" i="9"/>
  <c r="H7" i="9"/>
  <c r="H8" i="9"/>
  <c r="H9" i="9"/>
  <c r="H10" i="9"/>
  <c r="H11" i="9"/>
  <c r="H12" i="9"/>
  <c r="H13" i="9"/>
  <c r="Y68" i="7"/>
  <c r="L68" i="7"/>
  <c r="T68" i="7" s="1"/>
  <c r="E68" i="7" a="1"/>
  <c r="E68" i="7" s="1"/>
  <c r="S68" i="7" s="1"/>
  <c r="Y67" i="7"/>
  <c r="L67" i="7"/>
  <c r="T67" i="7" s="1"/>
  <c r="E67" i="7" a="1"/>
  <c r="E67" i="7" s="1"/>
  <c r="S67" i="7" s="1"/>
  <c r="S59" i="7"/>
  <c r="R59" i="7"/>
  <c r="L59" i="7"/>
  <c r="T59" i="7" s="1"/>
  <c r="H59" i="7"/>
  <c r="S58" i="7"/>
  <c r="R58" i="7"/>
  <c r="L58" i="7"/>
  <c r="H58" i="7"/>
  <c r="Y66" i="7"/>
  <c r="L66" i="7"/>
  <c r="T66" i="7" s="1"/>
  <c r="E66" i="7" a="1"/>
  <c r="E66" i="7" s="1"/>
  <c r="S66" i="7" s="1"/>
  <c r="Y65" i="7"/>
  <c r="L65" i="7"/>
  <c r="T65" i="7" s="1"/>
  <c r="E65" i="7" a="1"/>
  <c r="E65" i="7" s="1"/>
  <c r="S65" i="7" s="1"/>
  <c r="B22" i="10"/>
  <c r="F22" i="10" s="1"/>
  <c r="F23" i="10"/>
  <c r="F15" i="10"/>
  <c r="F16" i="10"/>
  <c r="F17" i="10"/>
  <c r="F18" i="10"/>
  <c r="F19" i="10"/>
  <c r="F20" i="10"/>
  <c r="F21" i="10"/>
  <c r="D11" i="10"/>
  <c r="D20" i="10"/>
  <c r="H57" i="7"/>
  <c r="I57" i="7" s="1"/>
  <c r="S60" i="7"/>
  <c r="M13" i="9"/>
  <c r="G11" i="9"/>
  <c r="G12" i="9"/>
  <c r="G13" i="9"/>
  <c r="L3" i="9"/>
  <c r="M3" i="9"/>
  <c r="L4" i="9"/>
  <c r="M4" i="9"/>
  <c r="L5" i="9"/>
  <c r="M5" i="9"/>
  <c r="L6" i="9"/>
  <c r="M6" i="9"/>
  <c r="L7" i="9"/>
  <c r="M7" i="9"/>
  <c r="L8" i="9"/>
  <c r="M8" i="9"/>
  <c r="L9" i="9"/>
  <c r="M9" i="9"/>
  <c r="L10" i="9"/>
  <c r="M10" i="9"/>
  <c r="L11" i="9"/>
  <c r="M11" i="9"/>
  <c r="L12" i="9"/>
  <c r="M12" i="9"/>
  <c r="L13" i="9"/>
  <c r="T61" i="7"/>
  <c r="T62" i="7"/>
  <c r="T6" i="7"/>
  <c r="T26" i="7"/>
  <c r="T27" i="7"/>
  <c r="L18" i="9" s="1"/>
  <c r="J18" i="9" s="1"/>
  <c r="G18" i="9"/>
  <c r="T28" i="7"/>
  <c r="T29" i="7"/>
  <c r="T30" i="7"/>
  <c r="G17" i="9"/>
  <c r="T31" i="7"/>
  <c r="T32" i="7"/>
  <c r="T33" i="7"/>
  <c r="T34" i="7"/>
  <c r="T35" i="7"/>
  <c r="T36" i="7"/>
  <c r="T37" i="7"/>
  <c r="T38" i="7"/>
  <c r="T39" i="7"/>
  <c r="T40" i="7"/>
  <c r="T41" i="7"/>
  <c r="T42" i="7"/>
  <c r="T43" i="7"/>
  <c r="T44" i="7"/>
  <c r="T45" i="7"/>
  <c r="T46" i="7"/>
  <c r="T47" i="7"/>
  <c r="T48" i="7"/>
  <c r="T49" i="7"/>
  <c r="T50" i="7"/>
  <c r="T51" i="7"/>
  <c r="T52" i="7"/>
  <c r="T53" i="7"/>
  <c r="T54" i="7"/>
  <c r="T55" i="7"/>
  <c r="T56" i="7"/>
  <c r="L60" i="7"/>
  <c r="T60" i="7" s="1"/>
  <c r="L76" i="7"/>
  <c r="T76" i="7" s="1"/>
  <c r="T57" i="7"/>
  <c r="F15" i="14"/>
  <c r="F16" i="14"/>
  <c r="F17" i="14"/>
  <c r="F18" i="14"/>
  <c r="F19" i="14"/>
  <c r="F20" i="14"/>
  <c r="F21" i="14"/>
  <c r="F22" i="14"/>
  <c r="F23" i="14"/>
  <c r="F24" i="14"/>
  <c r="F25" i="14"/>
  <c r="F26" i="14"/>
  <c r="F27" i="14"/>
  <c r="F28" i="14"/>
  <c r="N4" i="9"/>
  <c r="N5" i="9"/>
  <c r="N6" i="9"/>
  <c r="N7" i="9"/>
  <c r="N8" i="9"/>
  <c r="N9" i="9"/>
  <c r="N10" i="9"/>
  <c r="N11" i="9"/>
  <c r="N12" i="9"/>
  <c r="N13" i="9"/>
  <c r="N3" i="9"/>
  <c r="I3" i="9"/>
  <c r="I4" i="9"/>
  <c r="I5" i="9"/>
  <c r="I6" i="9"/>
  <c r="I7" i="9"/>
  <c r="I8" i="9"/>
  <c r="I9" i="9"/>
  <c r="I10" i="9"/>
  <c r="I11" i="9"/>
  <c r="I12" i="9"/>
  <c r="I13" i="9"/>
  <c r="L72" i="7"/>
  <c r="T72" i="7" s="1"/>
  <c r="AE13" i="10"/>
  <c r="D13" i="10"/>
  <c r="D24" i="10" s="1"/>
  <c r="D14" i="10"/>
  <c r="AE6" i="10"/>
  <c r="AE7" i="10"/>
  <c r="Y76" i="7"/>
  <c r="R56" i="7"/>
  <c r="H56" i="7"/>
  <c r="J56" i="7" s="1"/>
  <c r="P56" i="7" s="1"/>
  <c r="S56" i="7"/>
  <c r="E76" i="7" a="1"/>
  <c r="E76" i="7" s="1"/>
  <c r="H76" i="7" s="1"/>
  <c r="I76" i="7" s="1"/>
  <c r="S55" i="7"/>
  <c r="I40" i="7"/>
  <c r="S6" i="7"/>
  <c r="S26" i="7"/>
  <c r="S27" i="7"/>
  <c r="S28" i="7"/>
  <c r="S29" i="7"/>
  <c r="S30" i="7"/>
  <c r="R6" i="7"/>
  <c r="R26" i="7"/>
  <c r="R27" i="7"/>
  <c r="R28" i="7"/>
  <c r="R29" i="7"/>
  <c r="R30" i="7"/>
  <c r="R31" i="7"/>
  <c r="R32" i="7"/>
  <c r="R33" i="7"/>
  <c r="R34" i="7"/>
  <c r="R35" i="7"/>
  <c r="B14" i="10"/>
  <c r="F14" i="10" s="1"/>
  <c r="B13" i="10"/>
  <c r="F13" i="10" s="1"/>
  <c r="B12" i="10"/>
  <c r="F12" i="10" s="1"/>
  <c r="AQ28" i="10"/>
  <c r="AQ25" i="10"/>
  <c r="AP9" i="10"/>
  <c r="AP25" i="10" s="1"/>
  <c r="AP28" i="10"/>
  <c r="AN28" i="10"/>
  <c r="AQ27" i="10"/>
  <c r="AP27" i="10"/>
  <c r="AN25" i="10"/>
  <c r="AQ24" i="10"/>
  <c r="AP24" i="10"/>
  <c r="AC69" i="10"/>
  <c r="AF25" i="10"/>
  <c r="AF24" i="10"/>
  <c r="AF28" i="10"/>
  <c r="AF27" i="10"/>
  <c r="AC28" i="10"/>
  <c r="AS20" i="10"/>
  <c r="AQ19" i="10"/>
  <c r="AQ17" i="10"/>
  <c r="AQ16" i="10"/>
  <c r="AQ15" i="10"/>
  <c r="AQ13" i="10"/>
  <c r="AS10" i="10"/>
  <c r="AQ3" i="10"/>
  <c r="Z9" i="10"/>
  <c r="AC25" i="10"/>
  <c r="AH20" i="10"/>
  <c r="AH10" i="10"/>
  <c r="AF19" i="10"/>
  <c r="AF9" i="10"/>
  <c r="AE9" i="10"/>
  <c r="AE19" i="10"/>
  <c r="AF6" i="10"/>
  <c r="AF7" i="10"/>
  <c r="AF17" i="10"/>
  <c r="AF16" i="10"/>
  <c r="AE16" i="10"/>
  <c r="AE15" i="10"/>
  <c r="Z20" i="10"/>
  <c r="AE17" i="10" s="1"/>
  <c r="AF15" i="10"/>
  <c r="AF5" i="10"/>
  <c r="AE5" i="10"/>
  <c r="H69" i="10"/>
  <c r="I69" i="10" s="1"/>
  <c r="AE27" i="10"/>
  <c r="AF3" i="10"/>
  <c r="AE3" i="10"/>
  <c r="AE24" i="10" s="1"/>
  <c r="H65" i="10"/>
  <c r="AG13" i="10" s="1"/>
  <c r="AF13" i="10"/>
  <c r="S48" i="7"/>
  <c r="S51" i="7"/>
  <c r="X13" i="9"/>
  <c r="X12" i="9"/>
  <c r="X11" i="9"/>
  <c r="W10" i="9"/>
  <c r="N7" i="12"/>
  <c r="O7" i="12" s="1"/>
  <c r="P7" i="12" s="1"/>
  <c r="Q7" i="12" s="1"/>
  <c r="R7" i="12" s="1"/>
  <c r="S7" i="12" s="1"/>
  <c r="A8" i="12"/>
  <c r="D4" i="12"/>
  <c r="D5" i="12"/>
  <c r="D6" i="12"/>
  <c r="D7" i="12"/>
  <c r="D3" i="12"/>
  <c r="G4" i="12"/>
  <c r="G5" i="12"/>
  <c r="G6" i="12"/>
  <c r="H6" i="12" s="1"/>
  <c r="G7" i="12"/>
  <c r="G3" i="12"/>
  <c r="H3" i="12" s="1"/>
  <c r="B28" i="8"/>
  <c r="H54" i="7"/>
  <c r="I54" i="7" s="1"/>
  <c r="S47" i="7"/>
  <c r="S44" i="7"/>
  <c r="R44" i="7"/>
  <c r="H44" i="7"/>
  <c r="I44" i="7" s="1"/>
  <c r="H45" i="7"/>
  <c r="I45" i="7" s="1"/>
  <c r="H40" i="7"/>
  <c r="M27" i="9"/>
  <c r="M19" i="9"/>
  <c r="M20" i="9"/>
  <c r="M21" i="9"/>
  <c r="M22" i="9"/>
  <c r="M23" i="9"/>
  <c r="M24" i="9"/>
  <c r="M25" i="9"/>
  <c r="M26" i="9"/>
  <c r="B13" i="8"/>
  <c r="I35" i="7"/>
  <c r="I72" i="7"/>
  <c r="E26" i="9"/>
  <c r="E25" i="9" s="1"/>
  <c r="E24" i="9" s="1"/>
  <c r="E23" i="9" s="1"/>
  <c r="E22" i="9" s="1"/>
  <c r="E21" i="9" s="1"/>
  <c r="E20" i="9" s="1"/>
  <c r="E19" i="9" s="1"/>
  <c r="H19" i="9"/>
  <c r="H20" i="9"/>
  <c r="H21" i="9"/>
  <c r="H22" i="9"/>
  <c r="H23" i="9"/>
  <c r="H24" i="9"/>
  <c r="H25" i="9"/>
  <c r="H26" i="9"/>
  <c r="F26" i="9" s="1"/>
  <c r="H27" i="9"/>
  <c r="H28" i="9"/>
  <c r="H29" i="9"/>
  <c r="H30" i="9"/>
  <c r="H31" i="9"/>
  <c r="H32" i="9"/>
  <c r="H33" i="9"/>
  <c r="H34" i="9"/>
  <c r="H35" i="9"/>
  <c r="H36" i="9"/>
  <c r="H37" i="9"/>
  <c r="I37" i="7"/>
  <c r="I30" i="7"/>
  <c r="I32" i="7"/>
  <c r="I38" i="7"/>
  <c r="I36" i="7"/>
  <c r="S33" i="7"/>
  <c r="I33" i="7"/>
  <c r="I34" i="7"/>
  <c r="I31" i="7"/>
  <c r="N3" i="10"/>
  <c r="N6" i="10"/>
  <c r="N5" i="10"/>
  <c r="N4" i="10"/>
  <c r="J3" i="10"/>
  <c r="J6" i="10"/>
  <c r="J5" i="10"/>
  <c r="J4" i="10"/>
  <c r="S5" i="10"/>
  <c r="T5" i="10" s="1"/>
  <c r="S6" i="10"/>
  <c r="T6" i="10" s="1"/>
  <c r="S4" i="10"/>
  <c r="T4" i="10" s="1"/>
  <c r="S3" i="10"/>
  <c r="T3" i="10" s="1"/>
  <c r="S2" i="10"/>
  <c r="F3" i="10"/>
  <c r="F2" i="10"/>
  <c r="L31" i="10"/>
  <c r="H68" i="10"/>
  <c r="I68" i="10" s="1"/>
  <c r="I76" i="10"/>
  <c r="I75" i="10"/>
  <c r="I74" i="10"/>
  <c r="I73" i="10"/>
  <c r="I72" i="10"/>
  <c r="I71" i="10"/>
  <c r="H67" i="10"/>
  <c r="I67" i="10" s="1"/>
  <c r="H66" i="10"/>
  <c r="I66" i="10" s="1"/>
  <c r="I65" i="10"/>
  <c r="H56" i="10"/>
  <c r="I56" i="10" s="1"/>
  <c r="I64" i="10"/>
  <c r="I63" i="10"/>
  <c r="I62" i="10"/>
  <c r="I61" i="10"/>
  <c r="I60" i="10"/>
  <c r="I59" i="10"/>
  <c r="H57" i="10"/>
  <c r="I57" i="10" s="1"/>
  <c r="H55" i="10"/>
  <c r="I55" i="10" s="1"/>
  <c r="H54" i="10"/>
  <c r="I54" i="10" s="1"/>
  <c r="H53" i="10"/>
  <c r="I53" i="10" s="1"/>
  <c r="H44" i="10"/>
  <c r="I44" i="10" s="1"/>
  <c r="I52" i="10"/>
  <c r="I51" i="10"/>
  <c r="I50" i="10"/>
  <c r="I49" i="10"/>
  <c r="I48" i="10"/>
  <c r="I47" i="10"/>
  <c r="H45" i="10"/>
  <c r="I45" i="10" s="1"/>
  <c r="H43" i="10"/>
  <c r="I43" i="10" s="1"/>
  <c r="H42" i="10"/>
  <c r="I42" i="10" s="1"/>
  <c r="I37" i="10"/>
  <c r="I38" i="10"/>
  <c r="I39" i="10"/>
  <c r="I40" i="10"/>
  <c r="I41" i="10"/>
  <c r="I36" i="10"/>
  <c r="H32" i="10"/>
  <c r="I32" i="10" s="1"/>
  <c r="H34" i="10"/>
  <c r="I34" i="10" s="1"/>
  <c r="H33" i="10"/>
  <c r="I33" i="10" s="1"/>
  <c r="H31" i="10"/>
  <c r="I31" i="10" s="1"/>
  <c r="D6" i="8"/>
  <c r="B6" i="8"/>
  <c r="E61" i="9"/>
  <c r="E60" i="9" s="1"/>
  <c r="E59" i="9" s="1"/>
  <c r="E58" i="9" s="1"/>
  <c r="E57" i="9" s="1"/>
  <c r="E56" i="9" s="1"/>
  <c r="E55" i="9" s="1"/>
  <c r="E54" i="9" s="1"/>
  <c r="E53" i="9" s="1"/>
  <c r="E52" i="9" s="1"/>
  <c r="E51" i="9" s="1"/>
  <c r="E50" i="9" s="1"/>
  <c r="E49" i="9" s="1"/>
  <c r="E48" i="9" s="1"/>
  <c r="E47" i="9" s="1"/>
  <c r="E46" i="9" s="1"/>
  <c r="E45" i="9" s="1"/>
  <c r="E44" i="9" s="1"/>
  <c r="E43" i="9" s="1"/>
  <c r="E42" i="9" s="1"/>
  <c r="E41" i="9" s="1"/>
  <c r="E40" i="9" s="1"/>
  <c r="E39" i="9" s="1"/>
  <c r="E38" i="9" s="1"/>
  <c r="E37" i="9" s="1"/>
  <c r="E36" i="9" s="1"/>
  <c r="E35" i="9" s="1"/>
  <c r="E34" i="9" s="1"/>
  <c r="E33" i="9" s="1"/>
  <c r="E32" i="9" s="1"/>
  <c r="E31" i="9" s="1"/>
  <c r="E30" i="9" s="1"/>
  <c r="E29" i="9" s="1"/>
  <c r="E28" i="9" s="1"/>
  <c r="F61" i="9"/>
  <c r="F60" i="9" s="1"/>
  <c r="F59" i="9" s="1"/>
  <c r="F58" i="9" s="1"/>
  <c r="F57" i="9" s="1"/>
  <c r="F56" i="9" s="1"/>
  <c r="F55" i="9" s="1"/>
  <c r="F54" i="9" s="1"/>
  <c r="F53" i="9" s="1"/>
  <c r="F52" i="9" s="1"/>
  <c r="F51" i="9" s="1"/>
  <c r="F50" i="9" s="1"/>
  <c r="F49" i="9" s="1"/>
  <c r="F48" i="9" s="1"/>
  <c r="F47" i="9" s="1"/>
  <c r="F46" i="9" s="1"/>
  <c r="F45" i="9" s="1"/>
  <c r="F44" i="9" s="1"/>
  <c r="F43" i="9" s="1"/>
  <c r="F42" i="9" s="1"/>
  <c r="F41" i="9" s="1"/>
  <c r="F40" i="9" s="1"/>
  <c r="F39" i="9" s="1"/>
  <c r="F38" i="9" s="1"/>
  <c r="P84" i="7"/>
  <c r="P83" i="7"/>
  <c r="P82" i="7"/>
  <c r="P81" i="7"/>
  <c r="P80" i="7"/>
  <c r="P79" i="7"/>
  <c r="P78" i="7"/>
  <c r="P77" i="7"/>
  <c r="P71" i="7"/>
  <c r="P70" i="7"/>
  <c r="R40" i="7"/>
  <c r="R39" i="7"/>
  <c r="R37" i="7"/>
  <c r="R38" i="7"/>
  <c r="S35" i="7"/>
  <c r="H35" i="7"/>
  <c r="J35" i="7" s="1"/>
  <c r="P35" i="7" s="1"/>
  <c r="S34" i="7"/>
  <c r="H34" i="7"/>
  <c r="H33" i="7"/>
  <c r="S32" i="7"/>
  <c r="H32" i="7"/>
  <c r="S31" i="7"/>
  <c r="H31" i="7"/>
  <c r="H30" i="7"/>
  <c r="I29" i="7"/>
  <c r="H29" i="7"/>
  <c r="I28" i="7"/>
  <c r="H28" i="7"/>
  <c r="I18" i="9"/>
  <c r="I27" i="7"/>
  <c r="H27" i="7"/>
  <c r="N18" i="9" s="1"/>
  <c r="I26" i="7"/>
  <c r="H26" i="7"/>
  <c r="H6" i="7"/>
  <c r="I6" i="7" s="1"/>
  <c r="R72" i="7" l="1"/>
  <c r="I17" i="9"/>
  <c r="K22" i="7"/>
  <c r="K20" i="7"/>
  <c r="K18" i="7"/>
  <c r="J24" i="7"/>
  <c r="K24" i="7" s="1"/>
  <c r="J23" i="7"/>
  <c r="K23" i="7" s="1"/>
  <c r="J21" i="7"/>
  <c r="K21" i="7" s="1"/>
  <c r="J19" i="7"/>
  <c r="K19" i="7" s="1"/>
  <c r="J75" i="7"/>
  <c r="K75" i="7" s="1"/>
  <c r="J74" i="7"/>
  <c r="K74" i="7" s="1"/>
  <c r="I16" i="7"/>
  <c r="J16" i="7" s="1"/>
  <c r="K16" i="7" s="1"/>
  <c r="J73" i="7"/>
  <c r="K73" i="7" s="1"/>
  <c r="J11" i="7"/>
  <c r="K11" i="7" s="1"/>
  <c r="J10" i="7"/>
  <c r="K10" i="7" s="1"/>
  <c r="I17" i="7"/>
  <c r="J17" i="7" s="1"/>
  <c r="K17" i="7" s="1"/>
  <c r="I7" i="7"/>
  <c r="J15" i="7"/>
  <c r="K15" i="7" s="1"/>
  <c r="J14" i="7"/>
  <c r="K14" i="7" s="1"/>
  <c r="F6" i="14" s="1"/>
  <c r="J9" i="7"/>
  <c r="K9" i="7" s="1"/>
  <c r="J12" i="7"/>
  <c r="K12" i="7" s="1"/>
  <c r="J13" i="7"/>
  <c r="K13" i="7" s="1"/>
  <c r="J8" i="7"/>
  <c r="K8" i="7" s="1"/>
  <c r="C15" i="14"/>
  <c r="C14" i="14"/>
  <c r="C16" i="14"/>
  <c r="J25" i="7"/>
  <c r="P25" i="7" s="1"/>
  <c r="O3" i="7"/>
  <c r="O2" i="7"/>
  <c r="H63" i="7"/>
  <c r="S63" i="7"/>
  <c r="R63" i="7"/>
  <c r="H64" i="7"/>
  <c r="S64" i="7"/>
  <c r="R64" i="7"/>
  <c r="R67" i="7"/>
  <c r="H67" i="7"/>
  <c r="H68" i="7"/>
  <c r="R68" i="7"/>
  <c r="T58" i="7"/>
  <c r="I58" i="7"/>
  <c r="J58" i="7"/>
  <c r="P58" i="7" s="1"/>
  <c r="I59" i="7"/>
  <c r="J59" i="7"/>
  <c r="P59" i="7" s="1"/>
  <c r="H66" i="7"/>
  <c r="R66" i="7"/>
  <c r="H65" i="7"/>
  <c r="R65" i="7"/>
  <c r="AE28" i="10"/>
  <c r="J76" i="7"/>
  <c r="P76" i="7" s="1"/>
  <c r="H60" i="7"/>
  <c r="I60" i="7" s="1"/>
  <c r="G16" i="9"/>
  <c r="N17" i="9"/>
  <c r="P17" i="9" s="1"/>
  <c r="L17" i="9"/>
  <c r="J17" i="9" s="1"/>
  <c r="I16" i="9"/>
  <c r="I56" i="7"/>
  <c r="K56" i="7" s="1"/>
  <c r="E18" i="9"/>
  <c r="E17" i="9" s="1"/>
  <c r="L16" i="9"/>
  <c r="P18" i="9"/>
  <c r="C23" i="14"/>
  <c r="C22" i="14"/>
  <c r="C21" i="14"/>
  <c r="C20" i="14"/>
  <c r="C27" i="14"/>
  <c r="C19" i="14"/>
  <c r="C26" i="14"/>
  <c r="C18" i="14"/>
  <c r="C25" i="14"/>
  <c r="C17" i="14"/>
  <c r="C24" i="14"/>
  <c r="B23" i="8"/>
  <c r="D10" i="8" s="1"/>
  <c r="AE25" i="10"/>
  <c r="AR28" i="10"/>
  <c r="AU28" i="10" s="1"/>
  <c r="AR25" i="10"/>
  <c r="AU25" i="10" s="1"/>
  <c r="AU29" i="10" s="1"/>
  <c r="AA76" i="7"/>
  <c r="AG27" i="10"/>
  <c r="AJ27" i="10" s="1"/>
  <c r="AR27" i="10"/>
  <c r="AU27" i="10" s="1"/>
  <c r="AR24" i="10"/>
  <c r="AU24" i="10" s="1"/>
  <c r="R76" i="7"/>
  <c r="S76" i="7"/>
  <c r="H55" i="7"/>
  <c r="I55" i="7" s="1"/>
  <c r="R55" i="7"/>
  <c r="R60" i="7"/>
  <c r="AG25" i="10"/>
  <c r="AJ25" i="10" s="1"/>
  <c r="AG28" i="10"/>
  <c r="AJ28" i="10" s="1"/>
  <c r="AG24" i="10"/>
  <c r="AJ24" i="10" s="1"/>
  <c r="AR5" i="10"/>
  <c r="AU5" i="10" s="1"/>
  <c r="AR17" i="10"/>
  <c r="AU17" i="10" s="1"/>
  <c r="AR6" i="10"/>
  <c r="AU6" i="10" s="1"/>
  <c r="AR19" i="10"/>
  <c r="AU19" i="10" s="1"/>
  <c r="AR7" i="10"/>
  <c r="AU7" i="10" s="1"/>
  <c r="AR15" i="10"/>
  <c r="AU15" i="10" s="1"/>
  <c r="AR13" i="10"/>
  <c r="AU13" i="10" s="1"/>
  <c r="AR9" i="10"/>
  <c r="AR16" i="10"/>
  <c r="AU16" i="10" s="1"/>
  <c r="AR3" i="10"/>
  <c r="AU3" i="10" s="1"/>
  <c r="AG15" i="10"/>
  <c r="AJ15" i="10" s="1"/>
  <c r="AG17" i="10"/>
  <c r="AJ17" i="10" s="1"/>
  <c r="AG9" i="10"/>
  <c r="AJ9" i="10" s="1"/>
  <c r="AG7" i="10"/>
  <c r="AJ7" i="10" s="1"/>
  <c r="AG16" i="10"/>
  <c r="AJ16" i="10" s="1"/>
  <c r="AG19" i="10"/>
  <c r="AJ19" i="10" s="1"/>
  <c r="AG5" i="10"/>
  <c r="AJ5" i="10" s="1"/>
  <c r="AG6" i="10"/>
  <c r="AJ6" i="10" s="1"/>
  <c r="AJ13" i="10"/>
  <c r="F4" i="10"/>
  <c r="G4" i="10" s="1"/>
  <c r="N2" i="10" s="1"/>
  <c r="O5" i="10" s="1"/>
  <c r="AG3" i="10"/>
  <c r="S49" i="7"/>
  <c r="R49" i="7"/>
  <c r="H49" i="7"/>
  <c r="I49" i="7" s="1"/>
  <c r="H48" i="7"/>
  <c r="I48" i="7" s="1"/>
  <c r="R48" i="7"/>
  <c r="H51" i="7"/>
  <c r="I51" i="7" s="1"/>
  <c r="R51" i="7"/>
  <c r="S50" i="7"/>
  <c r="R50" i="7"/>
  <c r="H50" i="7"/>
  <c r="I50" i="7" s="1"/>
  <c r="H5" i="12"/>
  <c r="H4" i="12"/>
  <c r="D8" i="12"/>
  <c r="H7" i="12"/>
  <c r="G8" i="12"/>
  <c r="G10" i="12" s="1"/>
  <c r="H10" i="12" s="1"/>
  <c r="H52" i="7"/>
  <c r="I52" i="7" s="1"/>
  <c r="S52" i="7"/>
  <c r="R52" i="7"/>
  <c r="H47" i="7"/>
  <c r="I47" i="7" s="1"/>
  <c r="R47" i="7"/>
  <c r="S46" i="7"/>
  <c r="R46" i="7"/>
  <c r="H46" i="7"/>
  <c r="I46" i="7" s="1"/>
  <c r="J44" i="7"/>
  <c r="P44" i="7" s="1"/>
  <c r="S43" i="7"/>
  <c r="H43" i="7"/>
  <c r="I43" i="7" s="1"/>
  <c r="R43" i="7"/>
  <c r="S42" i="7"/>
  <c r="R42" i="7"/>
  <c r="H42" i="7"/>
  <c r="I42" i="7" s="1"/>
  <c r="S41" i="7"/>
  <c r="R41" i="7"/>
  <c r="H41" i="7"/>
  <c r="I41" i="7" s="1"/>
  <c r="J32" i="7"/>
  <c r="P32" i="7" s="1"/>
  <c r="J31" i="7"/>
  <c r="P31" i="7" s="1"/>
  <c r="S53" i="7"/>
  <c r="R53" i="7"/>
  <c r="H53" i="7"/>
  <c r="I53" i="7" s="1"/>
  <c r="S45" i="7"/>
  <c r="R45" i="7"/>
  <c r="S57" i="7"/>
  <c r="R57" i="7"/>
  <c r="F25" i="9"/>
  <c r="F24" i="9" s="1"/>
  <c r="F23" i="9" s="1"/>
  <c r="F22" i="9" s="1"/>
  <c r="F21" i="9" s="1"/>
  <c r="F20" i="9" s="1"/>
  <c r="F19" i="9" s="1"/>
  <c r="J34" i="7"/>
  <c r="F37" i="9"/>
  <c r="F36" i="9" s="1"/>
  <c r="F35" i="9" s="1"/>
  <c r="F34" i="9" s="1"/>
  <c r="F33" i="9" s="1"/>
  <c r="F32" i="9" s="1"/>
  <c r="F31" i="9" s="1"/>
  <c r="F30" i="9" s="1"/>
  <c r="F29" i="9" s="1"/>
  <c r="F28" i="9" s="1"/>
  <c r="J33" i="7"/>
  <c r="P33" i="7" s="1"/>
  <c r="J26" i="7"/>
  <c r="P26" i="7" s="1"/>
  <c r="S54" i="7"/>
  <c r="R54" i="7"/>
  <c r="K35" i="7"/>
  <c r="J28" i="7"/>
  <c r="P28" i="7" s="1"/>
  <c r="S36" i="7"/>
  <c r="R36" i="7"/>
  <c r="H36" i="7"/>
  <c r="J36" i="7" s="1"/>
  <c r="S37" i="7"/>
  <c r="H37" i="7"/>
  <c r="J37" i="7" s="1"/>
  <c r="H72" i="7"/>
  <c r="S72" i="7"/>
  <c r="S39" i="7"/>
  <c r="H39" i="7"/>
  <c r="S40" i="7"/>
  <c r="H38" i="7"/>
  <c r="J38" i="7" s="1"/>
  <c r="S38" i="7"/>
  <c r="J30" i="7"/>
  <c r="P30" i="7" s="1"/>
  <c r="J6" i="7"/>
  <c r="P6" i="7" s="1"/>
  <c r="J29" i="7"/>
  <c r="P29" i="7" s="1"/>
  <c r="J27" i="7"/>
  <c r="M18" i="9" s="1"/>
  <c r="F3" i="14" l="1"/>
  <c r="J7" i="7"/>
  <c r="K7" i="7" s="1"/>
  <c r="F2" i="14" s="1"/>
  <c r="K25" i="7"/>
  <c r="H16" i="9"/>
  <c r="H17" i="9"/>
  <c r="H18" i="9"/>
  <c r="F18" i="9" s="1"/>
  <c r="P3" i="7"/>
  <c r="AA63" i="7"/>
  <c r="J63" i="7"/>
  <c r="I63" i="7"/>
  <c r="M16" i="9"/>
  <c r="M17" i="9"/>
  <c r="AA64" i="7"/>
  <c r="J64" i="7"/>
  <c r="P64" i="7" s="1"/>
  <c r="I64" i="7"/>
  <c r="K76" i="7"/>
  <c r="AA68" i="7"/>
  <c r="J68" i="7"/>
  <c r="P68" i="7" s="1"/>
  <c r="I68" i="7"/>
  <c r="AA67" i="7"/>
  <c r="J67" i="7"/>
  <c r="P67" i="7" s="1"/>
  <c r="I67" i="7"/>
  <c r="K58" i="7"/>
  <c r="K59" i="7"/>
  <c r="AA66" i="7"/>
  <c r="J66" i="7"/>
  <c r="P66" i="7" s="1"/>
  <c r="I66" i="7"/>
  <c r="AA65" i="7"/>
  <c r="J65" i="7"/>
  <c r="P65" i="7" s="1"/>
  <c r="I65" i="7"/>
  <c r="E16" i="9"/>
  <c r="J16" i="9"/>
  <c r="P27" i="7"/>
  <c r="K18" i="9"/>
  <c r="N15" i="9"/>
  <c r="I39" i="7"/>
  <c r="I15" i="9"/>
  <c r="N16" i="9"/>
  <c r="P16" i="9" s="1"/>
  <c r="I14" i="9"/>
  <c r="N14" i="9"/>
  <c r="R3" i="7"/>
  <c r="AJ29" i="10"/>
  <c r="B11" i="10" s="1"/>
  <c r="R4" i="7"/>
  <c r="J52" i="7"/>
  <c r="J55" i="7"/>
  <c r="J60" i="7"/>
  <c r="AU20" i="10"/>
  <c r="AJ3" i="10"/>
  <c r="AU9" i="10"/>
  <c r="AU10" i="10" s="1"/>
  <c r="O3" i="10"/>
  <c r="O6" i="10"/>
  <c r="AJ10" i="10"/>
  <c r="AJ20" i="10"/>
  <c r="O4" i="10"/>
  <c r="J2" i="10"/>
  <c r="K5" i="10" s="1"/>
  <c r="J49" i="7"/>
  <c r="J48" i="7"/>
  <c r="J51" i="7"/>
  <c r="P51" i="7" s="1"/>
  <c r="J50" i="7"/>
  <c r="H8" i="12"/>
  <c r="M8" i="12"/>
  <c r="N8" i="12" s="1"/>
  <c r="O8" i="12" s="1"/>
  <c r="P8" i="12" s="1"/>
  <c r="Q8" i="12" s="1"/>
  <c r="R8" i="12" s="1"/>
  <c r="S8" i="12" s="1"/>
  <c r="K44" i="7"/>
  <c r="J47" i="7"/>
  <c r="J46" i="7"/>
  <c r="J43" i="7"/>
  <c r="J42" i="7"/>
  <c r="K32" i="7"/>
  <c r="J41" i="7"/>
  <c r="K33" i="7"/>
  <c r="J53" i="7"/>
  <c r="J45" i="7"/>
  <c r="J57" i="7"/>
  <c r="K34" i="7"/>
  <c r="P34" i="7"/>
  <c r="K26" i="7"/>
  <c r="J54" i="7"/>
  <c r="G15" i="9" s="1"/>
  <c r="K30" i="7"/>
  <c r="K28" i="7"/>
  <c r="K29" i="7"/>
  <c r="K27" i="7"/>
  <c r="J40" i="7"/>
  <c r="K31" i="7"/>
  <c r="K6" i="7"/>
  <c r="J72" i="7"/>
  <c r="J39" i="7"/>
  <c r="M15" i="9" l="1"/>
  <c r="F10" i="14"/>
  <c r="K63" i="7"/>
  <c r="H14" i="9"/>
  <c r="K64" i="7"/>
  <c r="G14" i="9"/>
  <c r="P63" i="7"/>
  <c r="H15" i="9"/>
  <c r="F11" i="14"/>
  <c r="K68" i="7"/>
  <c r="K66" i="7"/>
  <c r="F9" i="14"/>
  <c r="K67" i="7"/>
  <c r="K65" i="7"/>
  <c r="B24" i="10"/>
  <c r="E24" i="10" s="1"/>
  <c r="F11" i="10"/>
  <c r="F24" i="10" s="1"/>
  <c r="K3" i="10"/>
  <c r="E15" i="9"/>
  <c r="L14" i="9"/>
  <c r="K52" i="7"/>
  <c r="K17" i="9"/>
  <c r="K16" i="9" s="1"/>
  <c r="P15" i="9"/>
  <c r="P52" i="7"/>
  <c r="L15" i="9"/>
  <c r="J15" i="9" s="1"/>
  <c r="M14" i="9"/>
  <c r="F17" i="9"/>
  <c r="F16" i="9" s="1"/>
  <c r="K57" i="7"/>
  <c r="P57" i="7"/>
  <c r="K60" i="7"/>
  <c r="P60" i="7"/>
  <c r="K72" i="7"/>
  <c r="P72" i="7"/>
  <c r="K55" i="7"/>
  <c r="P55" i="7"/>
  <c r="K54" i="7"/>
  <c r="P54" i="7"/>
  <c r="K53" i="7"/>
  <c r="P53" i="7"/>
  <c r="K4" i="10"/>
  <c r="K6" i="10"/>
  <c r="K51" i="7"/>
  <c r="K50" i="7"/>
  <c r="P50" i="7"/>
  <c r="K48" i="7"/>
  <c r="P48" i="7"/>
  <c r="K49" i="7"/>
  <c r="P49" i="7"/>
  <c r="K46" i="7"/>
  <c r="P46" i="7"/>
  <c r="K47" i="7"/>
  <c r="P47" i="7"/>
  <c r="K45" i="7"/>
  <c r="P45" i="7"/>
  <c r="K42" i="7"/>
  <c r="P42" i="7"/>
  <c r="K43" i="7"/>
  <c r="P43" i="7"/>
  <c r="K41" i="7"/>
  <c r="P41" i="7"/>
  <c r="K40" i="7"/>
  <c r="P40" i="7"/>
  <c r="K39" i="7"/>
  <c r="P39" i="7"/>
  <c r="K36" i="7"/>
  <c r="P36" i="7"/>
  <c r="K37" i="7"/>
  <c r="P37" i="7"/>
  <c r="K38" i="7"/>
  <c r="P38" i="7"/>
  <c r="F12" i="14" l="1"/>
  <c r="F13" i="14"/>
  <c r="E14" i="9"/>
  <c r="E13" i="9" s="1"/>
  <c r="E12" i="9" s="1"/>
  <c r="E11" i="9" s="1"/>
  <c r="E10" i="9" s="1"/>
  <c r="E9" i="9" s="1"/>
  <c r="E8" i="9" s="1"/>
  <c r="E7" i="9" s="1"/>
  <c r="E6" i="9" s="1"/>
  <c r="E5" i="9" s="1"/>
  <c r="E4" i="9" s="1"/>
  <c r="E3" i="9" s="1"/>
  <c r="J14" i="9"/>
  <c r="J13" i="9" s="1"/>
  <c r="J12" i="9" s="1"/>
  <c r="J11" i="9" s="1"/>
  <c r="J10" i="9" s="1"/>
  <c r="J9" i="9" s="1"/>
  <c r="J8" i="9" s="1"/>
  <c r="J7" i="9" s="1"/>
  <c r="J6" i="9" s="1"/>
  <c r="J5" i="9" s="1"/>
  <c r="J4" i="9" s="1"/>
  <c r="J3" i="9" s="1"/>
  <c r="K15" i="9"/>
  <c r="K14" i="9" s="1"/>
  <c r="K13" i="9" s="1"/>
  <c r="K12" i="9" s="1"/>
  <c r="K11" i="9" s="1"/>
  <c r="K10" i="9" s="1"/>
  <c r="K9" i="9" s="1"/>
  <c r="K8" i="9" s="1"/>
  <c r="K7" i="9" s="1"/>
  <c r="K6" i="9" s="1"/>
  <c r="K5" i="9" s="1"/>
  <c r="K4" i="9" s="1"/>
  <c r="K3" i="9" s="1"/>
  <c r="F14" i="14"/>
  <c r="K2" i="7"/>
  <c r="F15" i="9"/>
  <c r="F14" i="9" s="1"/>
  <c r="F13" i="9" s="1"/>
  <c r="F12" i="9" s="1"/>
  <c r="F11" i="9" s="1"/>
  <c r="F10" i="9" s="1"/>
  <c r="F9" i="9" s="1"/>
  <c r="F8" i="9" s="1"/>
  <c r="F7" i="9" s="1"/>
  <c r="F6" i="9" s="1"/>
  <c r="F5" i="9" s="1"/>
  <c r="F4" i="9" s="1"/>
  <c r="F3" i="9" s="1"/>
  <c r="L2" i="7"/>
  <c r="K3" i="7"/>
  <c r="L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Vinicius</author>
  </authors>
  <commentList>
    <comment ref="A2" authorId="0" shapeId="0" xr:uid="{98BCD0A0-07E4-454F-A633-9C9E28FB2054}">
      <text>
        <r>
          <rPr>
            <b/>
            <sz val="9"/>
            <color indexed="81"/>
            <rFont val="Segoe UI"/>
            <family val="2"/>
          </rPr>
          <t>CPF: 377 013 127 -49
DT NASC: 28/08/56
COD: 6015
TEL: 27 992326889</t>
        </r>
      </text>
    </comment>
    <comment ref="A3" authorId="0" shapeId="0" xr:uid="{2C1F07BD-E835-48FD-82CD-14C2A2D890A9}">
      <text>
        <r>
          <rPr>
            <b/>
            <sz val="9"/>
            <color indexed="81"/>
            <rFont val="Segoe UI"/>
            <family val="2"/>
          </rPr>
          <t>CPF: 106 638 287 -59
DT NASC: 12/10/85
COD: 6015
TEL: 27 996156844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Vinicius</author>
  </authors>
  <commentList>
    <comment ref="E27" authorId="0" shapeId="0" xr:uid="{00000000-0006-0000-0100-000001000000}">
      <text>
        <r>
          <rPr>
            <b/>
            <sz val="9"/>
            <rFont val="Segoe UI"/>
            <family val="2"/>
          </rPr>
          <t xml:space="preserve">Vinicius: editada conforme resultado IR 2022
</t>
        </r>
        <r>
          <rPr>
            <sz val="9"/>
            <rFont val="Segoe UI"/>
            <family val="2"/>
          </rPr>
          <t xml:space="preserv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<sst xmlns="http://schemas.openxmlformats.org/spreadsheetml/2006/main" count="1400" uniqueCount="200">
  <si>
    <t>person</t>
  </si>
  <si>
    <t>tick</t>
  </si>
  <si>
    <t>p.close</t>
  </si>
  <si>
    <t>PM</t>
  </si>
  <si>
    <t>qt</t>
  </si>
  <si>
    <t>g.bruto</t>
  </si>
  <si>
    <t>ir</t>
  </si>
  <si>
    <t>dt close</t>
  </si>
  <si>
    <t>P.Apuração</t>
  </si>
  <si>
    <t>Vl. Principal</t>
  </si>
  <si>
    <t>Pg</t>
  </si>
  <si>
    <t>Eliana</t>
  </si>
  <si>
    <t>e</t>
  </si>
  <si>
    <t>ago</t>
  </si>
  <si>
    <t>pg</t>
  </si>
  <si>
    <t>set</t>
  </si>
  <si>
    <t>v</t>
  </si>
  <si>
    <t>out</t>
  </si>
  <si>
    <t>nov</t>
  </si>
  <si>
    <t>jan</t>
  </si>
  <si>
    <t>mar</t>
  </si>
  <si>
    <t>swing</t>
  </si>
  <si>
    <t>day</t>
  </si>
  <si>
    <t>dez</t>
  </si>
  <si>
    <t>jul</t>
  </si>
  <si>
    <t>jun</t>
  </si>
  <si>
    <t>mai</t>
  </si>
  <si>
    <t>abr</t>
  </si>
  <si>
    <t>fev</t>
  </si>
  <si>
    <t>Regina</t>
  </si>
  <si>
    <t>ITBI</t>
  </si>
  <si>
    <t>Prefeitura</t>
  </si>
  <si>
    <t>Registro</t>
  </si>
  <si>
    <t>Pts</t>
  </si>
  <si>
    <t>L</t>
  </si>
  <si>
    <t>A</t>
  </si>
  <si>
    <t>m²</t>
  </si>
  <si>
    <t>Preço</t>
  </si>
  <si>
    <t>Branco</t>
  </si>
  <si>
    <t>maximus lux bianco</t>
  </si>
  <si>
    <t>Porcelanato</t>
  </si>
  <si>
    <t>palazzo ducale acet</t>
  </si>
  <si>
    <t>p/m²</t>
  </si>
  <si>
    <t>ripado natual</t>
  </si>
  <si>
    <t>cristal bianco</t>
  </si>
  <si>
    <t>PS</t>
  </si>
  <si>
    <t>CS</t>
  </si>
  <si>
    <t>Sanitário</t>
  </si>
  <si>
    <t>docol</t>
  </si>
  <si>
    <t>Espelho</t>
  </si>
  <si>
    <t>Cuba</t>
  </si>
  <si>
    <t>Chuveiro</t>
  </si>
  <si>
    <t>Torneira</t>
  </si>
  <si>
    <t>Ducha</t>
  </si>
  <si>
    <t>DALLA B</t>
  </si>
  <si>
    <t>calcata altissima</t>
  </si>
  <si>
    <t>VIMERCATTI</t>
  </si>
  <si>
    <t>piso</t>
  </si>
  <si>
    <t>rede</t>
  </si>
  <si>
    <t>conferir se tem fundo vermelho</t>
  </si>
  <si>
    <t>castrel tasso acet</t>
  </si>
  <si>
    <t>Qt</t>
  </si>
  <si>
    <t>*****</t>
  </si>
  <si>
    <t>opera covelano portinare</t>
  </si>
  <si>
    <t>LEROY</t>
  </si>
  <si>
    <t>Nicho</t>
  </si>
  <si>
    <t>pronto e da cor do ripado</t>
  </si>
  <si>
    <t>calcata oro</t>
  </si>
  <si>
    <t>onix acet</t>
  </si>
  <si>
    <t>Material</t>
  </si>
  <si>
    <t>Loja</t>
  </si>
  <si>
    <t>descrição</t>
  </si>
  <si>
    <t>BS</t>
  </si>
  <si>
    <t>BC</t>
  </si>
  <si>
    <t>PAREDE</t>
  </si>
  <si>
    <t>CHÃO</t>
  </si>
  <si>
    <t xml:space="preserve">** ESCOLHER 1 ITEM DE CADA LOJA E MANTER </t>
  </si>
  <si>
    <t>PAREDE M</t>
  </si>
  <si>
    <t>PAREDE S</t>
  </si>
  <si>
    <t>Banco do Brasil.</t>
  </si>
  <si>
    <t>Agência: 4232-3</t>
  </si>
  <si>
    <t>Conta corrente: 35304-3</t>
  </si>
  <si>
    <t>Oficial e Tabeliã: Najla Aparecida Assad de Morais</t>
  </si>
  <si>
    <t>CPF: 079.233.306-38</t>
  </si>
  <si>
    <t>PIX: 27 992962262</t>
  </si>
  <si>
    <t>BOLETO</t>
  </si>
  <si>
    <t>Titular Registro de Imóveis</t>
  </si>
  <si>
    <t>Renata Cristina de Oliveira Santos Aoki</t>
  </si>
  <si>
    <t>PIX- CPF: 337.597.808-14</t>
  </si>
  <si>
    <t>Conta  para depósito:</t>
  </si>
  <si>
    <t>Banco SICOOB: Código 756</t>
  </si>
  <si>
    <t>Agencia: 3008</t>
  </si>
  <si>
    <t>Conta corrente: 121.331-8</t>
  </si>
  <si>
    <t>Detetive</t>
  </si>
  <si>
    <t>lren3</t>
  </si>
  <si>
    <t>goll4</t>
  </si>
  <si>
    <t>abev3</t>
  </si>
  <si>
    <t>vamo3</t>
  </si>
  <si>
    <t>prio3</t>
  </si>
  <si>
    <t>petz3</t>
  </si>
  <si>
    <t>rrrp3</t>
  </si>
  <si>
    <t>dt venc</t>
  </si>
  <si>
    <t>div</t>
  </si>
  <si>
    <t>regularização via direta</t>
  </si>
  <si>
    <t>processo ação adjudicação compulsória</t>
  </si>
  <si>
    <t>registro</t>
  </si>
  <si>
    <t>victor(tayrla)</t>
  </si>
  <si>
    <t>ir set</t>
  </si>
  <si>
    <t>escritura ap serra</t>
  </si>
  <si>
    <t>Escritura (cat notas) ap bv2</t>
  </si>
  <si>
    <t>escritura diferença ap bv2</t>
  </si>
  <si>
    <t>itbi ap bv2</t>
  </si>
  <si>
    <t>lwsa3</t>
  </si>
  <si>
    <t>cancelamento da hipotéca</t>
  </si>
  <si>
    <t xml:space="preserve"> Devolução == 16/12/2023</t>
  </si>
  <si>
    <t xml:space="preserve"> Devolução == </t>
  </si>
  <si>
    <t>SALDO</t>
  </si>
  <si>
    <t>Valores Recebidos =</t>
  </si>
  <si>
    <t>Valores Totais de Custo =</t>
  </si>
  <si>
    <t>p</t>
  </si>
  <si>
    <t>l</t>
  </si>
  <si>
    <t>sus</t>
  </si>
  <si>
    <t>ebser</t>
  </si>
  <si>
    <t>esp</t>
  </si>
  <si>
    <t>Acertos</t>
  </si>
  <si>
    <t>titulos</t>
  </si>
  <si>
    <t>média</t>
  </si>
  <si>
    <t>13pts</t>
  </si>
  <si>
    <t>FGTS</t>
  </si>
  <si>
    <t>PETROS</t>
  </si>
  <si>
    <t>centro</t>
  </si>
  <si>
    <t>próx barba ruiva</t>
  </si>
  <si>
    <t>R VAR</t>
  </si>
  <si>
    <t>casa DM</t>
  </si>
  <si>
    <t>pts+ títulos</t>
  </si>
  <si>
    <t>ripado natural</t>
  </si>
  <si>
    <t>Parede ao fundo do box e lavabo 0,77 + 0,83</t>
  </si>
  <si>
    <t>Parede a esquerda do lavabo + box (se puder molhar)</t>
  </si>
  <si>
    <t>sobra</t>
  </si>
  <si>
    <t>Calacata Altissimo Satin</t>
  </si>
  <si>
    <t>Acetinado</t>
  </si>
  <si>
    <t>Piso por inteiro</t>
  </si>
  <si>
    <t>Paredes</t>
  </si>
  <si>
    <t xml:space="preserve">Em pé </t>
  </si>
  <si>
    <t>Ripado natural</t>
  </si>
  <si>
    <t>2 x 0,6</t>
  </si>
  <si>
    <t>Suite</t>
  </si>
  <si>
    <t>Social</t>
  </si>
  <si>
    <t>https://www.leroymerlin.com.br/porcelanato-pedra-acetinado-borda-reta-externo-60x60cm-pietra-di-vesale-biancogres_91844564</t>
  </si>
  <si>
    <t>Pietra Vsesale</t>
  </si>
  <si>
    <t>PISOS</t>
  </si>
  <si>
    <t>NICHO</t>
  </si>
  <si>
    <t>CUBA</t>
  </si>
  <si>
    <t>BASE MARMORE</t>
  </si>
  <si>
    <t>TORNEIRA</t>
  </si>
  <si>
    <t>DUCHA</t>
  </si>
  <si>
    <t>SANITÁRIO</t>
  </si>
  <si>
    <t>CHUVEIRO</t>
  </si>
  <si>
    <t>ESPELHO</t>
  </si>
  <si>
    <t>ELIANA</t>
  </si>
  <si>
    <t>VINICIUS</t>
  </si>
  <si>
    <t>mediana</t>
  </si>
  <si>
    <t>P.médio</t>
  </si>
  <si>
    <t>% parcial</t>
  </si>
  <si>
    <t>v parcial</t>
  </si>
  <si>
    <t>Novo PM</t>
  </si>
  <si>
    <t>w</t>
  </si>
  <si>
    <t>f</t>
  </si>
  <si>
    <t>passagem</t>
  </si>
  <si>
    <t>REAL</t>
  </si>
  <si>
    <t>IR variável dez</t>
  </si>
  <si>
    <t>ANO</t>
  </si>
  <si>
    <t>MÊS</t>
  </si>
  <si>
    <t>Preço_imovel</t>
  </si>
  <si>
    <t>Meta</t>
  </si>
  <si>
    <t>Realizado</t>
  </si>
  <si>
    <t>Aluguel_pg</t>
  </si>
  <si>
    <t>dt imp</t>
  </si>
  <si>
    <t>L.bruto</t>
  </si>
  <si>
    <t>d/s</t>
  </si>
  <si>
    <t>c</t>
  </si>
  <si>
    <t>ajuda jan24</t>
  </si>
  <si>
    <t>GESSO-DRYWALL</t>
  </si>
  <si>
    <t>LAVABO +PEDRA BOX</t>
  </si>
  <si>
    <t>CAÇAMBA</t>
  </si>
  <si>
    <t>soma3</t>
  </si>
  <si>
    <t>ambp3</t>
  </si>
  <si>
    <t>sanb4</t>
  </si>
  <si>
    <t>cash3</t>
  </si>
  <si>
    <t>itsa4</t>
  </si>
  <si>
    <t>BUY</t>
  </si>
  <si>
    <t>SELL</t>
  </si>
  <si>
    <t>clsa3</t>
  </si>
  <si>
    <t>petr4</t>
  </si>
  <si>
    <t>bbdc3</t>
  </si>
  <si>
    <t>posi3</t>
  </si>
  <si>
    <t>mglu3</t>
  </si>
  <si>
    <t>usim5</t>
  </si>
  <si>
    <t>oibr3</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</si>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</sst>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4" formatCode="_-&quot;R$&quot;\ * #,##0.00_-;\-&quot;R$&quot;\ * #,##0.00_-;_-&quot;R$&quot;\ * &quot;-&quot;??_-;_-@_-"/>
    <numFmt numFmtId="43" formatCode="_-* #,##0.00_-;\-* #,##0.00_-;_-* &quot;-&quot;??_-;_-@_-"/>
    <numFmt numFmtId="164" formatCode="_-* #,##0.00_-;\-* #,##0.00_-;_-* &quot;-&quot;??.0_-;_-@_-"/>
    <numFmt numFmtId="165" formatCode="_-[$R$-416]\ * #,##0.00_-;\-[$R$-416]\ * #,##0.00_-;_-[$R$-416]\ * &quot;-&quot;??_-;_-@_-"/>
    <numFmt numFmtId="166" formatCode="_-[$R$-416]\ * #,##0_-;\-[$R$-416]\ * #,##0_-;_-[$R$-416]\ * &quot;-&quot;??_-;_-@_-"/>
    <numFmt numFmtId="167" formatCode="d/m;@"/>
    <numFmt numFmtId="168" formatCode="[$-416]mmm\-yy;@"/>
    <numFmt numFmtId="169" formatCode="0.000"/>
    <numFmt numFmtId="170" formatCode="0.0"/>
    <numFmt numFmtId="171" formatCode="_-&quot;R$&quot;\ * #,##0_-;\-&quot;R$&quot;\ * #,##0_-;_-&quot;R$&quot;\ * &quot;-&quot;??_-;_-@_-"/>
    <numFmt numFmtId="172" formatCode="0.000%"/>
    <numFmt numFmtId="173" formatCode="_-* #,##0_-;\-* #,##0_-;_-* &quot;-&quot;??_-;_-@_-"/>
  </numFmts>
  <fonts count="5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Calibri"/>
      <family val="2"/>
      <scheme val="minor"/>
    </font>
    <font>
      <b/>
      <sz val="11"/>
      <color theme="1"/>
      <name val="Calibri"/>
      <family val="2"/>
      <scheme val="minor"/>
    </font>
    <font>
      <b/>
      <sz val="12"/>
      <color theme="4"/>
      <name val="Calibri"/>
      <family val="2"/>
      <scheme val="minor"/>
    </font>
    <font>
      <b/>
      <sz val="8"/>
      <color rgb="FFFF0000"/>
      <name val="Calibri"/>
      <family val="2"/>
      <scheme val="minor"/>
    </font>
    <font>
      <sz val="11"/>
      <color theme="0" tint="-0.14996795556505021"/>
      <name val="Calibri"/>
      <family val="2"/>
      <scheme val="minor"/>
    </font>
    <font>
      <b/>
      <sz val="8"/>
      <color theme="0" tint="-0.14996795556505021"/>
      <name val="Calibri"/>
      <family val="2"/>
      <scheme val="minor"/>
    </font>
    <font>
      <sz val="8"/>
      <color theme="0" tint="-0.14996795556505021"/>
      <name val="Calibri"/>
      <family val="2"/>
      <scheme val="minor"/>
    </font>
    <font>
      <sz val="12"/>
      <color theme="1"/>
      <name val="Calibri"/>
      <family val="2"/>
      <scheme val="minor"/>
    </font>
    <font>
      <b/>
      <sz val="9"/>
      <name val="Segoe UI"/>
      <family val="2"/>
    </font>
    <font>
      <sz val="9"/>
      <name val="Segoe UI"/>
      <family val="2"/>
    </font>
    <font>
      <sz val="11"/>
      <color theme="1"/>
      <name val="Calibri"/>
      <family val="2"/>
      <scheme val="minor"/>
    </font>
    <font>
      <sz val="11"/>
      <color rgb="FFFF0000"/>
      <name val="Calibri"/>
      <family val="2"/>
      <scheme val="minor"/>
    </font>
    <font>
      <b/>
      <sz val="14"/>
      <color theme="1"/>
      <name val="Calibri"/>
      <family val="2"/>
      <scheme val="minor"/>
    </font>
    <font>
      <sz val="8"/>
      <name val="Calibri"/>
      <family val="2"/>
      <scheme val="minor"/>
    </font>
    <font>
      <sz val="9"/>
      <color theme="1"/>
      <name val="Calibri"/>
      <family val="2"/>
      <scheme val="minor"/>
    </font>
    <font>
      <b/>
      <sz val="11"/>
      <color rgb="FF00B050"/>
      <name val="Calibri"/>
      <family val="2"/>
      <scheme val="minor"/>
    </font>
    <font>
      <sz val="11"/>
      <color theme="0"/>
      <name val="Calibri"/>
      <family val="2"/>
      <scheme val="minor"/>
    </font>
    <font>
      <sz val="11"/>
      <color theme="4" tint="0.39997558519241921"/>
      <name val="Calibri"/>
      <family val="2"/>
      <scheme val="minor"/>
    </font>
    <font>
      <u/>
      <sz val="11"/>
      <color theme="10"/>
      <name val="Calibri"/>
      <family val="2"/>
      <scheme val="minor"/>
    </font>
    <font>
      <b/>
      <sz val="12"/>
      <color theme="1"/>
      <name val="Calibri"/>
      <family val="2"/>
      <scheme val="minor"/>
    </font>
    <font>
      <b/>
      <sz val="9"/>
      <color indexed="81"/>
      <name val="Segoe UI"/>
      <family val="2"/>
    </font>
    <font>
      <sz val="8"/>
      <color theme="0"/>
      <name val="Calibri"/>
      <family val="2"/>
      <scheme val="minor"/>
    </font>
    <font>
      <sz val="10"/>
      <color theme="1"/>
      <name val="Calibri"/>
      <family val="2"/>
      <scheme val="minor"/>
    </font>
    <font>
      <sz val="10"/>
      <color theme="4" tint="-0.249977111117893"/>
      <name val="Calibri"/>
      <family val="2"/>
      <scheme val="minor"/>
    </font>
    <font>
      <sz val="11"/>
      <color theme="4" tint="-0.249977111117893"/>
      <name val="Calibri"/>
      <family val="2"/>
      <scheme val="minor"/>
    </font>
    <font>
      <sz val="6"/>
      <color theme="4" tint="-0.249977111117893"/>
      <name val="Calibri"/>
      <family val="2"/>
      <scheme val="minor"/>
    </font>
    <font>
      <sz val="8"/>
      <color theme="5"/>
      <name val="Calibri"/>
      <family val="2"/>
      <scheme val="minor"/>
    </font>
    <font>
      <b/>
      <sz val="8"/>
      <color theme="5"/>
      <name val="Calibri"/>
      <family val="2"/>
      <scheme val="minor"/>
    </font>
    <font>
      <sz val="11"/>
      <color theme="5"/>
      <name val="Calibri"/>
      <family val="2"/>
      <scheme val="minor"/>
    </font>
    <font>
      <sz val="8"/>
      <color theme="4" tint="0.39997558519241921"/>
      <name val="Calibri"/>
      <family val="2"/>
      <scheme val="minor"/>
    </font>
    <font>
      <b/>
      <sz val="8"/>
      <color theme="4" tint="0.39997558519241921"/>
      <name val="Calibri"/>
      <family val="2"/>
      <scheme val="minor"/>
    </font>
    <font>
      <sz val="10"/>
      <color theme="5"/>
      <name val="Calibri"/>
      <family val="2"/>
      <scheme val="minor"/>
    </font>
    <font>
      <sz val="10"/>
      <color theme="4" tint="0.39997558519241921"/>
      <name val="Calibri"/>
      <family val="2"/>
      <scheme val="minor"/>
    </font>
    <font>
      <sz val="9"/>
      <color theme="0" tint="-0.14996795556505021"/>
      <name val="Calibri"/>
      <family val="2"/>
      <scheme val="minor"/>
    </font>
    <font>
      <sz val="12"/>
      <color theme="5"/>
      <name val="Calibri"/>
      <family val="2"/>
      <scheme val="minor"/>
    </font>
  </fonts>
  <fills count="22">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39994506668294322"/>
        <bgColor indexed="64"/>
      </patternFill>
    </fill>
    <fill>
      <patternFill patternType="solid">
        <fgColor theme="0" tint="-0.14996795556505021"/>
        <bgColor indexed="64"/>
      </patternFill>
    </fill>
    <fill>
      <patternFill patternType="solid">
        <fgColor theme="4" tint="-0.499984740745262"/>
        <bgColor indexed="64"/>
      </patternFill>
    </fill>
    <fill>
      <patternFill patternType="solid">
        <fgColor rgb="FFFFC1EF"/>
        <bgColor indexed="64"/>
      </patternFill>
    </fill>
    <fill>
      <patternFill patternType="solid">
        <fgColor theme="5" tint="0.39997558519241921"/>
        <bgColor indexed="64"/>
      </patternFill>
    </fill>
    <fill>
      <patternFill patternType="solid">
        <fgColor rgb="FF00B0F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theme="5"/>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indexed="64"/>
      </left>
      <right/>
      <top/>
      <bottom/>
      <diagonal/>
    </border>
    <border>
      <left/>
      <right style="double">
        <color indexed="64"/>
      </right>
      <top/>
      <bottom/>
      <diagonal/>
    </border>
    <border>
      <left style="double">
        <color indexed="64"/>
      </left>
      <right style="double">
        <color indexed="64"/>
      </right>
      <top style="double">
        <color indexed="64"/>
      </top>
      <bottom style="double">
        <color indexed="64"/>
      </bottom>
      <diagonal/>
    </border>
  </borders>
  <cellStyleXfs count="5">
    <xf numFmtId="0" fontId="0" fillId="0" borderId="0"/>
    <xf numFmtId="43" fontId="34" fillId="0" borderId="0" applyFont="0" applyFill="0" applyBorder="0" applyAlignment="0" applyProtection="0"/>
    <xf numFmtId="44" fontId="34" fillId="0" borderId="0" applyFont="0" applyFill="0" applyBorder="0" applyAlignment="0" applyProtection="0"/>
    <xf numFmtId="9" fontId="34" fillId="0" borderId="0" applyFont="0" applyFill="0" applyBorder="0" applyAlignment="0" applyProtection="0"/>
    <xf numFmtId="0" fontId="42" fillId="0" borderId="0" applyNumberFormat="0" applyFill="0" applyBorder="0" applyAlignment="0" applyProtection="0"/>
  </cellStyleXfs>
  <cellXfs count="180">
    <xf numFmtId="0" fontId="0" fillId="0" borderId="0" xfId="0"/>
    <xf numFmtId="164" fontId="24" fillId="2" borderId="0" xfId="1" applyNumberFormat="1" applyFont="1" applyFill="1"/>
    <xf numFmtId="0" fontId="25" fillId="0" borderId="0" xfId="0" applyFont="1"/>
    <xf numFmtId="0" fontId="0" fillId="3" borderId="0" xfId="0" applyFill="1"/>
    <xf numFmtId="0" fontId="0" fillId="4" borderId="0" xfId="0" applyFill="1"/>
    <xf numFmtId="0" fontId="0" fillId="5" borderId="0" xfId="0" applyFill="1"/>
    <xf numFmtId="0" fontId="0" fillId="6" borderId="0" xfId="0" applyFill="1"/>
    <xf numFmtId="43" fontId="0" fillId="7" borderId="0" xfId="1" applyFont="1" applyFill="1"/>
    <xf numFmtId="10" fontId="28" fillId="8" borderId="0" xfId="3" applyNumberFormat="1" applyFont="1" applyFill="1"/>
    <xf numFmtId="0" fontId="29" fillId="8" borderId="0" xfId="0" applyFont="1" applyFill="1" applyAlignment="1">
      <alignment horizontal="center"/>
    </xf>
    <xf numFmtId="0" fontId="30" fillId="8" borderId="0" xfId="0" applyFont="1" applyFill="1" applyAlignment="1">
      <alignment horizontal="center"/>
    </xf>
    <xf numFmtId="165" fontId="0" fillId="0" borderId="0" xfId="0" applyNumberFormat="1"/>
    <xf numFmtId="43" fontId="25" fillId="0" borderId="0" xfId="1" applyFont="1"/>
    <xf numFmtId="43" fontId="24" fillId="0" borderId="0" xfId="1" applyFont="1"/>
    <xf numFmtId="43" fontId="30" fillId="8" borderId="0" xfId="1" applyFont="1" applyFill="1" applyAlignment="1">
      <alignment horizontal="center"/>
    </xf>
    <xf numFmtId="16" fontId="0" fillId="0" borderId="0" xfId="0" applyNumberFormat="1"/>
    <xf numFmtId="167" fontId="0" fillId="0" borderId="0" xfId="0" applyNumberFormat="1"/>
    <xf numFmtId="0" fontId="0" fillId="2" borderId="0" xfId="0" applyFill="1"/>
    <xf numFmtId="43" fontId="31" fillId="0" borderId="0" xfId="1" applyFont="1"/>
    <xf numFmtId="14" fontId="24" fillId="0" borderId="0" xfId="0" applyNumberFormat="1" applyFont="1"/>
    <xf numFmtId="0" fontId="24" fillId="0" borderId="0" xfId="0" applyFont="1"/>
    <xf numFmtId="43" fontId="0" fillId="0" borderId="0" xfId="1" applyFont="1"/>
    <xf numFmtId="0" fontId="23" fillId="0" borderId="0" xfId="0" applyFont="1"/>
    <xf numFmtId="44" fontId="0" fillId="0" borderId="0" xfId="2" applyFont="1"/>
    <xf numFmtId="0" fontId="23" fillId="4" borderId="0" xfId="0" applyFont="1" applyFill="1"/>
    <xf numFmtId="43" fontId="0" fillId="0" borderId="0" xfId="0" applyNumberFormat="1"/>
    <xf numFmtId="169" fontId="0" fillId="4" borderId="0" xfId="0" applyNumberFormat="1" applyFill="1"/>
    <xf numFmtId="170" fontId="0" fillId="4" borderId="0" xfId="0" applyNumberFormat="1" applyFill="1"/>
    <xf numFmtId="169" fontId="0" fillId="0" borderId="0" xfId="0" applyNumberFormat="1"/>
    <xf numFmtId="171" fontId="0" fillId="0" borderId="0" xfId="2" applyNumberFormat="1" applyFont="1"/>
    <xf numFmtId="164" fontId="0" fillId="0" borderId="0" xfId="0" applyNumberFormat="1"/>
    <xf numFmtId="44" fontId="36" fillId="0" borderId="0" xfId="2" applyFont="1"/>
    <xf numFmtId="0" fontId="35" fillId="0" borderId="0" xfId="0" applyFont="1"/>
    <xf numFmtId="43" fontId="0" fillId="2" borderId="0" xfId="1" applyFont="1" applyFill="1"/>
    <xf numFmtId="0" fontId="23" fillId="2" borderId="0" xfId="0" applyFont="1" applyFill="1"/>
    <xf numFmtId="164" fontId="24" fillId="9" borderId="0" xfId="1" applyNumberFormat="1" applyFont="1" applyFill="1"/>
    <xf numFmtId="0" fontId="21" fillId="0" borderId="0" xfId="0" applyFont="1"/>
    <xf numFmtId="172" fontId="0" fillId="0" borderId="0" xfId="3" applyNumberFormat="1" applyFont="1"/>
    <xf numFmtId="16" fontId="0" fillId="3" borderId="0" xfId="0" applyNumberFormat="1" applyFill="1"/>
    <xf numFmtId="0" fontId="20" fillId="4" borderId="0" xfId="0" applyFont="1" applyFill="1"/>
    <xf numFmtId="0" fontId="20" fillId="10" borderId="0" xfId="0" applyFont="1" applyFill="1"/>
    <xf numFmtId="0" fontId="19" fillId="0" borderId="0" xfId="0" applyFont="1"/>
    <xf numFmtId="0" fontId="18" fillId="0" borderId="0" xfId="0" applyFont="1"/>
    <xf numFmtId="0" fontId="17" fillId="0" borderId="0" xfId="0" applyFont="1"/>
    <xf numFmtId="0" fontId="16" fillId="0" borderId="0" xfId="0" applyFont="1"/>
    <xf numFmtId="0" fontId="15" fillId="0" borderId="0" xfId="0" applyFont="1"/>
    <xf numFmtId="43" fontId="15" fillId="0" borderId="0" xfId="1" applyFont="1"/>
    <xf numFmtId="43" fontId="15" fillId="2" borderId="0" xfId="1" applyFont="1" applyFill="1"/>
    <xf numFmtId="43" fontId="15" fillId="9" borderId="0" xfId="1" applyFont="1" applyFill="1"/>
    <xf numFmtId="44" fontId="35" fillId="0" borderId="0" xfId="2" applyFont="1"/>
    <xf numFmtId="0" fontId="14" fillId="0" borderId="0" xfId="0" applyFont="1"/>
    <xf numFmtId="43" fontId="13" fillId="11" borderId="0" xfId="1" applyFont="1" applyFill="1"/>
    <xf numFmtId="14" fontId="13" fillId="11" borderId="0" xfId="0" applyNumberFormat="1" applyFont="1" applyFill="1"/>
    <xf numFmtId="44" fontId="39" fillId="0" borderId="0" xfId="2" applyFont="1"/>
    <xf numFmtId="0" fontId="13" fillId="10" borderId="0" xfId="0" applyFont="1" applyFill="1"/>
    <xf numFmtId="0" fontId="22" fillId="10" borderId="0" xfId="0" applyFont="1" applyFill="1"/>
    <xf numFmtId="0" fontId="13" fillId="0" borderId="0" xfId="0" applyFont="1"/>
    <xf numFmtId="44" fontId="39" fillId="0" borderId="0" xfId="2" applyFont="1" applyAlignment="1">
      <alignment horizontal="right"/>
    </xf>
    <xf numFmtId="44" fontId="35" fillId="0" borderId="0" xfId="2" applyFont="1" applyAlignment="1">
      <alignment horizontal="right"/>
    </xf>
    <xf numFmtId="0" fontId="25" fillId="12" borderId="0" xfId="0" applyFont="1" applyFill="1" applyAlignment="1">
      <alignment horizontal="center"/>
    </xf>
    <xf numFmtId="9" fontId="0" fillId="0" borderId="0" xfId="3" applyFont="1"/>
    <xf numFmtId="0" fontId="0" fillId="13" borderId="0" xfId="0" applyFill="1"/>
    <xf numFmtId="44" fontId="38" fillId="0" borderId="0" xfId="2" applyFont="1"/>
    <xf numFmtId="0" fontId="38" fillId="0" borderId="0" xfId="0" applyFont="1"/>
    <xf numFmtId="44" fontId="38" fillId="0" borderId="0" xfId="0" applyNumberFormat="1" applyFont="1"/>
    <xf numFmtId="44" fontId="38" fillId="10" borderId="0" xfId="2" applyFont="1" applyFill="1"/>
    <xf numFmtId="9" fontId="0" fillId="0" borderId="0" xfId="0" applyNumberFormat="1"/>
    <xf numFmtId="10" fontId="0" fillId="0" borderId="0" xfId="3" applyNumberFormat="1" applyFont="1"/>
    <xf numFmtId="0" fontId="0" fillId="12" borderId="0" xfId="0" applyFill="1"/>
    <xf numFmtId="9" fontId="0" fillId="12" borderId="0" xfId="3" applyFont="1" applyFill="1"/>
    <xf numFmtId="170" fontId="0" fillId="12" borderId="0" xfId="0" applyNumberFormat="1" applyFill="1"/>
    <xf numFmtId="0" fontId="12" fillId="0" borderId="0" xfId="0" applyFont="1" applyAlignment="1">
      <alignment horizontal="right"/>
    </xf>
    <xf numFmtId="0" fontId="11" fillId="0" borderId="0" xfId="0" applyFont="1"/>
    <xf numFmtId="44" fontId="0" fillId="13" borderId="0" xfId="2" applyFont="1" applyFill="1"/>
    <xf numFmtId="0" fontId="0" fillId="0" borderId="0" xfId="2" applyNumberFormat="1" applyFont="1"/>
    <xf numFmtId="0" fontId="0" fillId="14" borderId="0" xfId="0" applyFill="1"/>
    <xf numFmtId="0" fontId="0" fillId="0" borderId="0" xfId="0" applyAlignment="1">
      <alignment vertical="center"/>
    </xf>
    <xf numFmtId="0" fontId="0" fillId="15" borderId="0" xfId="0" applyFill="1"/>
    <xf numFmtId="0" fontId="0" fillId="16" borderId="0" xfId="0" applyFill="1"/>
    <xf numFmtId="0" fontId="11" fillId="16" borderId="0" xfId="0" applyFont="1" applyFill="1"/>
    <xf numFmtId="0" fontId="0" fillId="12" borderId="0" xfId="1" applyNumberFormat="1" applyFont="1" applyFill="1" applyAlignment="1">
      <alignment horizontal="center" vertical="center"/>
    </xf>
    <xf numFmtId="0" fontId="11" fillId="12" borderId="0" xfId="0" applyFont="1" applyFill="1"/>
    <xf numFmtId="0" fontId="0" fillId="17" borderId="0" xfId="0" applyFill="1"/>
    <xf numFmtId="0" fontId="11" fillId="18" borderId="0" xfId="0" applyFont="1" applyFill="1"/>
    <xf numFmtId="0" fontId="0" fillId="19" borderId="0" xfId="0" applyFill="1"/>
    <xf numFmtId="0" fontId="40" fillId="15" borderId="0" xfId="0" applyFont="1" applyFill="1"/>
    <xf numFmtId="0" fontId="41" fillId="15" borderId="0" xfId="0" applyFont="1" applyFill="1"/>
    <xf numFmtId="43" fontId="25" fillId="0" borderId="1" xfId="0" applyNumberFormat="1" applyFont="1" applyBorder="1"/>
    <xf numFmtId="43" fontId="11" fillId="16" borderId="0" xfId="1" applyFont="1" applyFill="1"/>
    <xf numFmtId="43" fontId="0" fillId="17" borderId="0" xfId="1" applyFont="1" applyFill="1"/>
    <xf numFmtId="43" fontId="0" fillId="19" borderId="0" xfId="1" applyFont="1" applyFill="1"/>
    <xf numFmtId="43" fontId="23" fillId="0" borderId="0" xfId="1" applyFont="1"/>
    <xf numFmtId="0" fontId="0" fillId="4" borderId="0" xfId="1" applyNumberFormat="1" applyFont="1" applyFill="1"/>
    <xf numFmtId="44" fontId="42" fillId="0" borderId="0" xfId="4" applyNumberFormat="1"/>
    <xf numFmtId="43" fontId="43" fillId="0" borderId="0" xfId="0" applyNumberFormat="1" applyFont="1"/>
    <xf numFmtId="0" fontId="10" fillId="0" borderId="0" xfId="0" applyFont="1"/>
    <xf numFmtId="173" fontId="30" fillId="8" borderId="0" xfId="1" applyNumberFormat="1" applyFont="1" applyFill="1" applyAlignment="1">
      <alignment horizontal="center"/>
    </xf>
    <xf numFmtId="173" fontId="0" fillId="0" borderId="0" xfId="1" applyNumberFormat="1" applyFont="1"/>
    <xf numFmtId="0" fontId="9" fillId="0" borderId="0" xfId="0" applyFont="1"/>
    <xf numFmtId="173" fontId="46" fillId="0" borderId="0" xfId="1" applyNumberFormat="1" applyFont="1"/>
    <xf numFmtId="14" fontId="0" fillId="0" borderId="0" xfId="0" applyNumberFormat="1"/>
    <xf numFmtId="0" fontId="8" fillId="0" borderId="0" xfId="0" applyFont="1"/>
    <xf numFmtId="43" fontId="0" fillId="17" borderId="0" xfId="0" applyNumberFormat="1" applyFill="1"/>
    <xf numFmtId="0" fontId="7" fillId="0" borderId="0" xfId="0" applyFont="1"/>
    <xf numFmtId="173" fontId="0" fillId="0" borderId="0" xfId="0" applyNumberFormat="1"/>
    <xf numFmtId="0" fontId="6" fillId="10" borderId="0" xfId="0" applyFont="1" applyFill="1"/>
    <xf numFmtId="0" fontId="6" fillId="0" borderId="0" xfId="0" applyFont="1"/>
    <xf numFmtId="44" fontId="47" fillId="8" borderId="0" xfId="2" applyFont="1" applyFill="1"/>
    <xf numFmtId="43" fontId="48" fillId="8" borderId="0" xfId="1" applyFont="1" applyFill="1"/>
    <xf numFmtId="166" fontId="48" fillId="0" borderId="0" xfId="0" applyNumberFormat="1" applyFont="1"/>
    <xf numFmtId="0" fontId="48" fillId="0" borderId="0" xfId="0" applyFont="1"/>
    <xf numFmtId="0" fontId="49" fillId="8" borderId="0" xfId="0" applyFont="1" applyFill="1" applyAlignment="1">
      <alignment horizontal="center"/>
    </xf>
    <xf numFmtId="0" fontId="49" fillId="0" borderId="0" xfId="0" applyFont="1"/>
    <xf numFmtId="168" fontId="48" fillId="0" borderId="0" xfId="0" applyNumberFormat="1" applyFont="1"/>
    <xf numFmtId="0" fontId="0" fillId="0" borderId="2" xfId="0" applyBorder="1"/>
    <xf numFmtId="0" fontId="25" fillId="0" borderId="2" xfId="0" applyFont="1" applyBorder="1"/>
    <xf numFmtId="0" fontId="48" fillId="0" borderId="2" xfId="0" applyFont="1" applyBorder="1"/>
    <xf numFmtId="0" fontId="49" fillId="0" borderId="2" xfId="0" applyFont="1" applyBorder="1"/>
    <xf numFmtId="168" fontId="48" fillId="0" borderId="2" xfId="0" applyNumberFormat="1" applyFont="1" applyBorder="1"/>
    <xf numFmtId="43" fontId="0" fillId="7" borderId="2" xfId="1" applyFont="1" applyFill="1" applyBorder="1"/>
    <xf numFmtId="43" fontId="24" fillId="0" borderId="2" xfId="1" applyFont="1" applyBorder="1"/>
    <xf numFmtId="44" fontId="50" fillId="0" borderId="0" xfId="2" applyFont="1"/>
    <xf numFmtId="44" fontId="51" fillId="0" borderId="0" xfId="2" applyFont="1"/>
    <xf numFmtId="0" fontId="52" fillId="0" borderId="0" xfId="0" applyFont="1"/>
    <xf numFmtId="43" fontId="41" fillId="0" borderId="0" xfId="1" applyFont="1"/>
    <xf numFmtId="0" fontId="41" fillId="2" borderId="0" xfId="0" applyFont="1" applyFill="1"/>
    <xf numFmtId="0" fontId="41" fillId="0" borderId="0" xfId="0" applyFont="1"/>
    <xf numFmtId="0" fontId="0" fillId="0" borderId="3" xfId="0" applyBorder="1"/>
    <xf numFmtId="44" fontId="24" fillId="20" borderId="0" xfId="2" applyFont="1" applyFill="1"/>
    <xf numFmtId="44" fontId="27" fillId="20" borderId="0" xfId="2" applyFont="1" applyFill="1"/>
    <xf numFmtId="0" fontId="26" fillId="20" borderId="0" xfId="0" applyFont="1" applyFill="1"/>
    <xf numFmtId="0" fontId="46" fillId="0" borderId="0" xfId="0" applyFont="1"/>
    <xf numFmtId="0" fontId="46" fillId="3" borderId="0" xfId="0" applyFont="1" applyFill="1"/>
    <xf numFmtId="44" fontId="46" fillId="20" borderId="0" xfId="2" applyFont="1" applyFill="1"/>
    <xf numFmtId="17" fontId="46" fillId="0" borderId="0" xfId="0" applyNumberFormat="1" applyFont="1"/>
    <xf numFmtId="44" fontId="46" fillId="0" borderId="0" xfId="2" applyFont="1"/>
    <xf numFmtId="0" fontId="0" fillId="0" borderId="4" xfId="0" applyBorder="1"/>
    <xf numFmtId="0" fontId="46" fillId="0" borderId="4" xfId="0" applyFont="1" applyBorder="1"/>
    <xf numFmtId="0" fontId="6" fillId="0" borderId="4" xfId="0" applyFont="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41" fillId="0" borderId="5" xfId="0" applyFont="1" applyBorder="1"/>
    <xf numFmtId="43" fontId="56" fillId="0" borderId="5" xfId="1" applyFont="1" applyBorder="1"/>
    <xf numFmtId="0" fontId="55" fillId="0" borderId="5" xfId="0" applyFont="1" applyBorder="1"/>
    <xf numFmtId="44" fontId="50" fillId="0" borderId="5" xfId="2" applyFont="1" applyBorder="1"/>
    <xf numFmtId="44" fontId="55" fillId="0" borderId="5" xfId="2" applyFont="1" applyBorder="1"/>
    <xf numFmtId="43" fontId="50" fillId="0" borderId="0" xfId="1" applyFont="1"/>
    <xf numFmtId="43" fontId="53" fillId="0" borderId="0" xfId="1" applyFont="1"/>
    <xf numFmtId="43" fontId="55" fillId="0" borderId="0" xfId="1" applyFont="1"/>
    <xf numFmtId="43" fontId="56" fillId="0" borderId="0" xfId="1" applyFont="1"/>
    <xf numFmtId="43" fontId="51" fillId="0" borderId="0" xfId="1" applyFont="1"/>
    <xf numFmtId="43" fontId="54" fillId="0" borderId="0" xfId="1" applyFont="1"/>
    <xf numFmtId="0" fontId="13" fillId="0" borderId="5" xfId="0" applyFont="1" applyBorder="1"/>
    <xf numFmtId="0" fontId="0" fillId="0" borderId="5" xfId="0" applyBorder="1"/>
    <xf numFmtId="43" fontId="41" fillId="21" borderId="0" xfId="1" applyFont="1" applyFill="1"/>
    <xf numFmtId="44" fontId="0" fillId="0" borderId="0" xfId="0" applyNumberFormat="1"/>
    <xf numFmtId="0" fontId="5" fillId="0" borderId="0" xfId="0" applyFont="1"/>
    <xf numFmtId="0" fontId="57" fillId="8" borderId="0" xfId="0" applyFont="1" applyFill="1" applyAlignment="1">
      <alignment horizontal="left"/>
    </xf>
    <xf numFmtId="0" fontId="0" fillId="0" borderId="0" xfId="0" applyAlignment="1">
      <alignment horizontal="center"/>
    </xf>
    <xf numFmtId="0" fontId="4" fillId="10" borderId="0" xfId="0" applyFont="1" applyFill="1"/>
    <xf numFmtId="0" fontId="4" fillId="0" borderId="0" xfId="0" applyFont="1"/>
    <xf numFmtId="43" fontId="6" fillId="0" borderId="0" xfId="1" applyFont="1"/>
    <xf numFmtId="0" fontId="3" fillId="0" borderId="0" xfId="0" applyFont="1"/>
    <xf numFmtId="0" fontId="2" fillId="0" borderId="0" xfId="0" applyFont="1"/>
    <xf numFmtId="173" fontId="58" fillId="8" borderId="0" xfId="1" applyNumberFormat="1" applyFont="1" applyFill="1" applyAlignment="1">
      <alignment horizontal="center"/>
    </xf>
    <xf numFmtId="173" fontId="45" fillId="8" borderId="0" xfId="0" applyNumberFormat="1" applyFont="1" applyFill="1" applyAlignment="1">
      <alignment horizontal="center"/>
    </xf>
    <xf numFmtId="44" fontId="25" fillId="5" borderId="0" xfId="0" applyNumberFormat="1" applyFont="1" applyFill="1" applyAlignment="1">
      <alignment horizontal="center" vertical="center"/>
    </xf>
    <xf numFmtId="0" fontId="0" fillId="0" borderId="0" xfId="0" applyAlignment="1">
      <alignment horizontal="center"/>
    </xf>
    <xf numFmtId="0" fontId="0" fillId="14" borderId="0" xfId="0" applyFill="1" applyAlignment="1">
      <alignment horizontal="right" vertical="center"/>
    </xf>
    <xf numFmtId="0" fontId="40" fillId="15" borderId="0" xfId="0" applyFont="1" applyFill="1" applyAlignment="1">
      <alignment horizontal="center"/>
    </xf>
    <xf numFmtId="0" fontId="23" fillId="5" borderId="0" xfId="0" applyFont="1" applyFill="1" applyAlignment="1">
      <alignment horizontal="center"/>
    </xf>
    <xf numFmtId="0" fontId="11" fillId="0" borderId="0" xfId="0" applyFont="1" applyAlignment="1">
      <alignment horizontal="center" vertical="center"/>
    </xf>
    <xf numFmtId="0" fontId="0" fillId="0" borderId="0" xfId="0" applyAlignment="1">
      <alignment horizontal="center" vertical="center"/>
    </xf>
    <xf numFmtId="173" fontId="6" fillId="0" borderId="0" xfId="1" applyNumberFormat="1" applyFont="1"/>
    <xf numFmtId="0" fontId="1" fillId="0" borderId="0" xfId="0" applyFont="1"/>
    <xf numFmtId="14" fontId="1" fillId="0" borderId="0" xfId="0" applyNumberFormat="1" applyFont="1"/>
    <xf numFmtId="14" fontId="3" fillId="0" borderId="0" xfId="0" applyNumberFormat="1" applyFont="1"/>
    <xf numFmtId="0" fontId="1" fillId="0" borderId="0" xfId="0" quotePrefix="1" applyFont="1"/>
  </cellXfs>
  <cellStyles count="5">
    <cellStyle name="Hiperlink" xfId="4" builtinId="8"/>
    <cellStyle name="Moeda" xfId="2" builtinId="4"/>
    <cellStyle name="Normal" xfId="0" builtinId="0"/>
    <cellStyle name="Porcentagem" xfId="3" builtinId="5"/>
    <cellStyle name="Vírgula" xfId="1" builtinId="3"/>
  </cellStyles>
  <dxfs count="3">
    <dxf>
      <fill>
        <patternFill>
          <bgColor theme="5" tint="0.39994506668294322"/>
        </patternFill>
      </fill>
    </dxf>
    <dxf>
      <fill>
        <patternFill patternType="solid">
          <bgColor theme="4" tint="0.39991454817346722"/>
        </patternFill>
      </fill>
    </dxf>
    <dxf>
      <fill>
        <patternFill>
          <bgColor theme="4" tint="0.39994506668294322"/>
        </patternFill>
      </fill>
    </dxf>
  </dxfs>
  <tableStyles count="1" defaultTableStyle="TableStyleMedium2" defaultPivotStyle="PivotStyleLight16">
    <tableStyle name="Invisible" pivot="0" table="0" count="0" xr9:uid="{C6C874DC-75E4-4ACC-80A2-68AC241C6BDF}"/>
  </tableStyles>
  <colors>
    <mruColors>
      <color rgb="FFFFC1E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25</xdr:col>
      <xdr:colOff>440690</xdr:colOff>
      <xdr:row>5</xdr:row>
      <xdr:rowOff>177165</xdr:rowOff>
    </xdr:from>
    <xdr:to>
      <xdr:col>40</xdr:col>
      <xdr:colOff>309101</xdr:colOff>
      <xdr:row>14</xdr:row>
      <xdr:rowOff>130574</xdr:rowOff>
    </xdr:to>
    <xdr:pic>
      <xdr:nvPicPr>
        <xdr:cNvPr id="2" name="Image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996670" y="567690"/>
          <a:ext cx="8952230" cy="16675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27</xdr:col>
      <xdr:colOff>542205</xdr:colOff>
      <xdr:row>2</xdr:row>
      <xdr:rowOff>91008</xdr:rowOff>
    </xdr:from>
    <xdr:to>
      <xdr:col>37</xdr:col>
      <xdr:colOff>561254</xdr:colOff>
      <xdr:row>18</xdr:row>
      <xdr:rowOff>74574</xdr:rowOff>
    </xdr:to>
    <xdr:pic>
      <xdr:nvPicPr>
        <xdr:cNvPr id="2" name="Imagem 1" descr="Interface gráfica do usuário, Texto, Aplicativo, Email&#10;&#10;Descrição gerada automaticament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387323" y="494420"/>
          <a:ext cx="6070226" cy="30544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19</xdr:col>
      <xdr:colOff>324971</xdr:colOff>
      <xdr:row>0</xdr:row>
      <xdr:rowOff>0</xdr:rowOff>
    </xdr:from>
    <xdr:to>
      <xdr:col>31</xdr:col>
      <xdr:colOff>282607</xdr:colOff>
      <xdr:row>42</xdr:row>
      <xdr:rowOff>113286</xdr:rowOff>
    </xdr:to>
    <xdr:pic>
      <xdr:nvPicPr>
        <xdr:cNvPr id="2" name="Imagem 1">
          <a:extLst>
            <a:ext uri="{FF2B5EF4-FFF2-40B4-BE49-F238E27FC236}">
              <a16:creationId xmlns:a16="http://schemas.microsoft.com/office/drawing/2014/main" id="{196A96F8-B731-693C-103F-0C9AB84DD656}"/>
            </a:ext>
          </a:extLst>
        </xdr:cNvPr>
        <xdr:cNvPicPr>
          <a:picLocks noChangeAspect="1"/>
        </xdr:cNvPicPr>
      </xdr:nvPicPr>
      <xdr:blipFill>
        <a:blip xmlns:r="http://schemas.openxmlformats.org/officeDocument/2006/relationships" r:embed="rId1"/>
        <a:stretch>
          <a:fillRect/>
        </a:stretch>
      </xdr:blipFill>
      <xdr:spPr>
        <a:xfrm>
          <a:off x="8191500" y="0"/>
          <a:ext cx="7219048" cy="811428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
  <rv s="0">
    <v>https://www.bing.com/financeapi/forcetrigger?t=bvcnbh&amp;q=BVMF%3aSOMA3&amp;form=skydnc</v>
    <v>Learn more on Bing</v>
  </rv>
  <rv s="1">
    <v>pt-BR</v>
    <v>bvcnbh</v>
    <v>268435456</v>
    <v>1</v>
    <v>Da plataforma Refinitiv</v>
    <v>0</v>
    <v>1</v>
    <v>Grupo de Moda SOMA S.A. (BVMF:SOMA3)</v>
    <v>3</v>
    <v>4</v>
    <v>Finance</v>
    <v>5</v>
    <v>12.5</v>
    <v>4.9400000000000004</v>
    <v>BVMF</v>
    <v>784747400</v>
    <v>8.16</v>
    <v>2008</v>
    <v>7.76</v>
    <v>1.9561999999999999</v>
    <v>B3 - Brazil Stock Exchange</v>
    <v>6152419616</v>
    <v>O Grupo de Moda SOMA SA, anteriormente conhecido como RBX Rio Comercio de Roupas SA, é uma empresa com sede no Brasil que atua na indústria da moda. A Companhia vende uma ampla gama de produtos, como roupas, acessórios, calçados e joias por meio de suas lojas e comércio eletrônico em todo o país. Possui um portefólio de diferentes marcas nomeadamente Animale, Farm, A. Brand e Cris Barros para mulheres, Fabula para crianças, Foxton para homens e Off Premium, uma loja online.</v>
    <v>BVMF</v>
    <v>7.99</v>
    <v>4578</v>
    <v>45303.947962962964</v>
    <v>0</v>
    <v>16386700</v>
    <v>BRL</v>
    <v>Grupo de Moda SOMA S.A.</v>
    <v>Grupo de Moda SOMA S.A.</v>
    <v>8</v>
    <v>7.84</v>
    <v>Av Pasteur 00154, Botafogo, RIO DE JANEIRO, RIO DE JANEIRO, 22.290-240 BR</v>
    <v>Specialty Retailers</v>
    <v>SOMA3</v>
    <v>Ações</v>
    <v>Grupo de Moda SOMA S.A. (BVMF:SOMA3)</v>
    <v>-0.15</v>
    <v>-1.8772999999999998E-2</v>
    <v>12179800</v>
  </rv>
  <rv s="2">
    <v>1</v>
  </rv>
  <rv s="0">
    <v>https://www.bing.com/financeapi/forcetrigger?t=apmngh&amp;q=BVMF%3aGFSA3&amp;form=skydnc</v>
    <v>Learn more on Bing</v>
  </rv>
  <rv s="1">
    <v>pt-BR</v>
    <v>apmngh</v>
    <v>268435456</v>
    <v>1</v>
    <v>Da plataforma Refinitiv</v>
    <v>0</v>
    <v>1</v>
    <v>Gafisa S.A. (BVMF:GFSA3)</v>
    <v>3</v>
    <v>4</v>
    <v>Finance</v>
    <v>5</v>
    <v>20.420000000000002</v>
    <v>3.3</v>
    <v>BVMF</v>
    <v>63260180</v>
    <v>13.99</v>
    <v>1996</v>
    <v>13.09</v>
    <v>1.694</v>
    <v>B3 - Brazil Stock Exchange</v>
    <v>855277600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12.72</v>
    <v>475</v>
    <v>45303.948067129626</v>
    <v>3</v>
    <v>7041940</v>
    <v>BRL</v>
    <v>Gafisa S.A.</v>
    <v>Gafisa S.A.</v>
    <v>13.1</v>
    <v>13.52</v>
    <v>Av. Pres. Juscelino Kubitschek, 1830, conjunto comercial 32, 3 andar, Bloco 2, Itaim Bibi, SAO PAULO, SAO PAULO, 04.543-900 BR</v>
    <v>Homebuilding &amp; Construction Supplies</v>
    <v>GFSA3</v>
    <v>Ações</v>
    <v>Gafisa S.A. (BVMF:GFSA3)</v>
    <v>0.8</v>
    <v>6.2893000000000004E-2</v>
    <v>7043400</v>
  </rv>
  <rv s="2">
    <v>4</v>
  </rv>
  <rv s="0">
    <v>https://www.bing.com/financeapi/forcetrigger?t=apnjh7&amp;q=BVMF%3aUSIM5&amp;form=skydnc</v>
    <v>Learn more on Bing</v>
  </rv>
  <rv s="1">
    <v>pt-BR</v>
    <v>apnjh7</v>
    <v>268435456</v>
    <v>1</v>
    <v>Da plataforma Refinitiv</v>
    <v>0</v>
    <v>1</v>
    <v>Usinas Siderúrgicas de Minas Gerais S/A - USIMINAS (BVMF:USIM5)</v>
    <v>3</v>
    <v>4</v>
    <v>Finance</v>
    <v>5</v>
    <v>9.3800000000000008</v>
    <v>5.84</v>
    <v>BVMF</v>
    <v>1253079000</v>
    <v>8.58</v>
    <v>1956</v>
    <v>8.43</v>
    <v>1.1713</v>
    <v>B3 - Brazil Stock Exchange</v>
    <v>10436880000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8.52</v>
    <v>51182</v>
    <v>45303.947916666664</v>
    <v>6</v>
    <v>9828730</v>
    <v>BRL</v>
    <v>Usinas Siderúrgicas de Minas Gerais S/A - USIMINAS</v>
    <v>Usinas Siderúrgicas de Minas Gerais S/A - USIMINAS</v>
    <v>8.4700000000000006</v>
    <v>8.4700000000000006</v>
    <v>Avenida do Contorno, 6.594, Savassi, BELO HORIZONTE, MINAS GERAIS, 30.110-044 BR</v>
    <v>Metals &amp; Mining</v>
    <v>USIM5</v>
    <v>Ações</v>
    <v>Usinas Siderúrgicas de Minas Gerais S/A - USIMINAS (BVMF:USIM5)</v>
    <v>-0.05</v>
    <v>-5.8690000000000001E-3</v>
    <v>5225700</v>
  </rv>
  <rv s="2">
    <v>7</v>
  </rv>
  <rv s="0">
    <v>https://www.bing.com/financeapi/forcetrigger?t=bxgk6h&amp;q=BVMF%3aVAMO3&amp;form=skydnc</v>
    <v>Learn more on Bing</v>
  </rv>
  <rv s="1">
    <v>pt-BR</v>
    <v>bxgk6h</v>
    <v>268435456</v>
    <v>1</v>
    <v>Da plataforma Refinitiv</v>
    <v>0</v>
    <v>1</v>
    <v>Vamos Locação de Caminhões, Máquinas e Equipamentos S.A. (BVMF:VAMO3)</v>
    <v>3</v>
    <v>4</v>
    <v>Finance</v>
    <v>5</v>
    <v>14.69</v>
    <v>7.28</v>
    <v>BVMF</v>
    <v>1104325000</v>
    <v>9.82</v>
    <v>2015</v>
    <v>9.4600000000000009</v>
    <v>1.573</v>
    <v>B3 - Brazil Stock Exchange</v>
    <v>10491080000</v>
    <v>A Vamos Locação de Caminhões, Máquinas e Equipamentos S.A. é uma empresa sediada no Brasil, que também através de suas subsidiárias vende e aluga caminhões, máquinas e equipamentos. A Companhia atua por meio de dois segmentos: Locação de caminhões, máquinas e equipamentos; e caminhões, concessionárias de máquinas e equipamentos. O segmento de locação de caminhões, máquinas e equipamentos compreende a terceirização de frotas através do aluguel de caminhões, máquinas e equipamentos e gestão de frotas. O segmento de Caminhões, revendedores de máquinas e equipamentos compreende a comercialização de caminhões, máquinas e equipamentos, além de peças, máquinas e acessórios, serviços de mecânica, tremonha e pintura. A Companhia atua em diversos setores da economia, principalmente agronegócios, energia, logística e com um portfólio diversificado de clientes e ativos arrendados. Está ativa localmente.</v>
    <v>BVMF</v>
    <v>9.5</v>
    <v>2827</v>
    <v>45303.947962962964</v>
    <v>9</v>
    <v>5757710</v>
    <v>BRL</v>
    <v>Vamos Locação de Caminhões, Máquinas e Equipamentos S.A.</v>
    <v>Vamos Locação de Caminhões, Máquinas e Equipamentos S.A.</v>
    <v>9.4600000000000009</v>
    <v>9.5</v>
    <v>Rua Dr. Renato Paes de Barros, 1017 9 andar, Itaim Bibi, SAO PAULO, SAO PAULO, 04.530-001 BR</v>
    <v>Machinery, Equipment &amp; Components</v>
    <v>VAMO3</v>
    <v>Ações</v>
    <v>Vamos Locação de Caminhões, Máquinas e Equipamentos S.A. (BVMF:VAMO3)</v>
    <v>0</v>
    <v>0</v>
    <v>4898500</v>
  </rv>
  <rv s="2">
    <v>10</v>
  </rv>
  <rv s="0">
    <v>https://www.bing.com/financeapi/forcetrigger?t=apn6hw&amp;q=BVMF%3aPRIO3&amp;form=skydnc</v>
    <v>Learn more on Bing</v>
  </rv>
  <rv s="1">
    <v>pt-BR</v>
    <v>apn6hw</v>
    <v>268435456</v>
    <v>1</v>
    <v>Da plataforma Refinitiv</v>
    <v>0</v>
    <v>1</v>
    <v>PRIO S.A. (BVMF:PRIO3)</v>
    <v>3</v>
    <v>4</v>
    <v>Finance</v>
    <v>5</v>
    <v>51.27</v>
    <v>28.96</v>
    <v>BVMF</v>
    <v>892059900</v>
    <v>46.85</v>
    <v>2008</v>
    <v>45.94</v>
    <v>1.6923999999999999</v>
    <v>B3 - Brazil Stock Exchange</v>
    <v>41106120192</v>
    <v>A Petro Rio S.A., anteriormente HRT Participações em Petróleo S.A., é uma holding brasileira que atua no setor de petróleo e gás. As atividades da empresa se dividem em três segmentos: Exploração e produção (E&amp;P), Geologia e geofísica, e Gestão e outros. O segmento E&amp;P concentra-se na exploração, desenvolvimento, produção, importação, exportação e venda de subprodutos de petróleo e gás natural. A divisão Geologia e geofísica é responsável pela prestação dos serviços de pesquisa geológica e geofísica. A área de Gestão e outros inclui principalmente operações corporativas. Os campos de exploração da empresa estão localizados principalmente no Brasil e na Namíbia. Além disso, controla diversas entidades, como a HRT O&amp;G Exploração e Produção de Petróleo Ltda., HRT África Petróleo S.A. e HRT America Inc.</v>
    <v>BVMF</v>
    <v>45.5</v>
    <v>90</v>
    <v>45303.947916666664</v>
    <v>12</v>
    <v>10942550</v>
    <v>BRL</v>
    <v>PRIO S.A.</v>
    <v>PRIO S.A.</v>
    <v>46.72</v>
    <v>46.08</v>
    <v>Pr De Botafogo 370 : 1 Andar Parte;, Botafogo, RIO DE JANEIRO, RIO DE JANEIRO, 22.250-040 BR</v>
    <v>Oil &amp; Gas</v>
    <v>PRIO3</v>
    <v>Ações</v>
    <v>PRIO S.A. (BVMF:PRIO3)</v>
    <v>0.57999999999999996</v>
    <v>1.2747E-2</v>
    <v>9859300</v>
  </rv>
  <rv s="2">
    <v>13</v>
  </rv>
  <rv s="0">
    <v>https://www.bing.com/financeapi/forcetrigger?t=bxgbu2&amp;q=BVMF%3aESPA3&amp;form=skydnc</v>
    <v>Learn more on Bing</v>
  </rv>
  <rv s="3">
    <v>pt-BR</v>
    <v>bxgbu2</v>
    <v>268435456</v>
    <v>1</v>
    <v>Da plataforma Refinitiv</v>
    <v>6</v>
    <v>7</v>
    <v>MPM Corpóreos S.A. (BVMF:ESPA3)</v>
    <v>3</v>
    <v>8</v>
    <v>Finance</v>
    <v>5</v>
    <v>2.14</v>
    <v>0.94</v>
    <v>BVMF</v>
    <v>361423100</v>
    <v>1.1299999999999999</v>
    <v>2016</v>
    <v>1.07</v>
    <v>B3 - Brazil Stock Exchange</v>
    <v>393951179</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1.0900000000000001</v>
    <v>3038</v>
    <v>45303.948067129626</v>
    <v>15</v>
    <v>2063660</v>
    <v>BRL</v>
    <v>MPM Corpóreos S.A.</v>
    <v>MPM Corpóreos S.A.</v>
    <v>1.0900000000000001</v>
    <v>1.0900000000000001</v>
    <v>Avenida dos Eucaliptos, no 763 sala 2, Indianopolis, Sao Paulo, SAO PAULO, 04.517-050 BR</v>
    <v>Personal &amp; Household Products &amp; Services</v>
    <v>ESPA3</v>
    <v>Ações</v>
    <v>MPM Corpóreos S.A. (BVMF:ESPA3)</v>
    <v>0</v>
    <v>0</v>
    <v>2216300</v>
  </rv>
  <rv s="2">
    <v>16</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2">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spbArrays>
  <spbData count="9">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3</v>
      <v>1</v>
      <v>1</v>
      <v>4</v>
      <v>1</v>
      <v>1</v>
      <v>4</v>
      <v>5</v>
      <v>4</v>
      <v>6</v>
      <v>1</v>
      <v>1</v>
      <v>7</v>
      <v>4</v>
      <v>1</v>
      <v>8</v>
      <v>9</v>
    </spb>
  </spbData>
</supportingPropertyBags>
</file>

<file path=xl/richData/rdsupportingpropertybagstructure.xml><?xml version="1.0" encoding="utf-8"?>
<spbStructures xmlns="http://schemas.microsoft.com/office/spreadsheetml/2017/richdata2" count="8">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www.leroymerlin.com.br/porcelanato-pedra-acetinado-borda-reta-externo-60x60cm-pietra-di-vesale-biancogres_91844564" TargetMode="External"/><Relationship Id="rId1" Type="http://schemas.openxmlformats.org/officeDocument/2006/relationships/hyperlink" Target="https://www.leroymerlin.com.br/porcelanato-pedra-acetinado-borda-reta-externo-60x60cm-pietra-di-vesale-biancogres_9184456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34DA-1303-4143-868A-07A8ADE9F274}">
  <dimension ref="A1:F28"/>
  <sheetViews>
    <sheetView tabSelected="1" workbookViewId="0">
      <selection activeCell="G8" sqref="G8"/>
    </sheetView>
  </sheetViews>
  <sheetFormatPr defaultRowHeight="15"/>
  <cols>
    <col min="3" max="3" width="9" bestFit="1" customWidth="1"/>
    <col min="4" max="4" width="11" bestFit="1" customWidth="1"/>
    <col min="5" max="5" width="13.28515625" bestFit="1" customWidth="1"/>
    <col min="6" max="6" width="10.42578125" style="21" customWidth="1"/>
  </cols>
  <sheetData>
    <row r="1" spans="1:6">
      <c r="A1" s="106" t="s">
        <v>171</v>
      </c>
      <c r="B1" s="106" t="s">
        <v>172</v>
      </c>
      <c r="C1" s="106" t="s">
        <v>174</v>
      </c>
      <c r="D1" s="106" t="s">
        <v>176</v>
      </c>
      <c r="E1" s="106" t="s">
        <v>173</v>
      </c>
      <c r="F1" s="163" t="s">
        <v>175</v>
      </c>
    </row>
    <row r="2" spans="1:6">
      <c r="A2" s="106">
        <v>2023</v>
      </c>
      <c r="B2" s="106" t="s">
        <v>19</v>
      </c>
      <c r="C2" s="106">
        <v>0</v>
      </c>
      <c r="D2" s="106">
        <v>0</v>
      </c>
      <c r="E2" s="175">
        <v>106000</v>
      </c>
      <c r="F2" s="21">
        <f>SUMIFS(operacao!$K$6:$K$71,operacao!$M$6:$M$71,A2,operacao!$N$6:$N$71,B2)</f>
        <v>23848.4925</v>
      </c>
    </row>
    <row r="3" spans="1:6">
      <c r="A3" s="106">
        <v>2023</v>
      </c>
      <c r="B3" s="106" t="s">
        <v>28</v>
      </c>
      <c r="C3" s="106">
        <v>0</v>
      </c>
      <c r="D3">
        <v>0</v>
      </c>
      <c r="E3" s="104">
        <f t="shared" ref="E3:E15" si="0">E2-D2</f>
        <v>106000</v>
      </c>
      <c r="F3" s="21">
        <f>SUMIFS(operacao!$K$6:$K$71,operacao!$M$6:$M$71,A3,operacao!$N$6:$N$71,B3)</f>
        <v>9906.7499999999982</v>
      </c>
    </row>
    <row r="4" spans="1:6">
      <c r="A4" s="106">
        <v>2023</v>
      </c>
      <c r="B4" s="106" t="s">
        <v>20</v>
      </c>
      <c r="C4" s="106">
        <v>0</v>
      </c>
      <c r="D4">
        <v>0</v>
      </c>
      <c r="E4" s="104">
        <f t="shared" si="0"/>
        <v>106000</v>
      </c>
      <c r="F4" s="21">
        <f>SUMIFS(operacao!$K$6:$K$71,operacao!$M$6:$M$71,A4,operacao!$N$6:$N$71,B4)</f>
        <v>0</v>
      </c>
    </row>
    <row r="5" spans="1:6">
      <c r="A5" s="106">
        <v>2023</v>
      </c>
      <c r="B5" s="106" t="s">
        <v>27</v>
      </c>
      <c r="C5" s="106">
        <v>0</v>
      </c>
      <c r="D5">
        <v>0</v>
      </c>
      <c r="E5" s="104">
        <f t="shared" si="0"/>
        <v>106000</v>
      </c>
      <c r="F5" s="21">
        <f>SUMIFS(operacao!$K$6:$K$71,operacao!$M$6:$M$71,A5,operacao!$N$6:$N$71,B5)</f>
        <v>0</v>
      </c>
    </row>
    <row r="6" spans="1:6">
      <c r="A6" s="106">
        <v>2023</v>
      </c>
      <c r="B6" s="106" t="s">
        <v>26</v>
      </c>
      <c r="C6" s="106">
        <v>0</v>
      </c>
      <c r="D6">
        <v>0</v>
      </c>
      <c r="E6" s="104">
        <f t="shared" si="0"/>
        <v>106000</v>
      </c>
      <c r="F6" s="21">
        <f>SUMIFS(operacao!$K$6:$K$71,operacao!$M$6:$M$71,A6,operacao!$N$6:$N$71,B6)</f>
        <v>-121.37999999999997</v>
      </c>
    </row>
    <row r="7" spans="1:6">
      <c r="A7" s="106">
        <v>2023</v>
      </c>
      <c r="B7" s="106" t="s">
        <v>25</v>
      </c>
      <c r="C7" s="106">
        <v>0</v>
      </c>
      <c r="D7">
        <v>0</v>
      </c>
      <c r="E7" s="104">
        <f t="shared" si="0"/>
        <v>106000</v>
      </c>
      <c r="F7" s="21">
        <f>SUMIFS(operacao!$K$6:$K$71,operacao!$M$6:$M$71,A7,operacao!$N$6:$N$71,B7)</f>
        <v>0</v>
      </c>
    </row>
    <row r="8" spans="1:6">
      <c r="A8" s="106">
        <v>2023</v>
      </c>
      <c r="B8" s="106" t="s">
        <v>24</v>
      </c>
      <c r="C8" s="106">
        <v>0</v>
      </c>
      <c r="D8">
        <v>0</v>
      </c>
      <c r="E8" s="104">
        <f t="shared" si="0"/>
        <v>106000</v>
      </c>
      <c r="F8" s="21">
        <f>SUMIFS(operacao!$K$6:$K$71,operacao!$M$6:$M$71,A8,operacao!$N$6:$N$71,B8)</f>
        <v>0</v>
      </c>
    </row>
    <row r="9" spans="1:6">
      <c r="A9" s="106">
        <v>2023</v>
      </c>
      <c r="B9" s="164" t="s">
        <v>13</v>
      </c>
      <c r="C9" s="106">
        <v>0</v>
      </c>
      <c r="D9">
        <v>0</v>
      </c>
      <c r="E9" s="104">
        <f t="shared" si="0"/>
        <v>106000</v>
      </c>
      <c r="F9" s="21">
        <f>SUMIFS(operacao!$K$6:$K$71,operacao!$M$6:$M$71,A9,operacao!$N$6:$N$71,B9)</f>
        <v>1230.2135000000046</v>
      </c>
    </row>
    <row r="10" spans="1:6">
      <c r="A10" s="106">
        <v>2023</v>
      </c>
      <c r="B10" s="164" t="s">
        <v>15</v>
      </c>
      <c r="C10" s="106">
        <v>0</v>
      </c>
      <c r="D10">
        <v>0</v>
      </c>
      <c r="E10" s="104">
        <f t="shared" si="0"/>
        <v>106000</v>
      </c>
      <c r="F10" s="21">
        <f>SUMIFS(operacao!$K$6:$K$71,operacao!$M$6:$M$71,A10,operacao!$N$6:$N$71,B10)</f>
        <v>1194.1820000000025</v>
      </c>
    </row>
    <row r="11" spans="1:6">
      <c r="A11" s="106">
        <v>2023</v>
      </c>
      <c r="B11" s="164" t="s">
        <v>17</v>
      </c>
      <c r="C11" s="106">
        <v>0</v>
      </c>
      <c r="D11">
        <v>0</v>
      </c>
      <c r="E11" s="104">
        <f t="shared" si="0"/>
        <v>106000</v>
      </c>
      <c r="F11" s="21">
        <f>SUMIFS(operacao!$K$6:$K$71,operacao!$M$6:$M$71,A11,operacao!$N$6:$N$71,B11)</f>
        <v>3468.832999999986</v>
      </c>
    </row>
    <row r="12" spans="1:6">
      <c r="A12" s="106">
        <v>2023</v>
      </c>
      <c r="B12" s="164" t="s">
        <v>18</v>
      </c>
      <c r="C12" s="106">
        <v>0</v>
      </c>
      <c r="D12">
        <v>0</v>
      </c>
      <c r="E12" s="104">
        <f t="shared" si="0"/>
        <v>106000</v>
      </c>
      <c r="F12" s="21">
        <f>SUMIFS(operacao!$K$6:$K$71,operacao!$M$6:$M$71,A12,operacao!$N$6:$N$71,B12)</f>
        <v>27985.865500000018</v>
      </c>
    </row>
    <row r="13" spans="1:6">
      <c r="A13" s="106">
        <v>2023</v>
      </c>
      <c r="B13" s="164" t="s">
        <v>23</v>
      </c>
      <c r="C13" s="106">
        <v>0</v>
      </c>
      <c r="D13">
        <v>0</v>
      </c>
      <c r="E13" s="104">
        <f t="shared" si="0"/>
        <v>106000</v>
      </c>
      <c r="F13" s="21">
        <f>SUMIFS(operacao!$K$6:$K$71,operacao!$M$6:$M$71,A13,operacao!$N$6:$N$71,B13)</f>
        <v>11729.1</v>
      </c>
    </row>
    <row r="14" spans="1:6">
      <c r="A14">
        <v>2024</v>
      </c>
      <c r="B14" s="106" t="s">
        <v>19</v>
      </c>
      <c r="C14" s="104">
        <f t="shared" ref="C3:C15" si="1">($E$28)/SUBTOTAL(3,$B$16:$B$27)</f>
        <v>7083.333333333333</v>
      </c>
      <c r="D14">
        <v>1500</v>
      </c>
      <c r="E14" s="104">
        <f t="shared" si="0"/>
        <v>106000</v>
      </c>
      <c r="F14" s="21">
        <f>SUMIFS(operacao!$K$6:$K$71,operacao!$M$6:$M$71,A14,operacao!$N$6:$N$71,B14)</f>
        <v>13153.499999999991</v>
      </c>
    </row>
    <row r="15" spans="1:6">
      <c r="A15">
        <v>2024</v>
      </c>
      <c r="B15" s="106" t="s">
        <v>28</v>
      </c>
      <c r="C15" s="104">
        <f t="shared" si="1"/>
        <v>7083.333333333333</v>
      </c>
      <c r="D15">
        <v>1500</v>
      </c>
      <c r="E15" s="104">
        <f t="shared" si="0"/>
        <v>104500</v>
      </c>
      <c r="F15" s="21">
        <f>SUMIFS(operacao!$K$6:$K$71,operacao!$M$6:$M$71,A15,operacao!$N$6:$N$71,B15)</f>
        <v>0</v>
      </c>
    </row>
    <row r="16" spans="1:6">
      <c r="A16">
        <v>2024</v>
      </c>
      <c r="B16" s="106" t="s">
        <v>20</v>
      </c>
      <c r="C16" s="104">
        <f>($E$28)/SUBTOTAL(3,$B$16:$B$27)</f>
        <v>7083.333333333333</v>
      </c>
      <c r="D16">
        <v>1500</v>
      </c>
      <c r="E16" s="104">
        <f t="shared" ref="E15:E28" si="2">E15-D15</f>
        <v>103000</v>
      </c>
      <c r="F16" s="21">
        <f>SUMIFS(operacao!$K$6:$K$71,operacao!$M$6:$M$71,A16,operacao!$N$6:$N$71,B16)</f>
        <v>0</v>
      </c>
    </row>
    <row r="17" spans="1:6">
      <c r="A17">
        <v>2024</v>
      </c>
      <c r="B17" s="106" t="s">
        <v>27</v>
      </c>
      <c r="C17" s="104">
        <f t="shared" ref="C17:C27" si="3">$E$28/SUBTOTAL(3,$B$16:$B$27)</f>
        <v>7083.333333333333</v>
      </c>
      <c r="D17">
        <v>1500</v>
      </c>
      <c r="E17" s="104">
        <f t="shared" si="2"/>
        <v>101500</v>
      </c>
      <c r="F17" s="21">
        <f>SUMIFS(operacao!$K$6:$K$71,operacao!$M$6:$M$71,A17,operacao!$N$6:$N$71,B17)</f>
        <v>0</v>
      </c>
    </row>
    <row r="18" spans="1:6">
      <c r="A18">
        <v>2024</v>
      </c>
      <c r="B18" s="106" t="s">
        <v>26</v>
      </c>
      <c r="C18" s="104">
        <f t="shared" si="3"/>
        <v>7083.333333333333</v>
      </c>
      <c r="D18">
        <v>1500</v>
      </c>
      <c r="E18" s="104">
        <f t="shared" si="2"/>
        <v>100000</v>
      </c>
      <c r="F18" s="21">
        <f>SUMIFS(operacao!$K$6:$K$71,operacao!$M$6:$M$71,A18,operacao!$N$6:$N$71,B18)</f>
        <v>0</v>
      </c>
    </row>
    <row r="19" spans="1:6">
      <c r="A19">
        <v>2024</v>
      </c>
      <c r="B19" s="106" t="s">
        <v>25</v>
      </c>
      <c r="C19" s="104">
        <f t="shared" si="3"/>
        <v>7083.333333333333</v>
      </c>
      <c r="D19">
        <v>1500</v>
      </c>
      <c r="E19" s="104">
        <f t="shared" si="2"/>
        <v>98500</v>
      </c>
      <c r="F19" s="21">
        <f>SUMIFS(operacao!$K$6:$K$71,operacao!$M$6:$M$71,A19,operacao!$N$6:$N$71,B19)</f>
        <v>0</v>
      </c>
    </row>
    <row r="20" spans="1:6">
      <c r="A20">
        <v>2024</v>
      </c>
      <c r="B20" s="106" t="s">
        <v>24</v>
      </c>
      <c r="C20" s="104">
        <f t="shared" si="3"/>
        <v>7083.333333333333</v>
      </c>
      <c r="D20">
        <v>1500</v>
      </c>
      <c r="E20" s="104">
        <f t="shared" si="2"/>
        <v>97000</v>
      </c>
      <c r="F20" s="21">
        <f>SUMIFS(operacao!$K$6:$K$71,operacao!$M$6:$M$71,A20,operacao!$N$6:$N$71,B20)</f>
        <v>0</v>
      </c>
    </row>
    <row r="21" spans="1:6">
      <c r="A21">
        <v>2024</v>
      </c>
      <c r="B21" s="106" t="s">
        <v>13</v>
      </c>
      <c r="C21" s="104">
        <f t="shared" si="3"/>
        <v>7083.333333333333</v>
      </c>
      <c r="D21">
        <v>1500</v>
      </c>
      <c r="E21" s="104">
        <f t="shared" si="2"/>
        <v>95500</v>
      </c>
      <c r="F21" s="21">
        <f>SUMIFS(operacao!$K$6:$K$71,operacao!$M$6:$M$71,A21,operacao!$N$6:$N$71,B21)</f>
        <v>0</v>
      </c>
    </row>
    <row r="22" spans="1:6">
      <c r="A22">
        <v>2024</v>
      </c>
      <c r="B22" s="106" t="s">
        <v>15</v>
      </c>
      <c r="C22" s="104">
        <f t="shared" si="3"/>
        <v>7083.333333333333</v>
      </c>
      <c r="D22">
        <v>1500</v>
      </c>
      <c r="E22" s="104">
        <f t="shared" si="2"/>
        <v>94000</v>
      </c>
      <c r="F22" s="21">
        <f>SUMIFS(operacao!$K$6:$K$71,operacao!$M$6:$M$71,A22,operacao!$N$6:$N$71,B22)</f>
        <v>0</v>
      </c>
    </row>
    <row r="23" spans="1:6">
      <c r="A23">
        <v>2024</v>
      </c>
      <c r="B23" s="106" t="s">
        <v>17</v>
      </c>
      <c r="C23" s="104">
        <f t="shared" si="3"/>
        <v>7083.333333333333</v>
      </c>
      <c r="D23">
        <v>1500</v>
      </c>
      <c r="E23" s="104">
        <f t="shared" si="2"/>
        <v>92500</v>
      </c>
      <c r="F23" s="21">
        <f>SUMIFS(operacao!$K$6:$K$71,operacao!$M$6:$M$71,A23,operacao!$N$6:$N$71,B23)</f>
        <v>0</v>
      </c>
    </row>
    <row r="24" spans="1:6">
      <c r="A24">
        <v>2024</v>
      </c>
      <c r="B24" s="106" t="s">
        <v>18</v>
      </c>
      <c r="C24" s="104">
        <f t="shared" si="3"/>
        <v>7083.333333333333</v>
      </c>
      <c r="D24">
        <v>1500</v>
      </c>
      <c r="E24" s="104">
        <f t="shared" si="2"/>
        <v>91000</v>
      </c>
      <c r="F24" s="21">
        <f>SUMIFS(operacao!$K$6:$K$71,operacao!$M$6:$M$71,A24,operacao!$N$6:$N$71,B24)</f>
        <v>0</v>
      </c>
    </row>
    <row r="25" spans="1:6">
      <c r="A25">
        <v>2024</v>
      </c>
      <c r="B25" s="106" t="s">
        <v>23</v>
      </c>
      <c r="C25" s="104">
        <f t="shared" si="3"/>
        <v>7083.333333333333</v>
      </c>
      <c r="D25">
        <v>1500</v>
      </c>
      <c r="E25" s="104">
        <f t="shared" si="2"/>
        <v>89500</v>
      </c>
      <c r="F25" s="21">
        <f>SUMIFS(operacao!$K$6:$K$71,operacao!$M$6:$M$71,A25,operacao!$N$6:$N$71,B25)</f>
        <v>0</v>
      </c>
    </row>
    <row r="26" spans="1:6">
      <c r="A26">
        <v>2025</v>
      </c>
      <c r="B26" s="106" t="s">
        <v>19</v>
      </c>
      <c r="C26" s="104">
        <f t="shared" si="3"/>
        <v>7083.333333333333</v>
      </c>
      <c r="D26">
        <v>1500</v>
      </c>
      <c r="E26" s="104">
        <f t="shared" si="2"/>
        <v>88000</v>
      </c>
      <c r="F26" s="21">
        <f>SUMIFS(operacao!$K$6:$K$71,operacao!$M$6:$M$71,A26,operacao!$N$6:$N$71,B26)</f>
        <v>0</v>
      </c>
    </row>
    <row r="27" spans="1:6">
      <c r="A27">
        <v>2025</v>
      </c>
      <c r="B27" s="106" t="s">
        <v>28</v>
      </c>
      <c r="C27" s="104">
        <f t="shared" si="3"/>
        <v>7083.333333333333</v>
      </c>
      <c r="D27">
        <v>1500</v>
      </c>
      <c r="E27" s="104">
        <f t="shared" si="2"/>
        <v>86500</v>
      </c>
      <c r="F27" s="21">
        <f>SUMIFS(operacao!$K$6:$K$71,operacao!$M$6:$M$71,A27,operacao!$N$6:$N$71,B27)</f>
        <v>0</v>
      </c>
    </row>
    <row r="28" spans="1:6">
      <c r="A28">
        <v>2025</v>
      </c>
      <c r="B28" s="106" t="s">
        <v>20</v>
      </c>
      <c r="C28" s="104"/>
      <c r="D28">
        <v>1500</v>
      </c>
      <c r="E28" s="104">
        <f t="shared" si="2"/>
        <v>85000</v>
      </c>
      <c r="F28" s="21">
        <f>SUMIFS(operacao!$K$6:$K$71,operacao!$M$6:$M$71,A28,operacao!$N$6:$N$71,B28)</f>
        <v>0</v>
      </c>
    </row>
  </sheetData>
  <sortState xmlns:xlrd2="http://schemas.microsoft.com/office/spreadsheetml/2017/richdata2" ref="A14:F28">
    <sortCondition ref="A1:A28"/>
  </sortState>
  <phoneticPr fontId="37"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84"/>
  <sheetViews>
    <sheetView zoomScaleNormal="100" workbookViewId="0">
      <pane ySplit="5" topLeftCell="A56" activePane="bottomLeft" state="frozen"/>
      <selection pane="bottomLeft" activeCell="H74" sqref="H74"/>
    </sheetView>
  </sheetViews>
  <sheetFormatPr defaultColWidth="9" defaultRowHeight="15" outlineLevelRow="1"/>
  <cols>
    <col min="1" max="1" width="10.7109375" bestFit="1" customWidth="1"/>
    <col min="2" max="2" width="7.140625" bestFit="1" customWidth="1"/>
    <col min="3" max="3" width="9.42578125" customWidth="1"/>
    <col min="4" max="4" width="2" bestFit="1" customWidth="1"/>
    <col min="5" max="5" width="10.140625" customWidth="1"/>
    <col min="6" max="6" width="8" style="2" customWidth="1"/>
    <col min="7" max="7" width="7.85546875" customWidth="1"/>
    <col min="8" max="8" width="9.5703125" customWidth="1"/>
    <col min="9" max="9" width="8" customWidth="1"/>
    <col min="10" max="10" width="7.85546875" customWidth="1"/>
    <col min="11" max="11" width="13.28515625" style="110" customWidth="1"/>
    <col min="12" max="12" width="11.85546875" bestFit="1" customWidth="1"/>
    <col min="13" max="13" width="3.5703125" style="112" customWidth="1"/>
    <col min="14" max="14" width="10.85546875" style="110" customWidth="1"/>
    <col min="15" max="15" width="8.7109375" customWidth="1"/>
    <col min="16" max="16" width="10.140625" style="7" customWidth="1"/>
    <col min="17" max="17" width="4.42578125" customWidth="1"/>
    <col min="18" max="18" width="4.85546875" style="13" bestFit="1" customWidth="1"/>
    <col min="19" max="19" width="17.85546875" customWidth="1"/>
    <col min="20" max="20" width="3.7109375" bestFit="1" customWidth="1"/>
    <col min="21" max="21" width="4.28515625" customWidth="1"/>
    <col min="22" max="22" width="5.7109375" customWidth="1"/>
    <col min="23" max="23" width="8.140625" customWidth="1"/>
    <col min="24" max="24" width="12.42578125" bestFit="1" customWidth="1"/>
    <col min="25" max="25" width="9.5703125" bestFit="1" customWidth="1"/>
    <col min="27" max="27" width="10.140625" bestFit="1" customWidth="1"/>
  </cols>
  <sheetData>
    <row r="1" spans="1:28" ht="15.75">
      <c r="A1" s="95"/>
      <c r="B1" s="8"/>
      <c r="C1" s="8"/>
      <c r="D1" s="8"/>
      <c r="E1" s="8"/>
      <c r="F1" s="9"/>
      <c r="G1" s="10"/>
      <c r="H1" s="10"/>
      <c r="I1" s="10"/>
      <c r="J1" s="10"/>
      <c r="K1" s="107"/>
      <c r="L1" s="8"/>
      <c r="M1" s="111"/>
      <c r="N1" s="166"/>
      <c r="O1" s="167" t="s">
        <v>191</v>
      </c>
      <c r="P1" s="167" t="s">
        <v>190</v>
      </c>
      <c r="Q1" s="10"/>
      <c r="S1" s="18"/>
      <c r="T1" s="19"/>
      <c r="U1" s="20"/>
      <c r="V1" s="95"/>
    </row>
    <row r="2" spans="1:28" ht="15.75">
      <c r="A2" s="95" t="s">
        <v>159</v>
      </c>
      <c r="B2" s="8"/>
      <c r="C2" s="8"/>
      <c r="D2" s="8"/>
      <c r="E2" s="8"/>
      <c r="F2" s="9"/>
      <c r="G2" s="10"/>
      <c r="H2" s="10"/>
      <c r="I2" s="10"/>
      <c r="J2" s="10"/>
      <c r="K2" s="107">
        <f>SUMIFS($K$26:$K$62,$B$26:$B$62,"e")</f>
        <v>28105.547500000004</v>
      </c>
      <c r="L2" s="8">
        <f>SUMIFS(K5:K1040,B5:B1040,"v")/N2</f>
        <v>0.74543732203389834</v>
      </c>
      <c r="M2" s="111"/>
      <c r="N2" s="166">
        <v>118000</v>
      </c>
      <c r="O2" s="167">
        <f>SUMIFS($S$62:$S$71,$D$62:$D$71,"v",$B$62:$B$71,"e")</f>
        <v>-53910</v>
      </c>
      <c r="P2" s="167">
        <f>SUMIFS($S$62:$S$71,$D$62:$D$71,"c",$B$62:$B$71,"e")</f>
        <v>0</v>
      </c>
      <c r="Q2" s="10"/>
      <c r="S2" s="18"/>
      <c r="T2" s="19"/>
      <c r="U2" s="20"/>
      <c r="V2" s="95"/>
    </row>
    <row r="3" spans="1:28" ht="15.75">
      <c r="A3" s="95" t="s">
        <v>160</v>
      </c>
      <c r="B3" s="8"/>
      <c r="C3" s="8"/>
      <c r="D3" s="8"/>
      <c r="E3" s="8"/>
      <c r="F3" s="9"/>
      <c r="G3" s="10"/>
      <c r="H3" s="10"/>
      <c r="I3" s="10"/>
      <c r="J3" s="10"/>
      <c r="K3" s="107">
        <f>SUMIFS($K$26:$K$62,$B$26:$B$62,"V")</f>
        <v>24787.970000000008</v>
      </c>
      <c r="L3" s="8">
        <f>SUMIFS(K6:K1041,B6:B1041,"v")/N3</f>
        <v>0.51742120000000003</v>
      </c>
      <c r="M3" s="111"/>
      <c r="N3" s="166">
        <v>170000</v>
      </c>
      <c r="O3" s="167">
        <f>SUMIFS($S$62:$S$71,$D$62:$D$71,"v",$B$62:$B$71,"v")</f>
        <v>-53910</v>
      </c>
      <c r="P3" s="167">
        <f>SUMIFS($S$62:$S$71,$D$62:$D$71,"c",$B$62:$B$71,"v")</f>
        <v>77600</v>
      </c>
      <c r="Q3" s="10"/>
      <c r="R3" s="13">
        <f>MEDIAN(R6:R62)</f>
        <v>0.20000000000000107</v>
      </c>
      <c r="S3" s="18" t="s">
        <v>161</v>
      </c>
      <c r="T3" s="19"/>
      <c r="U3" s="20"/>
      <c r="V3" s="95"/>
    </row>
    <row r="4" spans="1:28" ht="15.75">
      <c r="A4" s="95"/>
      <c r="B4" s="8"/>
      <c r="C4" s="8"/>
      <c r="D4" s="8"/>
      <c r="E4" s="8"/>
      <c r="F4" s="9"/>
      <c r="G4" s="10"/>
      <c r="H4" s="10"/>
      <c r="I4" s="10"/>
      <c r="J4" s="10"/>
      <c r="K4" s="107"/>
      <c r="L4" s="8"/>
      <c r="M4" s="111"/>
      <c r="N4" s="111"/>
      <c r="O4" s="10"/>
      <c r="P4" s="96"/>
      <c r="Q4" s="10"/>
      <c r="R4" s="13">
        <f>AVERAGE(R6:R62)</f>
        <v>0.37594594594594605</v>
      </c>
      <c r="S4" s="18" t="s">
        <v>126</v>
      </c>
      <c r="T4" s="19"/>
      <c r="U4" s="20"/>
      <c r="V4" s="95"/>
    </row>
    <row r="5" spans="1:28">
      <c r="B5" s="8" t="s">
        <v>0</v>
      </c>
      <c r="C5" s="8" t="s">
        <v>1</v>
      </c>
      <c r="D5" s="8"/>
      <c r="E5" s="8" t="s">
        <v>2</v>
      </c>
      <c r="F5" s="9" t="s">
        <v>3</v>
      </c>
      <c r="G5" s="10" t="s">
        <v>4</v>
      </c>
      <c r="H5" s="10" t="s">
        <v>5</v>
      </c>
      <c r="I5" s="10">
        <v>0.95</v>
      </c>
      <c r="J5" s="10" t="s">
        <v>6</v>
      </c>
      <c r="K5" s="108"/>
      <c r="L5" s="159" t="s">
        <v>7</v>
      </c>
      <c r="M5" s="111"/>
      <c r="N5" s="111" t="s">
        <v>8</v>
      </c>
      <c r="O5" s="10" t="s">
        <v>101</v>
      </c>
      <c r="P5" s="14" t="s">
        <v>9</v>
      </c>
      <c r="Q5" s="10" t="s">
        <v>10</v>
      </c>
      <c r="R5" s="10" t="s">
        <v>33</v>
      </c>
      <c r="S5" s="10"/>
      <c r="T5" s="10" t="s">
        <v>179</v>
      </c>
      <c r="U5" s="10"/>
      <c r="V5" s="10"/>
      <c r="W5" s="10" t="s">
        <v>162</v>
      </c>
      <c r="X5" s="10"/>
      <c r="Y5" s="10" t="s">
        <v>165</v>
      </c>
      <c r="Z5" s="10" t="s">
        <v>163</v>
      </c>
      <c r="AA5" s="10" t="s">
        <v>164</v>
      </c>
      <c r="AB5" s="10"/>
    </row>
    <row r="6" spans="1:28" outlineLevel="1">
      <c r="A6" s="100">
        <v>44930</v>
      </c>
      <c r="B6" s="176" t="s">
        <v>16</v>
      </c>
      <c r="C6" s="176" t="s">
        <v>194</v>
      </c>
      <c r="D6" s="176" t="s">
        <v>180</v>
      </c>
      <c r="E6" s="11">
        <v>12.73</v>
      </c>
      <c r="F6" s="12">
        <v>12.7</v>
      </c>
      <c r="G6">
        <v>1000</v>
      </c>
      <c r="H6" s="13">
        <f>(E6-F6)*G6</f>
        <v>30.000000000001137</v>
      </c>
      <c r="I6" s="13">
        <f>H6*0.05</f>
        <v>1.5000000000000568</v>
      </c>
      <c r="J6" s="13">
        <f>SUM(H6:I6)*-0.15</f>
        <v>-4.7250000000001791</v>
      </c>
      <c r="K6" s="109">
        <f t="shared" ref="K6:K30" si="0">SUM(H6:J6)</f>
        <v>26.775000000001015</v>
      </c>
      <c r="L6" s="15">
        <v>44935</v>
      </c>
      <c r="M6" s="112">
        <v>2023</v>
      </c>
      <c r="N6" s="110" t="s">
        <v>13</v>
      </c>
      <c r="O6" s="16">
        <v>45198</v>
      </c>
      <c r="P6" s="7">
        <f>IF(L6="","",J6)</f>
        <v>-4.7250000000001791</v>
      </c>
      <c r="Q6" s="17" t="s">
        <v>14</v>
      </c>
      <c r="R6" s="13">
        <f t="shared" ref="R6:R30" si="1">E6-F6</f>
        <v>3.0000000000001137E-2</v>
      </c>
      <c r="S6" s="11">
        <f t="shared" ref="S6:S30" si="2">E6*G6</f>
        <v>12730</v>
      </c>
      <c r="T6" s="95" t="str">
        <f t="shared" ref="T6:T33" si="3">IF(L6-A6=0,"d","s")</f>
        <v>s</v>
      </c>
    </row>
    <row r="7" spans="1:28" outlineLevel="1">
      <c r="A7" s="100">
        <v>44931</v>
      </c>
      <c r="B7" s="176" t="s">
        <v>16</v>
      </c>
      <c r="C7" s="176" t="s">
        <v>195</v>
      </c>
      <c r="D7" s="176" t="s">
        <v>180</v>
      </c>
      <c r="E7" s="11">
        <v>8.42</v>
      </c>
      <c r="F7" s="12">
        <v>8.1199999999999992</v>
      </c>
      <c r="G7">
        <v>1000</v>
      </c>
      <c r="H7" s="13">
        <f t="shared" ref="H7:H9" si="4">(E7-F7)*G7</f>
        <v>300.00000000000068</v>
      </c>
      <c r="I7" s="13">
        <f t="shared" ref="I7:I24" si="5">H7*0.05</f>
        <v>15.000000000000036</v>
      </c>
      <c r="J7" s="13">
        <f t="shared" ref="J7:J9" si="6">SUM(H7:I7)*-0.15</f>
        <v>-47.250000000000107</v>
      </c>
      <c r="K7" s="109">
        <f t="shared" ref="K7:K9" si="7">SUM(H7:J7)</f>
        <v>267.75000000000063</v>
      </c>
      <c r="L7" s="15">
        <v>44944</v>
      </c>
      <c r="M7" s="112">
        <v>2023</v>
      </c>
      <c r="N7" s="110" t="s">
        <v>19</v>
      </c>
      <c r="O7" s="16"/>
      <c r="Q7" s="17"/>
      <c r="S7" s="11"/>
      <c r="T7" s="95"/>
    </row>
    <row r="8" spans="1:28" outlineLevel="1">
      <c r="A8" s="100">
        <v>44936</v>
      </c>
      <c r="B8" s="176" t="s">
        <v>16</v>
      </c>
      <c r="C8" s="176" t="s">
        <v>196</v>
      </c>
      <c r="D8" s="176" t="s">
        <v>180</v>
      </c>
      <c r="E8" s="11">
        <v>4.25</v>
      </c>
      <c r="F8" s="12">
        <v>3.06</v>
      </c>
      <c r="G8">
        <v>5000</v>
      </c>
      <c r="H8" s="13">
        <f t="shared" si="4"/>
        <v>5950</v>
      </c>
      <c r="I8" s="13">
        <f t="shared" si="5"/>
        <v>297.5</v>
      </c>
      <c r="J8" s="13">
        <f t="shared" si="6"/>
        <v>-937.125</v>
      </c>
      <c r="K8" s="109">
        <f t="shared" si="7"/>
        <v>5310.375</v>
      </c>
      <c r="L8" s="15">
        <v>44960</v>
      </c>
      <c r="M8" s="112">
        <v>2023</v>
      </c>
      <c r="N8" s="110" t="s">
        <v>28</v>
      </c>
      <c r="O8" s="16"/>
      <c r="Q8" s="17"/>
      <c r="S8" s="11"/>
      <c r="T8" s="95"/>
    </row>
    <row r="9" spans="1:28" outlineLevel="1">
      <c r="A9" s="100">
        <v>44944</v>
      </c>
      <c r="B9" s="176" t="s">
        <v>16</v>
      </c>
      <c r="C9" s="176" t="s">
        <v>188</v>
      </c>
      <c r="D9" s="176" t="s">
        <v>180</v>
      </c>
      <c r="E9" s="11">
        <v>1.0900000000000001</v>
      </c>
      <c r="F9" s="12">
        <v>1.08</v>
      </c>
      <c r="G9">
        <v>7000</v>
      </c>
      <c r="H9" s="13">
        <f t="shared" si="4"/>
        <v>70.000000000000057</v>
      </c>
      <c r="I9" s="13">
        <f t="shared" si="5"/>
        <v>3.5000000000000031</v>
      </c>
      <c r="J9" s="13">
        <f t="shared" si="6"/>
        <v>-11.025000000000007</v>
      </c>
      <c r="K9" s="109">
        <f t="shared" si="7"/>
        <v>62.475000000000051</v>
      </c>
      <c r="L9" s="15">
        <v>44952</v>
      </c>
      <c r="M9" s="112">
        <v>2023</v>
      </c>
      <c r="N9" s="110" t="s">
        <v>19</v>
      </c>
      <c r="O9" s="16"/>
      <c r="Q9" s="17"/>
      <c r="S9" s="11"/>
      <c r="T9" s="95"/>
    </row>
    <row r="10" spans="1:28" outlineLevel="1">
      <c r="A10" s="100"/>
      <c r="B10" s="176" t="s">
        <v>16</v>
      </c>
      <c r="C10" s="176" t="s">
        <v>186</v>
      </c>
      <c r="D10" s="176" t="s">
        <v>180</v>
      </c>
      <c r="E10" s="11">
        <v>22.97</v>
      </c>
      <c r="F10" s="12"/>
      <c r="G10">
        <v>700</v>
      </c>
      <c r="H10" s="13">
        <f t="shared" ref="H10:H13" si="8">(E10-F10)*G10</f>
        <v>16079</v>
      </c>
      <c r="I10" s="13">
        <f t="shared" si="5"/>
        <v>803.95</v>
      </c>
      <c r="J10" s="13">
        <f t="shared" ref="J10:J13" si="9">SUM(H10:I10)*-0.15</f>
        <v>-2532.4425000000001</v>
      </c>
      <c r="K10" s="109">
        <f t="shared" ref="K10:K13" si="10">SUM(H10:J10)</f>
        <v>14350.5075</v>
      </c>
      <c r="L10" s="15">
        <v>44949</v>
      </c>
      <c r="M10" s="112">
        <v>2023</v>
      </c>
      <c r="N10" s="110" t="s">
        <v>19</v>
      </c>
      <c r="O10" s="16"/>
      <c r="Q10" s="17"/>
      <c r="S10" s="11"/>
      <c r="T10" s="95"/>
    </row>
    <row r="11" spans="1:28" outlineLevel="1">
      <c r="A11" s="177">
        <v>44949</v>
      </c>
      <c r="B11" s="176" t="s">
        <v>16</v>
      </c>
      <c r="C11" s="176" t="s">
        <v>194</v>
      </c>
      <c r="D11" s="176" t="s">
        <v>180</v>
      </c>
      <c r="E11" s="11">
        <v>12.6</v>
      </c>
      <c r="F11" s="12">
        <v>12.57</v>
      </c>
      <c r="G11">
        <v>1200</v>
      </c>
      <c r="H11" s="13">
        <f t="shared" si="8"/>
        <v>35.999999999999233</v>
      </c>
      <c r="I11" s="13">
        <f t="shared" si="5"/>
        <v>1.7999999999999616</v>
      </c>
      <c r="J11" s="13">
        <f t="shared" si="9"/>
        <v>-5.6699999999998791</v>
      </c>
      <c r="K11" s="109">
        <f t="shared" si="10"/>
        <v>32.129999999999313</v>
      </c>
      <c r="L11" s="15">
        <v>44952</v>
      </c>
      <c r="M11" s="112">
        <v>2023</v>
      </c>
      <c r="N11" s="110" t="s">
        <v>19</v>
      </c>
      <c r="O11" s="16"/>
      <c r="Q11" s="17"/>
      <c r="S11" s="11"/>
      <c r="T11" s="95"/>
    </row>
    <row r="12" spans="1:28" outlineLevel="1">
      <c r="A12" s="100"/>
      <c r="B12" s="176" t="s">
        <v>16</v>
      </c>
      <c r="C12" s="176" t="s">
        <v>193</v>
      </c>
      <c r="D12" s="176" t="s">
        <v>180</v>
      </c>
      <c r="E12" s="11">
        <v>25.59</v>
      </c>
      <c r="F12" s="12"/>
      <c r="G12">
        <v>400</v>
      </c>
      <c r="H12" s="13">
        <f t="shared" si="8"/>
        <v>10236</v>
      </c>
      <c r="I12" s="13">
        <f t="shared" si="5"/>
        <v>511.8</v>
      </c>
      <c r="J12" s="13">
        <f t="shared" si="9"/>
        <v>-1612.1699999999998</v>
      </c>
      <c r="K12" s="109">
        <f t="shared" si="10"/>
        <v>9135.6299999999992</v>
      </c>
      <c r="L12" s="15">
        <v>44953</v>
      </c>
      <c r="M12" s="112">
        <v>2023</v>
      </c>
      <c r="N12" s="110" t="s">
        <v>19</v>
      </c>
      <c r="O12" s="16"/>
      <c r="Q12" s="17"/>
      <c r="S12" s="11"/>
      <c r="T12" s="95"/>
    </row>
    <row r="13" spans="1:28" outlineLevel="1">
      <c r="A13" s="100">
        <v>44957</v>
      </c>
      <c r="B13" s="176" t="s">
        <v>16</v>
      </c>
      <c r="C13" s="176" t="s">
        <v>192</v>
      </c>
      <c r="D13" s="176" t="s">
        <v>180</v>
      </c>
      <c r="E13" s="11">
        <v>5.17</v>
      </c>
      <c r="F13" s="12">
        <v>4.8</v>
      </c>
      <c r="G13">
        <v>1000</v>
      </c>
      <c r="H13" s="13">
        <f t="shared" si="8"/>
        <v>370.00000000000011</v>
      </c>
      <c r="I13" s="13">
        <f t="shared" si="5"/>
        <v>18.500000000000007</v>
      </c>
      <c r="J13" s="13">
        <f t="shared" si="9"/>
        <v>-58.275000000000013</v>
      </c>
      <c r="K13" s="109">
        <f t="shared" si="10"/>
        <v>330.22500000000008</v>
      </c>
      <c r="L13" s="15">
        <v>44974</v>
      </c>
      <c r="M13" s="112">
        <v>2023</v>
      </c>
      <c r="N13" s="110" t="s">
        <v>28</v>
      </c>
      <c r="O13" s="16"/>
      <c r="Q13" s="17"/>
      <c r="S13" s="11"/>
      <c r="T13" s="95"/>
    </row>
    <row r="14" spans="1:28" outlineLevel="1">
      <c r="A14" s="100">
        <v>44959</v>
      </c>
      <c r="B14" s="176" t="s">
        <v>16</v>
      </c>
      <c r="C14" s="176" t="s">
        <v>197</v>
      </c>
      <c r="D14" s="176" t="s">
        <v>180</v>
      </c>
      <c r="E14" s="11">
        <v>7.73</v>
      </c>
      <c r="F14" s="12">
        <v>8.07</v>
      </c>
      <c r="G14">
        <v>400</v>
      </c>
      <c r="H14" s="13">
        <f t="shared" ref="H14:H17" si="11">(E14-F14)*G14</f>
        <v>-135.99999999999994</v>
      </c>
      <c r="I14" s="13">
        <f t="shared" si="5"/>
        <v>-6.7999999999999972</v>
      </c>
      <c r="J14" s="13">
        <f t="shared" ref="J14:J17" si="12">SUM(H14:I14)*-0.15</f>
        <v>21.419999999999991</v>
      </c>
      <c r="K14" s="109">
        <f t="shared" ref="K14:K17" si="13">SUM(H14:J14)</f>
        <v>-121.37999999999997</v>
      </c>
      <c r="L14" s="15">
        <v>45063</v>
      </c>
      <c r="M14" s="112">
        <v>2023</v>
      </c>
      <c r="N14" s="110" t="s">
        <v>26</v>
      </c>
      <c r="O14" s="16"/>
      <c r="Q14" s="17"/>
      <c r="S14" s="11"/>
      <c r="T14" s="95"/>
    </row>
    <row r="15" spans="1:28" outlineLevel="1">
      <c r="A15" s="100">
        <v>44964</v>
      </c>
      <c r="B15" s="176" t="s">
        <v>16</v>
      </c>
      <c r="C15" s="176" t="s">
        <v>198</v>
      </c>
      <c r="D15" s="176" t="s">
        <v>180</v>
      </c>
      <c r="E15" s="11">
        <v>2</v>
      </c>
      <c r="F15" s="12">
        <v>1.37</v>
      </c>
      <c r="G15">
        <v>7500</v>
      </c>
      <c r="H15" s="13">
        <f t="shared" si="11"/>
        <v>4724.9999999999991</v>
      </c>
      <c r="I15" s="13">
        <f t="shared" si="5"/>
        <v>236.24999999999997</v>
      </c>
      <c r="J15" s="13">
        <f t="shared" si="12"/>
        <v>-744.18749999999989</v>
      </c>
      <c r="K15" s="109">
        <f t="shared" si="13"/>
        <v>4217.0624999999991</v>
      </c>
      <c r="L15" s="15">
        <v>44971</v>
      </c>
      <c r="M15" s="112">
        <v>2023</v>
      </c>
      <c r="N15" s="110" t="s">
        <v>28</v>
      </c>
      <c r="O15" s="16"/>
      <c r="Q15" s="17"/>
      <c r="S15" s="11"/>
      <c r="T15" s="95"/>
    </row>
    <row r="16" spans="1:28" outlineLevel="1">
      <c r="A16" s="100">
        <v>44964</v>
      </c>
      <c r="B16" s="176" t="s">
        <v>16</v>
      </c>
      <c r="C16" s="176" t="s">
        <v>198</v>
      </c>
      <c r="D16" s="176" t="s">
        <v>16</v>
      </c>
      <c r="E16" s="11">
        <v>2.0099999999999998</v>
      </c>
      <c r="F16" s="12">
        <v>2</v>
      </c>
      <c r="G16">
        <v>5500</v>
      </c>
      <c r="H16" s="13">
        <f t="shared" si="11"/>
        <v>54.999999999998828</v>
      </c>
      <c r="I16" s="13">
        <f t="shared" si="5"/>
        <v>2.7499999999999414</v>
      </c>
      <c r="J16" s="13">
        <f t="shared" si="12"/>
        <v>-8.6624999999998149</v>
      </c>
      <c r="K16" s="109">
        <f t="shared" si="13"/>
        <v>49.087499999998954</v>
      </c>
      <c r="L16" s="15">
        <v>44974</v>
      </c>
      <c r="M16" s="112">
        <v>2023</v>
      </c>
      <c r="N16" s="110" t="s">
        <v>28</v>
      </c>
      <c r="O16" s="16"/>
      <c r="Q16" s="17"/>
      <c r="S16" s="11"/>
      <c r="T16" s="95"/>
    </row>
    <row r="17" spans="1:20" outlineLevel="1">
      <c r="A17" s="100">
        <v>44974</v>
      </c>
      <c r="B17" s="176" t="s">
        <v>16</v>
      </c>
      <c r="C17" s="176" t="s">
        <v>196</v>
      </c>
      <c r="D17" s="176" t="s">
        <v>16</v>
      </c>
      <c r="E17" s="11"/>
      <c r="F17" s="12">
        <v>3.76</v>
      </c>
      <c r="G17">
        <v>500</v>
      </c>
      <c r="H17" s="13">
        <f t="shared" si="11"/>
        <v>-1880</v>
      </c>
      <c r="I17" s="13">
        <f t="shared" si="5"/>
        <v>-94</v>
      </c>
      <c r="J17" s="13">
        <f t="shared" si="12"/>
        <v>296.09999999999997</v>
      </c>
      <c r="K17" s="109">
        <f t="shared" si="13"/>
        <v>-1677.9</v>
      </c>
      <c r="L17" s="15"/>
      <c r="M17" s="112">
        <v>2023</v>
      </c>
      <c r="O17" s="16"/>
      <c r="Q17" s="17"/>
      <c r="S17" s="11"/>
      <c r="T17" s="95"/>
    </row>
    <row r="18" spans="1:20" outlineLevel="1">
      <c r="A18" s="100">
        <v>45120</v>
      </c>
      <c r="B18" s="176" t="s">
        <v>16</v>
      </c>
      <c r="C18" s="176" t="s">
        <v>97</v>
      </c>
      <c r="D18" s="176" t="s">
        <v>180</v>
      </c>
      <c r="E18" s="11">
        <v>12.06</v>
      </c>
      <c r="F18" s="12">
        <v>11.89</v>
      </c>
      <c r="G18">
        <v>1000</v>
      </c>
      <c r="H18" s="13">
        <f t="shared" ref="H18:H24" si="14">(E18-F18)*G18</f>
        <v>169.99999999999994</v>
      </c>
      <c r="I18" s="13">
        <f t="shared" si="5"/>
        <v>8.4999999999999982</v>
      </c>
      <c r="J18" s="13">
        <f t="shared" ref="J18:J24" si="15">SUM(H18:I18)*-0.15</f>
        <v>-26.774999999999991</v>
      </c>
      <c r="K18" s="109">
        <f t="shared" ref="K18:K24" si="16">SUM(H18:J18)</f>
        <v>151.72499999999997</v>
      </c>
      <c r="L18" s="15">
        <v>45141</v>
      </c>
      <c r="M18" s="112">
        <v>2023</v>
      </c>
      <c r="N18" s="110" t="s">
        <v>13</v>
      </c>
      <c r="O18" s="16"/>
      <c r="Q18" s="17"/>
      <c r="S18" s="11"/>
      <c r="T18" s="95"/>
    </row>
    <row r="19" spans="1:20" outlineLevel="1">
      <c r="A19" s="100">
        <v>45132</v>
      </c>
      <c r="B19" s="176" t="s">
        <v>16</v>
      </c>
      <c r="C19" s="176" t="s">
        <v>94</v>
      </c>
      <c r="D19" s="176" t="s">
        <v>180</v>
      </c>
      <c r="E19" s="11">
        <v>18.75</v>
      </c>
      <c r="F19" s="12">
        <v>19.149999999999999</v>
      </c>
      <c r="G19">
        <v>1000</v>
      </c>
      <c r="H19" s="13">
        <f t="shared" si="14"/>
        <v>-399.99999999999858</v>
      </c>
      <c r="I19" s="13">
        <f t="shared" si="5"/>
        <v>-19.999999999999929</v>
      </c>
      <c r="J19" s="13">
        <f t="shared" si="15"/>
        <v>62.999999999999773</v>
      </c>
      <c r="K19" s="109">
        <f t="shared" si="16"/>
        <v>-356.99999999999875</v>
      </c>
      <c r="L19" s="15">
        <v>45148</v>
      </c>
      <c r="M19" s="112">
        <v>2023</v>
      </c>
      <c r="N19" s="110" t="s">
        <v>13</v>
      </c>
      <c r="O19" s="16"/>
      <c r="Q19" s="17"/>
      <c r="S19" s="11"/>
      <c r="T19" s="95"/>
    </row>
    <row r="20" spans="1:20" outlineLevel="1">
      <c r="A20" s="100">
        <v>45169</v>
      </c>
      <c r="B20" s="176" t="s">
        <v>16</v>
      </c>
      <c r="C20" s="176" t="s">
        <v>100</v>
      </c>
      <c r="D20" s="176" t="s">
        <v>180</v>
      </c>
      <c r="E20" s="11">
        <v>33.19</v>
      </c>
      <c r="F20" s="12">
        <v>33.299999999999997</v>
      </c>
      <c r="G20">
        <v>1000</v>
      </c>
      <c r="H20" s="13">
        <f t="shared" si="14"/>
        <v>-109.99999999999943</v>
      </c>
      <c r="I20" s="13">
        <f t="shared" si="5"/>
        <v>-5.4999999999999716</v>
      </c>
      <c r="J20" s="13">
        <f t="shared" si="15"/>
        <v>17.32499999999991</v>
      </c>
      <c r="K20" s="109">
        <f t="shared" si="16"/>
        <v>-98.1749999999995</v>
      </c>
      <c r="L20" s="15">
        <v>45187</v>
      </c>
      <c r="M20" s="112">
        <v>2023</v>
      </c>
      <c r="N20" s="110" t="s">
        <v>15</v>
      </c>
      <c r="O20" s="16"/>
      <c r="Q20" s="17"/>
      <c r="S20" s="11"/>
      <c r="T20" s="95"/>
    </row>
    <row r="21" spans="1:20" outlineLevel="1">
      <c r="A21" s="100">
        <v>45226</v>
      </c>
      <c r="B21" s="176" t="s">
        <v>16</v>
      </c>
      <c r="C21" s="176" t="s">
        <v>100</v>
      </c>
      <c r="D21" s="176" t="s">
        <v>180</v>
      </c>
      <c r="E21" s="11">
        <v>32.549999999999997</v>
      </c>
      <c r="F21" s="12">
        <v>32.1</v>
      </c>
      <c r="G21">
        <v>1800</v>
      </c>
      <c r="H21" s="13">
        <f t="shared" si="14"/>
        <v>809.99999999999227</v>
      </c>
      <c r="I21" s="13">
        <f t="shared" si="5"/>
        <v>40.499999999999616</v>
      </c>
      <c r="J21" s="13">
        <f t="shared" si="15"/>
        <v>-127.57499999999878</v>
      </c>
      <c r="K21" s="109">
        <f t="shared" si="16"/>
        <v>722.92499999999313</v>
      </c>
      <c r="L21" s="15">
        <v>45230</v>
      </c>
      <c r="M21" s="112">
        <v>2023</v>
      </c>
      <c r="N21" s="110" t="s">
        <v>17</v>
      </c>
      <c r="O21" s="16"/>
      <c r="Q21" s="17"/>
      <c r="S21" s="11"/>
      <c r="T21" s="95"/>
    </row>
    <row r="22" spans="1:20" outlineLevel="1">
      <c r="A22" s="100">
        <v>45231</v>
      </c>
      <c r="B22" s="176" t="s">
        <v>16</v>
      </c>
      <c r="C22" s="176" t="s">
        <v>97</v>
      </c>
      <c r="D22" s="176" t="s">
        <v>180</v>
      </c>
      <c r="E22" s="11">
        <v>9.06</v>
      </c>
      <c r="F22" s="12">
        <v>8.01</v>
      </c>
      <c r="G22">
        <v>5100</v>
      </c>
      <c r="H22" s="13">
        <f t="shared" si="14"/>
        <v>5355.0000000000036</v>
      </c>
      <c r="I22" s="13">
        <f t="shared" si="5"/>
        <v>267.75000000000017</v>
      </c>
      <c r="J22" s="13">
        <f t="shared" si="15"/>
        <v>-843.41250000000048</v>
      </c>
      <c r="K22" s="109">
        <f t="shared" si="16"/>
        <v>4779.3375000000033</v>
      </c>
      <c r="L22" s="15">
        <v>45237</v>
      </c>
      <c r="M22" s="112">
        <v>2023</v>
      </c>
      <c r="N22" s="110" t="s">
        <v>18</v>
      </c>
      <c r="O22" s="16"/>
      <c r="Q22" s="17"/>
      <c r="S22" s="11"/>
      <c r="T22" s="95"/>
    </row>
    <row r="23" spans="1:20" outlineLevel="1">
      <c r="A23" s="100">
        <v>45606</v>
      </c>
      <c r="B23" s="176" t="s">
        <v>16</v>
      </c>
      <c r="C23" s="176" t="s">
        <v>94</v>
      </c>
      <c r="D23" s="176" t="s">
        <v>180</v>
      </c>
      <c r="E23" s="11">
        <v>12.9</v>
      </c>
      <c r="F23" s="12">
        <v>12.9</v>
      </c>
      <c r="G23">
        <v>3000</v>
      </c>
      <c r="H23" s="13">
        <f t="shared" si="14"/>
        <v>0</v>
      </c>
      <c r="I23" s="13">
        <f>-13.93-13.53</f>
        <v>-27.46</v>
      </c>
      <c r="J23" s="13">
        <f t="shared" si="15"/>
        <v>4.1189999999999998</v>
      </c>
      <c r="K23" s="109">
        <f t="shared" si="16"/>
        <v>-23.341000000000001</v>
      </c>
      <c r="L23" s="15">
        <v>45243</v>
      </c>
      <c r="M23" s="112">
        <v>2023</v>
      </c>
      <c r="N23" s="110" t="s">
        <v>18</v>
      </c>
      <c r="O23" s="16"/>
      <c r="Q23" s="17"/>
      <c r="S23" s="11"/>
      <c r="T23" s="95"/>
    </row>
    <row r="24" spans="1:20" outlineLevel="1">
      <c r="A24" s="100"/>
      <c r="B24" s="176" t="s">
        <v>16</v>
      </c>
      <c r="C24" s="176"/>
      <c r="D24" s="176"/>
      <c r="E24" s="11"/>
      <c r="F24" s="12"/>
      <c r="H24" s="13">
        <f t="shared" si="14"/>
        <v>0</v>
      </c>
      <c r="I24" s="13">
        <f t="shared" si="5"/>
        <v>0</v>
      </c>
      <c r="J24" s="13">
        <f t="shared" si="15"/>
        <v>0</v>
      </c>
      <c r="K24" s="109">
        <f t="shared" si="16"/>
        <v>0</v>
      </c>
      <c r="L24" s="15"/>
      <c r="M24" s="112">
        <v>2023</v>
      </c>
      <c r="O24" s="16"/>
      <c r="Q24" s="17"/>
      <c r="S24" s="11"/>
      <c r="T24" s="95"/>
    </row>
    <row r="25" spans="1:20" hidden="1" outlineLevel="1">
      <c r="B25" t="s">
        <v>12</v>
      </c>
      <c r="C25" t="e">
        <v>#VALUE!</v>
      </c>
      <c r="E25" s="11">
        <v>19.64</v>
      </c>
      <c r="F25" s="12">
        <v>19</v>
      </c>
      <c r="G25">
        <v>1600</v>
      </c>
      <c r="H25" s="13">
        <f>(E25-F25)*G25</f>
        <v>1024.0000000000009</v>
      </c>
      <c r="I25" s="13">
        <f>-15.17-3.03</f>
        <v>-18.2</v>
      </c>
      <c r="J25" s="13">
        <f>SUM(H25:I25)*-0.15</f>
        <v>-150.87000000000012</v>
      </c>
      <c r="K25" s="109">
        <f t="shared" ref="K25" si="17">SUM(H25:J25)</f>
        <v>854.93000000000075</v>
      </c>
      <c r="L25" s="15">
        <v>45142</v>
      </c>
      <c r="M25" s="112">
        <v>2023</v>
      </c>
      <c r="N25" s="110" t="s">
        <v>13</v>
      </c>
      <c r="O25" s="16">
        <v>45198</v>
      </c>
      <c r="P25" s="7">
        <f>IF(L25="","",J25)</f>
        <v>-150.87000000000012</v>
      </c>
      <c r="Q25" s="17" t="s">
        <v>14</v>
      </c>
      <c r="R25" s="13">
        <f t="shared" ref="R25" si="18">E25-F25</f>
        <v>0.64000000000000057</v>
      </c>
      <c r="S25" s="11">
        <f t="shared" ref="S25" si="19">E25*G25</f>
        <v>31424</v>
      </c>
      <c r="T25" s="95" t="str">
        <f t="shared" ref="T25" si="20">IF(L25-A25=0,"d","s")</f>
        <v>s</v>
      </c>
    </row>
    <row r="26" spans="1:20" hidden="1" outlineLevel="1">
      <c r="B26" t="s">
        <v>12</v>
      </c>
      <c r="C26" t="e">
        <v>#VALUE!</v>
      </c>
      <c r="E26" s="11">
        <v>19.34</v>
      </c>
      <c r="F26" s="12">
        <v>18.899999999999999</v>
      </c>
      <c r="G26">
        <v>1500</v>
      </c>
      <c r="H26" s="13">
        <f>(E26-F26)*G26</f>
        <v>660.00000000000193</v>
      </c>
      <c r="I26" s="13">
        <f>-7.08-1.41</f>
        <v>-8.49</v>
      </c>
      <c r="J26" s="13">
        <f>SUM(H26:I26)*-0.15</f>
        <v>-97.726500000000286</v>
      </c>
      <c r="K26" s="109">
        <f t="shared" si="0"/>
        <v>553.7835000000016</v>
      </c>
      <c r="L26" s="15">
        <v>45167</v>
      </c>
      <c r="M26" s="112">
        <v>2023</v>
      </c>
      <c r="N26" s="110" t="s">
        <v>13</v>
      </c>
      <c r="O26" s="16">
        <v>45198</v>
      </c>
      <c r="P26" s="7">
        <f>IF(L26="","",J26)</f>
        <v>-97.726500000000286</v>
      </c>
      <c r="Q26" s="17" t="s">
        <v>14</v>
      </c>
      <c r="R26" s="13">
        <f t="shared" si="1"/>
        <v>0.44000000000000128</v>
      </c>
      <c r="S26" s="11">
        <f t="shared" si="2"/>
        <v>29010</v>
      </c>
      <c r="T26" s="95" t="str">
        <f t="shared" si="3"/>
        <v>s</v>
      </c>
    </row>
    <row r="27" spans="1:20" hidden="1" outlineLevel="1">
      <c r="B27" t="s">
        <v>12</v>
      </c>
      <c r="C27" t="e">
        <v>#VALUE!</v>
      </c>
      <c r="E27" s="11">
        <v>32.99</v>
      </c>
      <c r="F27" s="12">
        <v>32.6</v>
      </c>
      <c r="G27">
        <v>4000</v>
      </c>
      <c r="H27" s="13">
        <f>(E27-F27)*G27</f>
        <v>1560.0000000000023</v>
      </c>
      <c r="I27" s="13">
        <f>-32.99-6.59</f>
        <v>-39.58</v>
      </c>
      <c r="J27" s="13">
        <f>SUM(H27:I27)*-0.15</f>
        <v>-228.06300000000036</v>
      </c>
      <c r="K27" s="109">
        <f t="shared" si="0"/>
        <v>1292.357000000002</v>
      </c>
      <c r="L27" s="15">
        <v>45184</v>
      </c>
      <c r="M27" s="112">
        <v>2023</v>
      </c>
      <c r="N27" s="110" t="s">
        <v>15</v>
      </c>
      <c r="O27" s="16">
        <v>45230</v>
      </c>
      <c r="P27" s="7">
        <f>IF(L27="","",J27)</f>
        <v>-228.06300000000036</v>
      </c>
      <c r="Q27" s="17" t="s">
        <v>14</v>
      </c>
      <c r="R27" s="13">
        <f t="shared" si="1"/>
        <v>0.39000000000000057</v>
      </c>
      <c r="S27" s="11">
        <f t="shared" si="2"/>
        <v>131960</v>
      </c>
      <c r="T27" s="95" t="str">
        <f t="shared" si="3"/>
        <v>s</v>
      </c>
    </row>
    <row r="28" spans="1:20" hidden="1" outlineLevel="1">
      <c r="B28" t="s">
        <v>12</v>
      </c>
      <c r="C28" t="e">
        <v>#VALUE!</v>
      </c>
      <c r="E28" s="11">
        <v>48.2</v>
      </c>
      <c r="F28" s="12">
        <v>47.88</v>
      </c>
      <c r="G28">
        <v>3700</v>
      </c>
      <c r="H28" s="13">
        <f t="shared" ref="H28:H29" si="21">(E28-F28)*G28</f>
        <v>1184.0000000000011</v>
      </c>
      <c r="I28" s="13">
        <f>-8.57-1.71</f>
        <v>-10.280000000000001</v>
      </c>
      <c r="J28" s="13">
        <f t="shared" ref="J28:J30" si="22">SUM(H28:I28)*-0.15</f>
        <v>-176.05800000000016</v>
      </c>
      <c r="K28" s="109">
        <f t="shared" si="0"/>
        <v>997.66200000000094</v>
      </c>
      <c r="L28" s="15">
        <v>45208</v>
      </c>
      <c r="M28" s="112">
        <v>2023</v>
      </c>
      <c r="N28" s="110" t="s">
        <v>17</v>
      </c>
      <c r="O28" s="16">
        <v>45260</v>
      </c>
      <c r="P28" s="7">
        <f t="shared" ref="P28:P30" si="23">IF(L28="","",J28)</f>
        <v>-176.05800000000016</v>
      </c>
      <c r="Q28" s="17" t="s">
        <v>14</v>
      </c>
      <c r="R28" s="13">
        <f t="shared" si="1"/>
        <v>0.32000000000000028</v>
      </c>
      <c r="S28" s="11">
        <f t="shared" si="2"/>
        <v>178340</v>
      </c>
      <c r="T28" s="95" t="str">
        <f t="shared" si="3"/>
        <v>s</v>
      </c>
    </row>
    <row r="29" spans="1:20" hidden="1" outlineLevel="1">
      <c r="B29" t="s">
        <v>12</v>
      </c>
      <c r="C29" t="e">
        <v>#VALUE!</v>
      </c>
      <c r="E29" s="11">
        <v>7.1</v>
      </c>
      <c r="F29" s="12">
        <v>6.83</v>
      </c>
      <c r="G29">
        <v>5000</v>
      </c>
      <c r="H29" s="13">
        <f t="shared" si="21"/>
        <v>1349.999999999998</v>
      </c>
      <c r="I29" s="13">
        <f>-25.69-5.13</f>
        <v>-30.82</v>
      </c>
      <c r="J29" s="13">
        <f t="shared" si="22"/>
        <v>-197.8769999999997</v>
      </c>
      <c r="K29" s="109">
        <f t="shared" si="0"/>
        <v>1121.3029999999983</v>
      </c>
      <c r="L29" s="15">
        <v>45212</v>
      </c>
      <c r="M29" s="112">
        <v>2023</v>
      </c>
      <c r="N29" s="110" t="s">
        <v>17</v>
      </c>
      <c r="O29" s="16">
        <v>45260</v>
      </c>
      <c r="P29" s="7">
        <f t="shared" si="23"/>
        <v>-197.8769999999997</v>
      </c>
      <c r="Q29" s="17" t="s">
        <v>14</v>
      </c>
      <c r="R29" s="13">
        <f t="shared" si="1"/>
        <v>0.26999999999999957</v>
      </c>
      <c r="S29" s="11">
        <f t="shared" si="2"/>
        <v>35500</v>
      </c>
      <c r="T29" s="95" t="str">
        <f t="shared" si="3"/>
        <v>s</v>
      </c>
    </row>
    <row r="30" spans="1:20" hidden="1" outlineLevel="1">
      <c r="B30" t="s">
        <v>12</v>
      </c>
      <c r="C30" s="36" t="s">
        <v>96</v>
      </c>
      <c r="D30" s="36"/>
      <c r="E30" s="11">
        <v>32.32</v>
      </c>
      <c r="F30" s="12">
        <v>32.17</v>
      </c>
      <c r="G30">
        <v>5000</v>
      </c>
      <c r="H30" s="13">
        <f t="shared" ref="H30" si="24">(E30-F30)*G30</f>
        <v>749.99999999999295</v>
      </c>
      <c r="I30" s="13">
        <f>-8.88-1.77-1.77</f>
        <v>-12.42</v>
      </c>
      <c r="J30" s="13">
        <f t="shared" si="22"/>
        <v>-110.63699999999895</v>
      </c>
      <c r="K30" s="109">
        <f t="shared" si="0"/>
        <v>626.94299999999407</v>
      </c>
      <c r="L30" s="15">
        <v>45225</v>
      </c>
      <c r="M30" s="112">
        <v>2023</v>
      </c>
      <c r="N30" s="110" t="s">
        <v>17</v>
      </c>
      <c r="O30" s="16">
        <v>45260</v>
      </c>
      <c r="P30" s="7">
        <f t="shared" si="23"/>
        <v>-110.63699999999895</v>
      </c>
      <c r="Q30" s="17" t="s">
        <v>14</v>
      </c>
      <c r="R30" s="13">
        <f t="shared" si="1"/>
        <v>0.14999999999999858</v>
      </c>
      <c r="S30" s="11">
        <f t="shared" si="2"/>
        <v>161600</v>
      </c>
      <c r="T30" s="95" t="str">
        <f t="shared" si="3"/>
        <v>s</v>
      </c>
    </row>
    <row r="31" spans="1:20" hidden="1" outlineLevel="1">
      <c r="B31" t="s">
        <v>12</v>
      </c>
      <c r="C31" s="36" t="s">
        <v>96</v>
      </c>
      <c r="D31" s="36"/>
      <c r="E31" s="11">
        <v>13.17</v>
      </c>
      <c r="F31" s="12">
        <v>12.98</v>
      </c>
      <c r="G31">
        <v>2700</v>
      </c>
      <c r="H31" s="13">
        <f t="shared" ref="H31:H32" si="25">(E31-F31)*G31</f>
        <v>512.99999999999864</v>
      </c>
      <c r="I31" s="13">
        <f>-8.88-1.77-1.77</f>
        <v>-12.42</v>
      </c>
      <c r="J31" s="13">
        <f>SUM(H31:I31)*-0.15</f>
        <v>-75.08699999999979</v>
      </c>
      <c r="K31" s="109">
        <f t="shared" ref="K31:K35" si="26">SUM(H31:J31)</f>
        <v>425.4929999999988</v>
      </c>
      <c r="L31" s="15">
        <v>45233</v>
      </c>
      <c r="M31" s="112">
        <v>2023</v>
      </c>
      <c r="N31" s="113" t="s">
        <v>18</v>
      </c>
      <c r="O31" s="16">
        <v>45654</v>
      </c>
      <c r="P31" s="7">
        <f t="shared" ref="P31:P33" si="27">IF(L31="","",J31)</f>
        <v>-75.08699999999979</v>
      </c>
      <c r="Q31" s="17" t="s">
        <v>14</v>
      </c>
      <c r="R31" s="13">
        <f t="shared" ref="R31:R35" si="28">E31-F31</f>
        <v>0.1899999999999995</v>
      </c>
      <c r="S31" s="11">
        <f>E31*G31</f>
        <v>35559</v>
      </c>
      <c r="T31" s="95" t="str">
        <f t="shared" si="3"/>
        <v>s</v>
      </c>
    </row>
    <row r="32" spans="1:20" hidden="1" outlineLevel="1">
      <c r="B32" t="s">
        <v>12</v>
      </c>
      <c r="C32" s="36" t="s">
        <v>97</v>
      </c>
      <c r="D32" s="36"/>
      <c r="E32" s="11">
        <v>9.07</v>
      </c>
      <c r="F32" s="12">
        <v>8.01</v>
      </c>
      <c r="G32">
        <v>10000</v>
      </c>
      <c r="H32" s="13">
        <f t="shared" si="25"/>
        <v>10600.000000000005</v>
      </c>
      <c r="I32" s="13">
        <f>20.02-4</f>
        <v>16.02</v>
      </c>
      <c r="J32" s="13">
        <f>SUM(H32:I32)*-0.15</f>
        <v>-1592.4030000000009</v>
      </c>
      <c r="K32" s="109">
        <f t="shared" si="26"/>
        <v>9023.6170000000056</v>
      </c>
      <c r="L32" s="15">
        <v>45237</v>
      </c>
      <c r="M32" s="112">
        <v>2023</v>
      </c>
      <c r="N32" s="113" t="s">
        <v>18</v>
      </c>
      <c r="O32" s="16">
        <v>45654</v>
      </c>
      <c r="P32" s="7">
        <f t="shared" si="27"/>
        <v>-1592.4030000000009</v>
      </c>
      <c r="Q32" s="17" t="s">
        <v>14</v>
      </c>
      <c r="R32" s="13">
        <f t="shared" si="28"/>
        <v>1.0600000000000005</v>
      </c>
      <c r="S32" s="11">
        <f>F32*G32</f>
        <v>80100</v>
      </c>
      <c r="T32" s="95" t="str">
        <f t="shared" si="3"/>
        <v>s</v>
      </c>
    </row>
    <row r="33" spans="1:25" hidden="1" outlineLevel="1">
      <c r="B33" t="s">
        <v>12</v>
      </c>
      <c r="C33" s="36" t="s">
        <v>95</v>
      </c>
      <c r="D33" s="36"/>
      <c r="E33" s="11">
        <v>8.6999999999999993</v>
      </c>
      <c r="F33" s="12">
        <v>8</v>
      </c>
      <c r="G33">
        <v>5000</v>
      </c>
      <c r="H33" s="13">
        <f t="shared" ref="H33" si="29">(E33-F33)*G33</f>
        <v>3499.9999999999964</v>
      </c>
      <c r="I33" s="13">
        <f>-10.87-2.17-2.17</f>
        <v>-15.209999999999999</v>
      </c>
      <c r="J33" s="13">
        <f>SUM(H33:I33)*-0.15</f>
        <v>-522.71849999999938</v>
      </c>
      <c r="K33" s="109">
        <f t="shared" si="26"/>
        <v>2962.0714999999968</v>
      </c>
      <c r="L33" s="15">
        <v>45243</v>
      </c>
      <c r="M33" s="112">
        <v>2023</v>
      </c>
      <c r="N33" s="113" t="s">
        <v>18</v>
      </c>
      <c r="O33" s="16">
        <v>45654</v>
      </c>
      <c r="P33" s="7">
        <f t="shared" si="27"/>
        <v>-522.71849999999938</v>
      </c>
      <c r="Q33" s="17" t="s">
        <v>14</v>
      </c>
      <c r="R33" s="13">
        <f t="shared" si="28"/>
        <v>0.69999999999999929</v>
      </c>
      <c r="S33" s="11">
        <f t="shared" ref="S33:S38" si="30">E33*G33</f>
        <v>43500</v>
      </c>
      <c r="T33" s="95" t="str">
        <f t="shared" si="3"/>
        <v>s</v>
      </c>
      <c r="W33" s="37"/>
      <c r="X33" s="36"/>
      <c r="Y33" s="36"/>
    </row>
    <row r="34" spans="1:25" hidden="1" outlineLevel="1">
      <c r="B34" t="s">
        <v>12</v>
      </c>
      <c r="C34" s="36" t="s">
        <v>94</v>
      </c>
      <c r="D34" s="36"/>
      <c r="E34" s="11">
        <v>14</v>
      </c>
      <c r="F34" s="12">
        <v>13</v>
      </c>
      <c r="G34">
        <v>3800</v>
      </c>
      <c r="H34" s="13">
        <f t="shared" ref="H34:H35" si="31">(E34-F34)*G34</f>
        <v>3800</v>
      </c>
      <c r="I34" s="13">
        <f>--25-4.5</f>
        <v>20.5</v>
      </c>
      <c r="J34" s="13">
        <f>SUM(H34:I34)*-0.15</f>
        <v>-573.07499999999993</v>
      </c>
      <c r="K34" s="109">
        <f t="shared" si="26"/>
        <v>3247.4250000000002</v>
      </c>
      <c r="L34" s="15">
        <v>45244</v>
      </c>
      <c r="M34" s="112">
        <v>2023</v>
      </c>
      <c r="N34" s="113" t="s">
        <v>18</v>
      </c>
      <c r="O34" s="16">
        <v>45654</v>
      </c>
      <c r="P34" s="7">
        <f t="shared" ref="P34:P35" si="32">IF(L34="","",J34)</f>
        <v>-573.07499999999993</v>
      </c>
      <c r="Q34" s="17" t="s">
        <v>14</v>
      </c>
      <c r="R34" s="13">
        <f t="shared" si="28"/>
        <v>1</v>
      </c>
      <c r="S34" s="11">
        <f t="shared" si="30"/>
        <v>53200</v>
      </c>
      <c r="T34" s="95" t="str">
        <f t="shared" ref="T34:T49" si="33">IF(L34-A34=0,"d","s")</f>
        <v>s</v>
      </c>
    </row>
    <row r="35" spans="1:25" outlineLevel="1">
      <c r="A35" s="100">
        <v>45244</v>
      </c>
      <c r="B35" t="s">
        <v>16</v>
      </c>
      <c r="C35" s="36" t="s">
        <v>98</v>
      </c>
      <c r="D35" s="36"/>
      <c r="E35" s="11">
        <v>45.42</v>
      </c>
      <c r="F35" s="12">
        <v>40.869999999999997</v>
      </c>
      <c r="G35">
        <v>1700</v>
      </c>
      <c r="H35" s="13">
        <f t="shared" si="31"/>
        <v>7735.0000000000073</v>
      </c>
      <c r="I35" s="13">
        <f>-29.85-5.97-3.86</f>
        <v>-39.68</v>
      </c>
      <c r="J35" s="13">
        <f>H35*-0.15</f>
        <v>-1160.2500000000011</v>
      </c>
      <c r="K35" s="109">
        <f t="shared" si="26"/>
        <v>6535.0700000000061</v>
      </c>
      <c r="L35" s="15">
        <v>45246</v>
      </c>
      <c r="M35" s="112">
        <v>2023</v>
      </c>
      <c r="N35" s="113" t="s">
        <v>18</v>
      </c>
      <c r="O35" s="16">
        <v>45654</v>
      </c>
      <c r="P35" s="7">
        <f t="shared" si="32"/>
        <v>-1160.2500000000011</v>
      </c>
      <c r="Q35" s="17" t="s">
        <v>14</v>
      </c>
      <c r="R35" s="13">
        <f t="shared" si="28"/>
        <v>4.5500000000000043</v>
      </c>
      <c r="S35" s="11">
        <f t="shared" si="30"/>
        <v>77214</v>
      </c>
      <c r="T35" s="95" t="str">
        <f t="shared" si="33"/>
        <v>s</v>
      </c>
    </row>
    <row r="36" spans="1:25" hidden="1" outlineLevel="1">
      <c r="B36" t="s">
        <v>12</v>
      </c>
      <c r="C36" s="36" t="s">
        <v>94</v>
      </c>
      <c r="D36" s="36"/>
      <c r="E36" s="11">
        <v>16.100000000000001</v>
      </c>
      <c r="F36" s="12">
        <v>15.9</v>
      </c>
      <c r="G36">
        <v>2900</v>
      </c>
      <c r="H36" s="13">
        <f>(E36-F36)*G36</f>
        <v>580.00000000000307</v>
      </c>
      <c r="I36" s="13">
        <f>-24.88-4.97-2.68</f>
        <v>-32.53</v>
      </c>
      <c r="J36" s="13">
        <f t="shared" ref="J36:J38" si="34">SUM(H36:I36)*-0.15</f>
        <v>-82.120500000000462</v>
      </c>
      <c r="K36" s="109">
        <f t="shared" ref="K36:K42" si="35">SUM(H36:J36)</f>
        <v>465.34950000000265</v>
      </c>
      <c r="L36" s="15">
        <v>45258</v>
      </c>
      <c r="M36" s="112">
        <v>2023</v>
      </c>
      <c r="N36" s="113" t="s">
        <v>18</v>
      </c>
      <c r="O36" s="16">
        <v>45654</v>
      </c>
      <c r="P36" s="7">
        <f>IF(L36="","",J36)</f>
        <v>-82.120500000000462</v>
      </c>
      <c r="Q36" s="17" t="s">
        <v>14</v>
      </c>
      <c r="R36" s="13">
        <f t="shared" ref="R36" si="36">E36-F36</f>
        <v>0.20000000000000107</v>
      </c>
      <c r="S36" s="11">
        <f t="shared" si="30"/>
        <v>46690.000000000007</v>
      </c>
      <c r="T36" s="95" t="str">
        <f t="shared" si="33"/>
        <v>s</v>
      </c>
    </row>
    <row r="37" spans="1:25" hidden="1" outlineLevel="1">
      <c r="B37" t="s">
        <v>12</v>
      </c>
      <c r="C37" s="36" t="s">
        <v>99</v>
      </c>
      <c r="D37" s="36"/>
      <c r="E37" s="11">
        <v>4.07</v>
      </c>
      <c r="F37" s="12">
        <v>4.04</v>
      </c>
      <c r="G37">
        <v>10000</v>
      </c>
      <c r="H37" s="13">
        <f t="shared" ref="H37" si="37">(E37-F37)*G37</f>
        <v>300.0000000000025</v>
      </c>
      <c r="I37" s="13">
        <f>-10.07-2.01</f>
        <v>-12.08</v>
      </c>
      <c r="J37" s="13">
        <f t="shared" si="34"/>
        <v>-43.188000000000379</v>
      </c>
      <c r="K37" s="109">
        <f t="shared" si="35"/>
        <v>244.73200000000213</v>
      </c>
      <c r="L37" s="15">
        <v>45259</v>
      </c>
      <c r="M37" s="112">
        <v>2023</v>
      </c>
      <c r="N37" s="113" t="s">
        <v>18</v>
      </c>
      <c r="O37" s="16">
        <v>45654</v>
      </c>
      <c r="P37" s="7">
        <f t="shared" ref="P37" si="38">IF(L37="","",J37)</f>
        <v>-43.188000000000379</v>
      </c>
      <c r="Q37" s="17" t="s">
        <v>14</v>
      </c>
      <c r="R37" s="13">
        <f>E37-F37</f>
        <v>3.0000000000000249E-2</v>
      </c>
      <c r="S37" s="11">
        <f t="shared" si="30"/>
        <v>40700</v>
      </c>
      <c r="T37" s="95" t="str">
        <f t="shared" si="33"/>
        <v>s</v>
      </c>
    </row>
    <row r="38" spans="1:25" hidden="1">
      <c r="B38" t="s">
        <v>12</v>
      </c>
      <c r="C38" s="36" t="s">
        <v>97</v>
      </c>
      <c r="D38" s="36"/>
      <c r="E38" s="11">
        <v>9.33</v>
      </c>
      <c r="F38" s="12">
        <v>9.25</v>
      </c>
      <c r="G38">
        <v>5000</v>
      </c>
      <c r="H38" s="13">
        <f t="shared" ref="H38" si="39">(E38-F38)*G38</f>
        <v>400.00000000000034</v>
      </c>
      <c r="I38" s="13">
        <f>-11.68-2.33-2.33</f>
        <v>-16.34</v>
      </c>
      <c r="J38" s="13">
        <f t="shared" si="34"/>
        <v>-57.549000000000056</v>
      </c>
      <c r="K38" s="109">
        <f t="shared" si="35"/>
        <v>326.11100000000033</v>
      </c>
      <c r="L38" s="15">
        <v>45260</v>
      </c>
      <c r="M38" s="112">
        <v>2023</v>
      </c>
      <c r="N38" s="113" t="s">
        <v>18</v>
      </c>
      <c r="O38" s="16">
        <v>45654</v>
      </c>
      <c r="P38" s="7">
        <f t="shared" ref="P38" si="40">IF(L38="","",J38)</f>
        <v>-57.549000000000056</v>
      </c>
      <c r="Q38" s="17" t="s">
        <v>14</v>
      </c>
      <c r="R38" s="13">
        <f>E38-F38</f>
        <v>8.0000000000000071E-2</v>
      </c>
      <c r="S38" s="11">
        <f t="shared" si="30"/>
        <v>46650</v>
      </c>
      <c r="T38" s="95" t="str">
        <f t="shared" si="33"/>
        <v>s</v>
      </c>
    </row>
    <row r="39" spans="1:25">
      <c r="A39" s="100">
        <v>45246</v>
      </c>
      <c r="B39" t="s">
        <v>16</v>
      </c>
      <c r="C39" s="41" t="s">
        <v>99</v>
      </c>
      <c r="D39" s="41"/>
      <c r="E39" s="11">
        <v>4.25</v>
      </c>
      <c r="F39" s="12">
        <v>4.22</v>
      </c>
      <c r="G39">
        <v>10000</v>
      </c>
      <c r="H39" s="13">
        <f t="shared" ref="H39" si="41">(E39-F39)*G39</f>
        <v>300.0000000000025</v>
      </c>
      <c r="I39" s="13">
        <f>H39*0.05</f>
        <v>15.000000000000126</v>
      </c>
      <c r="J39" s="13">
        <f>H39*-0.15</f>
        <v>-45.000000000000377</v>
      </c>
      <c r="K39" s="109">
        <f t="shared" si="35"/>
        <v>270.00000000000222</v>
      </c>
      <c r="L39" s="15">
        <v>45261</v>
      </c>
      <c r="M39" s="112">
        <v>2023</v>
      </c>
      <c r="N39" s="113" t="s">
        <v>23</v>
      </c>
      <c r="O39" s="15">
        <v>44957</v>
      </c>
      <c r="P39" s="7">
        <f t="shared" ref="P39" si="42">IF(L39="","",J39)</f>
        <v>-45.000000000000377</v>
      </c>
      <c r="R39" s="13">
        <f t="shared" ref="R39" si="43">E39-F39</f>
        <v>3.0000000000000249E-2</v>
      </c>
      <c r="S39" s="11">
        <f>E39*G39</f>
        <v>42500</v>
      </c>
      <c r="T39" s="95" t="str">
        <f t="shared" si="33"/>
        <v>s</v>
      </c>
    </row>
    <row r="40" spans="1:25" hidden="1">
      <c r="B40" t="s">
        <v>12</v>
      </c>
      <c r="C40" s="41" t="s">
        <v>112</v>
      </c>
      <c r="D40" s="41"/>
      <c r="E40" s="11">
        <v>6.23</v>
      </c>
      <c r="F40" s="12">
        <v>6.2</v>
      </c>
      <c r="G40">
        <v>5000</v>
      </c>
      <c r="H40" s="13">
        <f t="shared" ref="H40:H43" si="44">(E40-F40)*G40</f>
        <v>150.00000000000125</v>
      </c>
      <c r="I40" s="13">
        <f>-7.75-1.55</f>
        <v>-9.3000000000000007</v>
      </c>
      <c r="J40" s="13">
        <f>H40*-0.15</f>
        <v>-22.500000000000188</v>
      </c>
      <c r="K40" s="109">
        <f t="shared" si="35"/>
        <v>118.20000000000105</v>
      </c>
      <c r="L40" s="15">
        <v>45261</v>
      </c>
      <c r="M40" s="112">
        <v>2023</v>
      </c>
      <c r="N40" s="113" t="s">
        <v>23</v>
      </c>
      <c r="O40" s="15">
        <v>44957</v>
      </c>
      <c r="P40" s="7">
        <f t="shared" ref="P40:P44" si="45">IF(L40="","",J40)</f>
        <v>-22.500000000000188</v>
      </c>
      <c r="R40" s="13">
        <f>E40-F40</f>
        <v>3.0000000000000249E-2</v>
      </c>
      <c r="S40" s="11">
        <f>E40*G40</f>
        <v>31150.000000000004</v>
      </c>
      <c r="T40" s="95" t="str">
        <f t="shared" si="33"/>
        <v>s</v>
      </c>
    </row>
    <row r="41" spans="1:25">
      <c r="A41" s="178">
        <v>45261</v>
      </c>
      <c r="B41" s="42" t="s">
        <v>16</v>
      </c>
      <c r="C41" s="176" t="s">
        <v>186</v>
      </c>
      <c r="D41" s="42"/>
      <c r="E41" s="11">
        <v>15.84</v>
      </c>
      <c r="F41" s="12">
        <v>15.3</v>
      </c>
      <c r="G41">
        <v>3000</v>
      </c>
      <c r="H41" s="13">
        <f t="shared" si="44"/>
        <v>1619.9999999999975</v>
      </c>
      <c r="I41" s="13">
        <f t="shared" ref="I41:I59" si="46">H41*0.05</f>
        <v>80.999999999999886</v>
      </c>
      <c r="J41" s="13">
        <f>H41*-0.15</f>
        <v>-242.9999999999996</v>
      </c>
      <c r="K41" s="109">
        <f t="shared" si="35"/>
        <v>1457.9999999999977</v>
      </c>
      <c r="L41" s="15">
        <v>45273</v>
      </c>
      <c r="M41" s="112">
        <v>2023</v>
      </c>
      <c r="N41" s="113" t="s">
        <v>23</v>
      </c>
      <c r="O41" s="15">
        <v>44957</v>
      </c>
      <c r="P41" s="7">
        <f t="shared" si="45"/>
        <v>-242.9999999999996</v>
      </c>
      <c r="R41" s="13">
        <f t="shared" ref="R41:R44" si="47">E41-F41</f>
        <v>0.53999999999999915</v>
      </c>
      <c r="S41" s="11">
        <f>E41*G41</f>
        <v>47520</v>
      </c>
      <c r="T41" s="95" t="str">
        <f t="shared" si="33"/>
        <v>s</v>
      </c>
    </row>
    <row r="42" spans="1:25">
      <c r="A42" s="178">
        <v>45265</v>
      </c>
      <c r="B42" s="42" t="s">
        <v>16</v>
      </c>
      <c r="C42" s="164" t="s">
        <v>95</v>
      </c>
      <c r="D42" s="43"/>
      <c r="E42" s="11">
        <v>8.4600000000000009</v>
      </c>
      <c r="F42" s="12">
        <v>8.4</v>
      </c>
      <c r="G42">
        <v>5000</v>
      </c>
      <c r="H42" s="13">
        <f t="shared" si="44"/>
        <v>300.0000000000025</v>
      </c>
      <c r="I42" s="13">
        <f t="shared" si="46"/>
        <v>15.000000000000126</v>
      </c>
      <c r="J42" s="13">
        <f>H42*-0.15</f>
        <v>-45.000000000000377</v>
      </c>
      <c r="K42" s="109">
        <f t="shared" si="35"/>
        <v>270.00000000000222</v>
      </c>
      <c r="L42" s="15">
        <v>45273</v>
      </c>
      <c r="M42" s="112">
        <v>2023</v>
      </c>
      <c r="N42" s="113" t="s">
        <v>23</v>
      </c>
      <c r="O42" s="15">
        <v>44957</v>
      </c>
      <c r="P42" s="7">
        <f t="shared" si="45"/>
        <v>-45.000000000000377</v>
      </c>
      <c r="R42" s="13">
        <f t="shared" si="47"/>
        <v>6.0000000000000497E-2</v>
      </c>
      <c r="S42" s="11">
        <f>E42*G42</f>
        <v>42300.000000000007</v>
      </c>
      <c r="T42" s="95" t="str">
        <f t="shared" si="33"/>
        <v>s</v>
      </c>
    </row>
    <row r="43" spans="1:25">
      <c r="A43" s="178">
        <v>45273</v>
      </c>
      <c r="B43" s="42" t="s">
        <v>16</v>
      </c>
      <c r="C43" s="164" t="s">
        <v>185</v>
      </c>
      <c r="D43" s="44"/>
      <c r="E43" s="11">
        <v>7.1</v>
      </c>
      <c r="F43" s="12">
        <v>6.82</v>
      </c>
      <c r="G43">
        <v>6500</v>
      </c>
      <c r="H43" s="13">
        <f t="shared" si="44"/>
        <v>1819.9999999999959</v>
      </c>
      <c r="I43" s="13">
        <f t="shared" si="46"/>
        <v>90.999999999999801</v>
      </c>
      <c r="J43" s="13">
        <f t="shared" ref="J43:J44" si="48">H43*-0.15</f>
        <v>-272.99999999999937</v>
      </c>
      <c r="K43" s="109">
        <f t="shared" ref="K43:K44" si="49">SUM(H43:J43)</f>
        <v>1637.9999999999964</v>
      </c>
      <c r="L43" s="15">
        <v>45274</v>
      </c>
      <c r="M43" s="112">
        <v>2023</v>
      </c>
      <c r="N43" s="113" t="s">
        <v>23</v>
      </c>
      <c r="O43" s="15">
        <v>44957</v>
      </c>
      <c r="P43" s="7">
        <f t="shared" si="45"/>
        <v>-272.99999999999937</v>
      </c>
      <c r="R43" s="13">
        <f t="shared" si="47"/>
        <v>0.27999999999999936</v>
      </c>
      <c r="S43" s="11">
        <f t="shared" ref="S43:S44" si="50">E43*G43</f>
        <v>46150</v>
      </c>
      <c r="T43" s="95" t="str">
        <f t="shared" si="33"/>
        <v>s</v>
      </c>
    </row>
    <row r="44" spans="1:25" hidden="1">
      <c r="A44" s="164"/>
      <c r="B44" t="s">
        <v>12</v>
      </c>
      <c r="C44" s="164" t="s">
        <v>95</v>
      </c>
      <c r="D44" s="36"/>
      <c r="E44" s="11">
        <v>9.25</v>
      </c>
      <c r="F44" s="12">
        <v>9.1999999999999993</v>
      </c>
      <c r="G44">
        <v>4700</v>
      </c>
      <c r="H44" s="13">
        <f>(E44-F44)*G44</f>
        <v>235.00000000000335</v>
      </c>
      <c r="I44" s="13">
        <f t="shared" si="46"/>
        <v>11.750000000000169</v>
      </c>
      <c r="J44" s="13">
        <f t="shared" si="48"/>
        <v>-35.250000000000504</v>
      </c>
      <c r="K44" s="109">
        <f t="shared" si="49"/>
        <v>211.50000000000301</v>
      </c>
      <c r="L44" s="15">
        <v>45274</v>
      </c>
      <c r="M44" s="112">
        <v>2023</v>
      </c>
      <c r="N44" s="113" t="s">
        <v>23</v>
      </c>
      <c r="O44" s="15">
        <v>44957</v>
      </c>
      <c r="P44" s="7">
        <f t="shared" si="45"/>
        <v>-35.250000000000504</v>
      </c>
      <c r="R44" s="13">
        <f t="shared" si="47"/>
        <v>5.0000000000000711E-2</v>
      </c>
      <c r="S44" s="11">
        <f t="shared" si="50"/>
        <v>43475</v>
      </c>
      <c r="T44" s="95" t="str">
        <f t="shared" si="33"/>
        <v>s</v>
      </c>
    </row>
    <row r="45" spans="1:25" hidden="1">
      <c r="A45" s="164"/>
      <c r="B45" t="s">
        <v>12</v>
      </c>
      <c r="C45" s="164" t="s">
        <v>186</v>
      </c>
      <c r="D45" s="158" t="s">
        <v>180</v>
      </c>
      <c r="E45" s="11">
        <v>15.76</v>
      </c>
      <c r="F45" s="12">
        <v>15.7</v>
      </c>
      <c r="G45">
        <v>4500</v>
      </c>
      <c r="H45" s="13">
        <f>(E45-F45)*G45</f>
        <v>270.00000000000222</v>
      </c>
      <c r="I45" s="13">
        <f t="shared" si="46"/>
        <v>13.500000000000112</v>
      </c>
      <c r="J45" s="13">
        <f>H45*-0.15</f>
        <v>-40.500000000000334</v>
      </c>
      <c r="K45" s="109">
        <f>SUM(H45:J45)</f>
        <v>243.00000000000199</v>
      </c>
      <c r="L45" s="15">
        <v>45273</v>
      </c>
      <c r="M45" s="112">
        <v>2023</v>
      </c>
      <c r="N45" s="113" t="s">
        <v>23</v>
      </c>
      <c r="O45" s="15">
        <v>44957</v>
      </c>
      <c r="P45" s="7">
        <f>IF(L45="","",J45)</f>
        <v>-40.500000000000334</v>
      </c>
      <c r="R45" s="13">
        <f>E45-F45</f>
        <v>6.0000000000000497E-2</v>
      </c>
      <c r="S45" s="11">
        <f>E45*G45</f>
        <v>70920</v>
      </c>
      <c r="T45" s="95" t="str">
        <f t="shared" si="33"/>
        <v>s</v>
      </c>
    </row>
    <row r="46" spans="1:25">
      <c r="A46" s="178">
        <v>45274</v>
      </c>
      <c r="B46" s="45" t="s">
        <v>16</v>
      </c>
      <c r="C46" s="164" t="s">
        <v>96</v>
      </c>
      <c r="D46" s="158" t="s">
        <v>180</v>
      </c>
      <c r="E46" s="11">
        <v>14.44</v>
      </c>
      <c r="F46" s="12">
        <v>14.4</v>
      </c>
      <c r="G46">
        <v>4000</v>
      </c>
      <c r="H46" s="13">
        <f t="shared" ref="H46:H49" si="51">(E46-F46)*G46</f>
        <v>159.99999999999659</v>
      </c>
      <c r="I46" s="13">
        <f t="shared" si="46"/>
        <v>7.9999999999998295</v>
      </c>
      <c r="J46" s="13">
        <f t="shared" ref="J46:J49" si="52">H46*-0.15</f>
        <v>-23.999999999999488</v>
      </c>
      <c r="K46" s="109">
        <f t="shared" ref="K46:K47" si="53">SUM(H46:J46)</f>
        <v>143.99999999999693</v>
      </c>
      <c r="L46" s="15">
        <v>45275</v>
      </c>
      <c r="M46" s="112">
        <v>2023</v>
      </c>
      <c r="N46" s="113" t="s">
        <v>23</v>
      </c>
      <c r="O46" s="15">
        <v>44957</v>
      </c>
      <c r="P46" s="7">
        <f t="shared" ref="P46:P49" si="54">IF(L46="","",J46)</f>
        <v>-23.999999999999488</v>
      </c>
      <c r="R46" s="13">
        <f t="shared" ref="R46:R49" si="55">E46-F46</f>
        <v>3.9999999999999147E-2</v>
      </c>
      <c r="S46" s="11">
        <f t="shared" ref="S46:S49" si="56">E46*G46</f>
        <v>57760</v>
      </c>
      <c r="T46" s="95" t="str">
        <f t="shared" si="33"/>
        <v>s</v>
      </c>
    </row>
    <row r="47" spans="1:25" hidden="1">
      <c r="A47" s="164"/>
      <c r="B47" s="45" t="s">
        <v>12</v>
      </c>
      <c r="C47" s="164" t="s">
        <v>96</v>
      </c>
      <c r="D47" s="158" t="s">
        <v>180</v>
      </c>
      <c r="E47" s="11">
        <v>14.43</v>
      </c>
      <c r="F47" s="12">
        <v>14.4</v>
      </c>
      <c r="G47">
        <v>4000</v>
      </c>
      <c r="H47" s="13">
        <f t="shared" si="51"/>
        <v>119.99999999999744</v>
      </c>
      <c r="I47" s="13">
        <f t="shared" si="46"/>
        <v>5.9999999999998721</v>
      </c>
      <c r="J47" s="13">
        <f t="shared" si="52"/>
        <v>-17.999999999999616</v>
      </c>
      <c r="K47" s="109">
        <f t="shared" si="53"/>
        <v>107.9999999999977</v>
      </c>
      <c r="L47" s="15">
        <v>45275</v>
      </c>
      <c r="M47" s="112">
        <v>2023</v>
      </c>
      <c r="N47" s="113" t="s">
        <v>23</v>
      </c>
      <c r="O47" s="15">
        <v>44957</v>
      </c>
      <c r="P47" s="7">
        <f t="shared" si="54"/>
        <v>-17.999999999999616</v>
      </c>
      <c r="R47" s="13">
        <f t="shared" si="55"/>
        <v>2.9999999999999361E-2</v>
      </c>
      <c r="S47" s="11">
        <f t="shared" si="56"/>
        <v>57720</v>
      </c>
      <c r="T47" s="95" t="str">
        <f t="shared" si="33"/>
        <v>s</v>
      </c>
    </row>
    <row r="48" spans="1:25">
      <c r="A48" s="178">
        <v>45275</v>
      </c>
      <c r="B48" s="45" t="s">
        <v>16</v>
      </c>
      <c r="C48" s="164" t="s">
        <v>185</v>
      </c>
      <c r="D48" s="158" t="s">
        <v>180</v>
      </c>
      <c r="E48" s="11">
        <v>7.14</v>
      </c>
      <c r="F48" s="12">
        <v>6.83</v>
      </c>
      <c r="G48">
        <v>3600</v>
      </c>
      <c r="H48" s="13">
        <f t="shared" si="51"/>
        <v>1115.9999999999986</v>
      </c>
      <c r="I48" s="13">
        <f t="shared" si="46"/>
        <v>55.799999999999933</v>
      </c>
      <c r="J48" s="13">
        <f t="shared" si="52"/>
        <v>-167.39999999999978</v>
      </c>
      <c r="K48" s="109">
        <f t="shared" ref="K48:K49" si="57">SUM(H48:J48)</f>
        <v>1004.3999999999988</v>
      </c>
      <c r="L48" s="15">
        <v>45281</v>
      </c>
      <c r="M48" s="112">
        <v>2023</v>
      </c>
      <c r="N48" s="113" t="s">
        <v>23</v>
      </c>
      <c r="O48" s="15">
        <v>44957</v>
      </c>
      <c r="P48" s="7">
        <f t="shared" si="54"/>
        <v>-167.39999999999978</v>
      </c>
      <c r="R48" s="13">
        <f t="shared" si="55"/>
        <v>0.30999999999999961</v>
      </c>
      <c r="S48" s="11">
        <f t="shared" si="56"/>
        <v>25704</v>
      </c>
      <c r="T48" s="95" t="str">
        <f t="shared" si="33"/>
        <v>s</v>
      </c>
    </row>
    <row r="49" spans="1:27">
      <c r="A49" s="178">
        <v>45275</v>
      </c>
      <c r="B49" s="50" t="s">
        <v>16</v>
      </c>
      <c r="C49" s="164" t="s">
        <v>95</v>
      </c>
      <c r="D49" s="158" t="s">
        <v>180</v>
      </c>
      <c r="E49" s="11">
        <v>8.9600000000000009</v>
      </c>
      <c r="F49" s="12">
        <v>8.6999999999999993</v>
      </c>
      <c r="G49">
        <v>4000</v>
      </c>
      <c r="H49" s="13">
        <f t="shared" si="51"/>
        <v>1040.0000000000064</v>
      </c>
      <c r="I49" s="13">
        <f t="shared" si="46"/>
        <v>52.00000000000032</v>
      </c>
      <c r="J49" s="13">
        <f t="shared" si="52"/>
        <v>-156.00000000000094</v>
      </c>
      <c r="K49" s="109">
        <f t="shared" si="57"/>
        <v>936.00000000000568</v>
      </c>
      <c r="L49" s="15">
        <v>45281</v>
      </c>
      <c r="M49" s="112">
        <v>2023</v>
      </c>
      <c r="N49" s="113" t="s">
        <v>23</v>
      </c>
      <c r="O49" s="15">
        <v>44957</v>
      </c>
      <c r="P49" s="7">
        <f t="shared" si="54"/>
        <v>-156.00000000000094</v>
      </c>
      <c r="R49" s="13">
        <f t="shared" si="55"/>
        <v>0.26000000000000156</v>
      </c>
      <c r="S49" s="11">
        <f t="shared" si="56"/>
        <v>35840</v>
      </c>
      <c r="T49" s="95" t="str">
        <f t="shared" si="33"/>
        <v>s</v>
      </c>
    </row>
    <row r="50" spans="1:27" hidden="1">
      <c r="A50" s="164"/>
      <c r="B50" s="50" t="s">
        <v>12</v>
      </c>
      <c r="C50" s="164" t="s">
        <v>185</v>
      </c>
      <c r="D50" s="158" t="s">
        <v>180</v>
      </c>
      <c r="E50" s="11">
        <v>7.35</v>
      </c>
      <c r="F50" s="12">
        <v>6.9</v>
      </c>
      <c r="G50">
        <v>4000</v>
      </c>
      <c r="H50" s="13">
        <f>(E50-F50)*G50</f>
        <v>1799.9999999999973</v>
      </c>
      <c r="I50" s="13">
        <f t="shared" si="46"/>
        <v>89.999999999999872</v>
      </c>
      <c r="J50" s="13">
        <f t="shared" ref="J50:J51" si="58">H50*-0.15</f>
        <v>-269.9999999999996</v>
      </c>
      <c r="K50" s="109">
        <f t="shared" ref="K50:K51" si="59">SUM(H50:J50)</f>
        <v>1619.9999999999975</v>
      </c>
      <c r="L50" s="15">
        <v>45282</v>
      </c>
      <c r="M50" s="112">
        <v>2023</v>
      </c>
      <c r="N50" s="113" t="s">
        <v>23</v>
      </c>
      <c r="O50" s="15">
        <v>44957</v>
      </c>
      <c r="P50" s="7">
        <f t="shared" ref="P50:P51" si="60">IF(L50="","",J50)</f>
        <v>-269.9999999999996</v>
      </c>
      <c r="R50" s="13">
        <f t="shared" ref="R50:R51" si="61">E50-F50</f>
        <v>0.44999999999999929</v>
      </c>
      <c r="S50" s="11">
        <f t="shared" ref="S50:S51" si="62">E50*G50</f>
        <v>29400</v>
      </c>
      <c r="T50" s="95" t="str">
        <f t="shared" ref="T50:T53" si="63">IF(L50-A50=0,"d","s")</f>
        <v>s</v>
      </c>
    </row>
    <row r="51" spans="1:27" hidden="1">
      <c r="A51" s="164"/>
      <c r="B51" s="50" t="s">
        <v>12</v>
      </c>
      <c r="C51" s="164" t="s">
        <v>95</v>
      </c>
      <c r="D51" s="158" t="s">
        <v>180</v>
      </c>
      <c r="E51" s="11">
        <v>9.0500000000000007</v>
      </c>
      <c r="F51" s="12">
        <v>8.6999999999999993</v>
      </c>
      <c r="G51">
        <v>4000</v>
      </c>
      <c r="H51" s="13">
        <f>(E51-F51)*G51</f>
        <v>1400.0000000000057</v>
      </c>
      <c r="I51" s="13">
        <f t="shared" si="46"/>
        <v>70.000000000000284</v>
      </c>
      <c r="J51" s="13">
        <f t="shared" si="58"/>
        <v>-210.00000000000085</v>
      </c>
      <c r="K51" s="109">
        <f t="shared" si="59"/>
        <v>1260.000000000005</v>
      </c>
      <c r="L51" s="15">
        <v>45282</v>
      </c>
      <c r="M51" s="112">
        <v>2023</v>
      </c>
      <c r="N51" s="113" t="s">
        <v>23</v>
      </c>
      <c r="O51" s="15">
        <v>44957</v>
      </c>
      <c r="P51" s="7">
        <f t="shared" si="60"/>
        <v>-210.00000000000085</v>
      </c>
      <c r="R51" s="13">
        <f t="shared" si="61"/>
        <v>0.35000000000000142</v>
      </c>
      <c r="S51" s="11">
        <f t="shared" si="62"/>
        <v>36200</v>
      </c>
      <c r="T51" s="95" t="str">
        <f t="shared" si="63"/>
        <v>s</v>
      </c>
    </row>
    <row r="52" spans="1:27" hidden="1">
      <c r="A52" s="15">
        <v>45287</v>
      </c>
      <c r="B52" s="50" t="s">
        <v>12</v>
      </c>
      <c r="C52" s="164" t="s">
        <v>187</v>
      </c>
      <c r="D52" s="158" t="s">
        <v>180</v>
      </c>
      <c r="E52" s="11">
        <v>16.809999999999999</v>
      </c>
      <c r="F52" s="12">
        <v>16.68</v>
      </c>
      <c r="G52">
        <v>4000</v>
      </c>
      <c r="H52" s="13">
        <f>(E52-F52)*G52</f>
        <v>519.99999999999602</v>
      </c>
      <c r="I52" s="13">
        <f t="shared" si="46"/>
        <v>25.999999999999801</v>
      </c>
      <c r="J52" s="13">
        <f t="shared" ref="J52:J59" si="64">H52*-0.15</f>
        <v>-77.999999999999403</v>
      </c>
      <c r="K52" s="109">
        <f t="shared" ref="K52:K57" si="65">SUM(H52:J52)</f>
        <v>467.99999999999636</v>
      </c>
      <c r="L52" s="15">
        <v>45287</v>
      </c>
      <c r="M52" s="112">
        <v>2023</v>
      </c>
      <c r="N52" s="113" t="s">
        <v>23</v>
      </c>
      <c r="O52" s="15">
        <v>45322</v>
      </c>
      <c r="P52" s="7">
        <f>IF(L52="","",J52)</f>
        <v>-77.999999999999403</v>
      </c>
      <c r="R52" s="13">
        <f>E52-F52</f>
        <v>0.12999999999999901</v>
      </c>
      <c r="S52" s="11">
        <f t="shared" ref="S52:S59" si="66">E52*G52</f>
        <v>67240</v>
      </c>
      <c r="T52" s="95" t="str">
        <f t="shared" si="63"/>
        <v>d</v>
      </c>
    </row>
    <row r="53" spans="1:27">
      <c r="A53" s="178">
        <v>45281</v>
      </c>
      <c r="B53" s="95" t="s">
        <v>16</v>
      </c>
      <c r="C53" s="164" t="s">
        <v>112</v>
      </c>
      <c r="D53" s="158" t="s">
        <v>180</v>
      </c>
      <c r="E53" s="11">
        <v>6.16</v>
      </c>
      <c r="F53" s="12">
        <v>5.94</v>
      </c>
      <c r="G53">
        <v>10000</v>
      </c>
      <c r="H53" s="13">
        <f t="shared" ref="H53" si="67">(E53-F53)*G53</f>
        <v>2199.9999999999977</v>
      </c>
      <c r="I53" s="13">
        <f t="shared" si="46"/>
        <v>109.99999999999989</v>
      </c>
      <c r="J53" s="13">
        <f t="shared" si="64"/>
        <v>-329.99999999999966</v>
      </c>
      <c r="K53" s="109">
        <f t="shared" si="65"/>
        <v>1979.9999999999982</v>
      </c>
      <c r="L53" s="15">
        <v>45648</v>
      </c>
      <c r="M53" s="112">
        <v>2023</v>
      </c>
      <c r="N53" s="113" t="s">
        <v>23</v>
      </c>
      <c r="O53" s="15">
        <v>45322</v>
      </c>
      <c r="P53" s="7">
        <f t="shared" ref="P53" si="68">IF(L53="","",J53)</f>
        <v>-329.99999999999966</v>
      </c>
      <c r="R53" s="13">
        <f t="shared" ref="R53" si="69">E53-F53</f>
        <v>0.21999999999999975</v>
      </c>
      <c r="S53" s="11">
        <f t="shared" si="66"/>
        <v>61600</v>
      </c>
      <c r="T53" s="95" t="str">
        <f t="shared" si="63"/>
        <v>s</v>
      </c>
    </row>
    <row r="54" spans="1:27">
      <c r="A54" s="178">
        <v>45287</v>
      </c>
      <c r="B54" s="95" t="s">
        <v>16</v>
      </c>
      <c r="C54" s="164" t="s">
        <v>187</v>
      </c>
      <c r="D54" s="158" t="s">
        <v>180</v>
      </c>
      <c r="E54" s="11">
        <v>16.82</v>
      </c>
      <c r="F54" s="12">
        <v>16.82</v>
      </c>
      <c r="G54">
        <v>4000</v>
      </c>
      <c r="H54" s="13">
        <f>(E54-F54)*G54</f>
        <v>0</v>
      </c>
      <c r="I54" s="13">
        <f t="shared" si="46"/>
        <v>0</v>
      </c>
      <c r="J54" s="13">
        <f t="shared" si="64"/>
        <v>0</v>
      </c>
      <c r="K54" s="109">
        <f t="shared" si="65"/>
        <v>0</v>
      </c>
      <c r="L54" s="15">
        <v>45287</v>
      </c>
      <c r="M54" s="112">
        <v>2023</v>
      </c>
      <c r="N54" s="113" t="s">
        <v>23</v>
      </c>
      <c r="O54" s="15">
        <v>45322</v>
      </c>
      <c r="P54" s="7">
        <f>IF(L54="","",J54)</f>
        <v>0</v>
      </c>
      <c r="R54" s="13">
        <f>E54-F54</f>
        <v>0</v>
      </c>
      <c r="S54" s="11">
        <f t="shared" si="66"/>
        <v>67280</v>
      </c>
      <c r="T54" s="95" t="str">
        <f>IF(L54-A54=0,"d","s")</f>
        <v>d</v>
      </c>
    </row>
    <row r="55" spans="1:27">
      <c r="A55" s="178">
        <v>45417</v>
      </c>
      <c r="B55" s="98" t="s">
        <v>16</v>
      </c>
      <c r="C55" s="164" t="s">
        <v>94</v>
      </c>
      <c r="D55" s="158" t="s">
        <v>180</v>
      </c>
      <c r="E55" s="11">
        <v>16.96</v>
      </c>
      <c r="F55" s="12">
        <v>12.9</v>
      </c>
      <c r="G55">
        <v>500</v>
      </c>
      <c r="H55" s="13">
        <f>(E55-F55)*G55</f>
        <v>2030.0000000000002</v>
      </c>
      <c r="I55" s="13">
        <f t="shared" si="46"/>
        <v>101.50000000000001</v>
      </c>
      <c r="J55" s="13">
        <f t="shared" si="64"/>
        <v>-304.5</v>
      </c>
      <c r="K55" s="109">
        <f t="shared" si="65"/>
        <v>1827.0000000000005</v>
      </c>
      <c r="L55" s="15">
        <v>45294</v>
      </c>
      <c r="M55" s="112">
        <v>2024</v>
      </c>
      <c r="N55" s="113" t="s">
        <v>19</v>
      </c>
      <c r="O55" s="15">
        <v>45351</v>
      </c>
      <c r="P55" s="7">
        <f>IF(L55="","",J55)</f>
        <v>-304.5</v>
      </c>
      <c r="R55" s="13">
        <f>E55-F55</f>
        <v>4.0600000000000005</v>
      </c>
      <c r="S55" s="11">
        <f t="shared" si="66"/>
        <v>8480</v>
      </c>
      <c r="T55" s="95" t="str">
        <f>IF(L55-A55=0,"d","s")</f>
        <v>s</v>
      </c>
    </row>
    <row r="56" spans="1:27">
      <c r="A56" s="178">
        <v>45417</v>
      </c>
      <c r="B56" s="98" t="s">
        <v>16</v>
      </c>
      <c r="C56" s="164" t="s">
        <v>188</v>
      </c>
      <c r="D56" s="158" t="s">
        <v>180</v>
      </c>
      <c r="E56" s="11">
        <v>7.75</v>
      </c>
      <c r="F56" s="12">
        <v>10.8</v>
      </c>
      <c r="G56">
        <v>100</v>
      </c>
      <c r="H56" s="13">
        <f>(E56-F56)*G56</f>
        <v>-305.00000000000006</v>
      </c>
      <c r="I56" s="13">
        <f t="shared" si="46"/>
        <v>-15.250000000000004</v>
      </c>
      <c r="J56" s="13">
        <f t="shared" si="64"/>
        <v>45.750000000000007</v>
      </c>
      <c r="K56" s="109">
        <f t="shared" si="65"/>
        <v>-274.50000000000006</v>
      </c>
      <c r="L56" s="15">
        <v>45299</v>
      </c>
      <c r="M56" s="112">
        <v>2024</v>
      </c>
      <c r="N56" s="113" t="s">
        <v>19</v>
      </c>
      <c r="O56" s="15">
        <v>45351</v>
      </c>
      <c r="P56" s="7">
        <f>IF(L56="","",J56)</f>
        <v>45.750000000000007</v>
      </c>
      <c r="R56" s="13">
        <f>E56-F56</f>
        <v>-3.0500000000000007</v>
      </c>
      <c r="S56" s="11">
        <f t="shared" si="66"/>
        <v>775</v>
      </c>
      <c r="T56" s="95" t="str">
        <f>IF(L56-A56=0,"d","s")</f>
        <v>s</v>
      </c>
    </row>
    <row r="57" spans="1:27" hidden="1">
      <c r="A57" s="178">
        <v>45654</v>
      </c>
      <c r="B57" s="95" t="s">
        <v>12</v>
      </c>
      <c r="C57" s="164" t="s">
        <v>112</v>
      </c>
      <c r="D57" s="158" t="s">
        <v>16</v>
      </c>
      <c r="E57" s="11">
        <v>5.66</v>
      </c>
      <c r="F57" s="12">
        <v>6.01</v>
      </c>
      <c r="G57" s="99">
        <v>10000</v>
      </c>
      <c r="H57" s="13">
        <f>IF(D57="c",(E57-F57)*G57,(F57-E57)*G57)</f>
        <v>3499.9999999999964</v>
      </c>
      <c r="I57" s="13">
        <f t="shared" si="46"/>
        <v>174.99999999999983</v>
      </c>
      <c r="J57" s="13">
        <f t="shared" si="64"/>
        <v>-524.99999999999943</v>
      </c>
      <c r="K57" s="109">
        <f t="shared" si="65"/>
        <v>3149.9999999999968</v>
      </c>
      <c r="L57" s="15">
        <v>45299</v>
      </c>
      <c r="M57" s="112">
        <v>2024</v>
      </c>
      <c r="N57" s="113" t="s">
        <v>19</v>
      </c>
      <c r="O57" s="15">
        <v>45351</v>
      </c>
      <c r="P57" s="7">
        <f>IF(L57="","",J57)</f>
        <v>-524.99999999999943</v>
      </c>
      <c r="R57" s="13">
        <f>E57-F57</f>
        <v>-0.34999999999999964</v>
      </c>
      <c r="S57" s="11">
        <f t="shared" si="66"/>
        <v>56600</v>
      </c>
      <c r="T57" s="95" t="str">
        <f>IF(L57-A57=0,"d","s")</f>
        <v>s</v>
      </c>
    </row>
    <row r="58" spans="1:27" hidden="1">
      <c r="A58" s="178">
        <v>45293</v>
      </c>
      <c r="B58" s="95" t="s">
        <v>12</v>
      </c>
      <c r="C58" s="164" t="s">
        <v>189</v>
      </c>
      <c r="D58" s="158" t="s">
        <v>180</v>
      </c>
      <c r="E58" s="11">
        <v>10.15</v>
      </c>
      <c r="F58" s="12">
        <v>10.23</v>
      </c>
      <c r="G58" s="99">
        <v>5000</v>
      </c>
      <c r="H58" s="13">
        <f t="shared" ref="H58:H59" si="70">IF(D58="c",(E58-F58)*G58,(F58-E58)*G58)</f>
        <v>-400.00000000000034</v>
      </c>
      <c r="I58" s="13">
        <f t="shared" si="46"/>
        <v>-20.000000000000018</v>
      </c>
      <c r="J58" s="13">
        <f t="shared" si="64"/>
        <v>60.00000000000005</v>
      </c>
      <c r="K58" s="109">
        <f t="shared" ref="K58:K59" si="71">SUM(H58:J58)</f>
        <v>-360.00000000000028</v>
      </c>
      <c r="L58" s="15">
        <f t="shared" ref="L58:L59" ca="1" si="72">TODAY()</f>
        <v>45304</v>
      </c>
      <c r="M58" s="112">
        <v>2024</v>
      </c>
      <c r="N58" s="113" t="s">
        <v>19</v>
      </c>
      <c r="O58" s="15">
        <v>45301</v>
      </c>
      <c r="P58" s="7">
        <f t="shared" ref="P58:P59" ca="1" si="73">IF(L58="","",J58)</f>
        <v>60.00000000000005</v>
      </c>
      <c r="R58" s="13">
        <f t="shared" ref="R58:R59" si="74">E58-F58</f>
        <v>-8.0000000000000071E-2</v>
      </c>
      <c r="S58" s="11">
        <f t="shared" si="66"/>
        <v>50750</v>
      </c>
      <c r="T58" s="95" t="str">
        <f t="shared" ref="T58:T59" ca="1" si="75">IF(L58-A58=0,"d","s")</f>
        <v>s</v>
      </c>
    </row>
    <row r="59" spans="1:27">
      <c r="A59" s="178">
        <v>45293</v>
      </c>
      <c r="B59" s="98" t="s">
        <v>16</v>
      </c>
      <c r="C59" s="164" t="s">
        <v>189</v>
      </c>
      <c r="D59" s="158" t="s">
        <v>180</v>
      </c>
      <c r="E59" s="11">
        <v>10.15</v>
      </c>
      <c r="F59" s="12">
        <v>10.23</v>
      </c>
      <c r="G59" s="99">
        <v>5000</v>
      </c>
      <c r="H59" s="13">
        <f t="shared" si="70"/>
        <v>-400.00000000000034</v>
      </c>
      <c r="I59" s="13">
        <f t="shared" si="46"/>
        <v>-20.000000000000018</v>
      </c>
      <c r="J59" s="13">
        <f t="shared" si="64"/>
        <v>60.00000000000005</v>
      </c>
      <c r="K59" s="109">
        <f t="shared" si="71"/>
        <v>-360.00000000000028</v>
      </c>
      <c r="L59" s="15">
        <f t="shared" ca="1" si="72"/>
        <v>45304</v>
      </c>
      <c r="M59" s="112">
        <v>2024</v>
      </c>
      <c r="N59" s="113" t="s">
        <v>19</v>
      </c>
      <c r="O59" s="15">
        <v>45301</v>
      </c>
      <c r="P59" s="7">
        <f t="shared" ca="1" si="73"/>
        <v>60.00000000000005</v>
      </c>
      <c r="R59" s="13">
        <f t="shared" si="74"/>
        <v>-8.0000000000000071E-2</v>
      </c>
      <c r="S59" s="11">
        <f t="shared" si="66"/>
        <v>50750</v>
      </c>
      <c r="T59" s="95" t="str">
        <f t="shared" ca="1" si="75"/>
        <v>s</v>
      </c>
    </row>
    <row r="60" spans="1:27">
      <c r="A60" s="178">
        <v>45654</v>
      </c>
      <c r="B60" s="95" t="s">
        <v>16</v>
      </c>
      <c r="C60" s="165" t="s">
        <v>112</v>
      </c>
      <c r="D60" s="158" t="s">
        <v>180</v>
      </c>
      <c r="E60" s="11">
        <v>6.28</v>
      </c>
      <c r="F60" s="12">
        <v>5.76</v>
      </c>
      <c r="G60" s="99">
        <v>20000</v>
      </c>
      <c r="H60" s="13">
        <f t="shared" ref="H60" si="76">IF(D60="c",(E60-F60)*G60,(F60-E60)*G60)</f>
        <v>10400.000000000009</v>
      </c>
      <c r="I60" s="13">
        <f t="shared" ref="I60" si="77">H60*0.05</f>
        <v>520.00000000000045</v>
      </c>
      <c r="J60" s="13">
        <f>H60*-0.15</f>
        <v>-1560.0000000000014</v>
      </c>
      <c r="K60" s="109">
        <f>SUM(H60:J60)</f>
        <v>9360.0000000000073</v>
      </c>
      <c r="L60" s="15">
        <f t="shared" ref="L60:L76" ca="1" si="78">TODAY()</f>
        <v>45304</v>
      </c>
      <c r="M60" s="112">
        <v>2024</v>
      </c>
      <c r="N60" s="113" t="s">
        <v>19</v>
      </c>
      <c r="O60" s="15">
        <v>45303</v>
      </c>
      <c r="P60" s="7">
        <f ca="1">IF(L60="","",J60)</f>
        <v>-1560.0000000000014</v>
      </c>
      <c r="R60" s="13">
        <f>E60-F60</f>
        <v>0.52000000000000046</v>
      </c>
      <c r="S60" s="11">
        <f>E60*G60</f>
        <v>125600</v>
      </c>
      <c r="T60" s="95" t="str">
        <f ca="1">IF(L60-A60=0,"d","s")</f>
        <v>s</v>
      </c>
    </row>
    <row r="61" spans="1:27">
      <c r="A61" s="15"/>
      <c r="B61" s="95"/>
      <c r="C61" s="41"/>
      <c r="D61" s="41"/>
      <c r="E61" s="11"/>
      <c r="F61" s="12"/>
      <c r="H61" s="13"/>
      <c r="I61" s="13"/>
      <c r="J61" s="13"/>
      <c r="K61" s="109"/>
      <c r="L61" s="15"/>
      <c r="N61" s="113"/>
      <c r="O61" s="15"/>
      <c r="S61" s="11"/>
      <c r="T61" s="95" t="str">
        <f t="shared" ref="T61:T64" si="79">IF(L61-A61=0,"d","s")</f>
        <v>d</v>
      </c>
    </row>
    <row r="62" spans="1:27">
      <c r="B62" s="95"/>
      <c r="T62" s="95" t="str">
        <f t="shared" si="79"/>
        <v>d</v>
      </c>
    </row>
    <row r="63" spans="1:27">
      <c r="A63" s="15">
        <v>45303</v>
      </c>
      <c r="B63" s="165" t="s">
        <v>16</v>
      </c>
      <c r="C63" s="165" t="e" vm="1">
        <v>#VALUE!</v>
      </c>
      <c r="D63" s="165" t="s">
        <v>180</v>
      </c>
      <c r="E63" s="11">
        <f t="array" ref="E63">_FV(C63,"Preço")</f>
        <v>7.84</v>
      </c>
      <c r="F63" s="12">
        <v>8</v>
      </c>
      <c r="G63" s="99">
        <v>3000</v>
      </c>
      <c r="H63" s="13">
        <f t="shared" ref="H63" si="80">IF(D63="c",(E63-F63)*G63,(F63-E63)*G63)</f>
        <v>-480.00000000000045</v>
      </c>
      <c r="I63" s="13">
        <f t="shared" ref="I63" si="81">H63*0.05</f>
        <v>-24.000000000000025</v>
      </c>
      <c r="J63" s="13">
        <f t="shared" ref="J63" si="82">H63*-0.15</f>
        <v>72.000000000000071</v>
      </c>
      <c r="K63" s="109">
        <f t="shared" ref="K63" si="83">SUM(H63:J63)</f>
        <v>-432.0000000000004</v>
      </c>
      <c r="L63" s="15">
        <f t="shared" ca="1" si="78"/>
        <v>45304</v>
      </c>
      <c r="M63" s="112">
        <v>2024</v>
      </c>
      <c r="N63" s="113" t="s">
        <v>19</v>
      </c>
      <c r="P63" s="7">
        <f t="shared" ref="P63" ca="1" si="84">IF(L63="","",J63)</f>
        <v>72.000000000000071</v>
      </c>
      <c r="R63" s="13">
        <f t="shared" ref="R63" si="85">E63-F63</f>
        <v>-0.16000000000000014</v>
      </c>
      <c r="S63" s="11">
        <f>IF(D63="v",(-E63*G63),(E63*G63))</f>
        <v>23520</v>
      </c>
      <c r="T63" s="95" t="str">
        <f t="shared" ref="T63" ca="1" si="86">IF(L63-A63=0,"d","s")</f>
        <v>s</v>
      </c>
      <c r="W63" s="4">
        <v>5.52</v>
      </c>
      <c r="X63" s="97">
        <v>10000</v>
      </c>
      <c r="Y63" s="25">
        <f t="shared" ref="Y63" si="87">((X63*W63)+(G63*F63))/(X63+G63)</f>
        <v>6.092307692307692</v>
      </c>
      <c r="Z63">
        <v>0.3</v>
      </c>
      <c r="AA63" s="25">
        <f t="shared" ref="AA63" si="88">Z63*H63</f>
        <v>-144.00000000000014</v>
      </c>
    </row>
    <row r="64" spans="1:27">
      <c r="A64" s="15">
        <v>45303</v>
      </c>
      <c r="B64" s="165" t="s">
        <v>16</v>
      </c>
      <c r="C64" s="165" t="e" vm="2">
        <v>#VALUE!</v>
      </c>
      <c r="D64" s="165" t="s">
        <v>180</v>
      </c>
      <c r="E64" s="11">
        <f t="array" ref="E64">_FV(C64,"Preço")</f>
        <v>13.52</v>
      </c>
      <c r="F64" s="12">
        <v>13.31</v>
      </c>
      <c r="G64" s="99">
        <v>4000</v>
      </c>
      <c r="H64" s="13">
        <f t="shared" ref="H64" si="89">IF(D64="c",(E64-F64)*G64,(F64-E64)*G64)</f>
        <v>839.99999999999636</v>
      </c>
      <c r="I64" s="13">
        <f t="shared" ref="I64" si="90">H64*0.05</f>
        <v>41.999999999999822</v>
      </c>
      <c r="J64" s="13">
        <f t="shared" ref="J64" si="91">H64*-0.15</f>
        <v>-125.99999999999945</v>
      </c>
      <c r="K64" s="109">
        <f t="shared" ref="K64" si="92">SUM(H64:J64)</f>
        <v>755.9999999999967</v>
      </c>
      <c r="L64" s="15">
        <f t="shared" ca="1" si="78"/>
        <v>45304</v>
      </c>
      <c r="M64" s="112">
        <v>2024</v>
      </c>
      <c r="N64" s="113" t="s">
        <v>19</v>
      </c>
      <c r="P64" s="7">
        <f t="shared" ref="P64" ca="1" si="93">IF(L64="","",J64)</f>
        <v>-125.99999999999945</v>
      </c>
      <c r="R64" s="13">
        <f t="shared" ref="R64" si="94">E64-F64</f>
        <v>0.20999999999999908</v>
      </c>
      <c r="S64" s="11">
        <f>IF(D64="v",(-E64*G64),(E64*G64))</f>
        <v>54080</v>
      </c>
      <c r="T64" s="95" t="str">
        <f t="shared" ca="1" si="79"/>
        <v>s</v>
      </c>
      <c r="W64" s="4">
        <v>5.52</v>
      </c>
      <c r="X64" s="97">
        <v>10000</v>
      </c>
      <c r="Y64" s="25">
        <f t="shared" ref="Y64" si="95">((X64*W64)+(G64*F64))/(X64+G64)</f>
        <v>7.7457142857142856</v>
      </c>
      <c r="Z64">
        <v>0.3</v>
      </c>
      <c r="AA64" s="25">
        <f t="shared" ref="AA64" si="96">Z64*H64</f>
        <v>251.99999999999889</v>
      </c>
    </row>
    <row r="65" spans="1:27" hidden="1">
      <c r="A65" s="15">
        <v>45417</v>
      </c>
      <c r="B65" s="164" t="s">
        <v>12</v>
      </c>
      <c r="C65" s="164" t="e" vm="3">
        <v>#VALUE!</v>
      </c>
      <c r="D65" s="164" t="s">
        <v>16</v>
      </c>
      <c r="E65" s="11">
        <f t="array" ref="E65">_FV(C65,"Preço")</f>
        <v>8.4700000000000006</v>
      </c>
      <c r="F65" s="12">
        <v>8.44</v>
      </c>
      <c r="G65" s="99">
        <v>3000</v>
      </c>
      <c r="H65" s="13">
        <f t="shared" ref="H65:H66" si="97">IF(D65="c",(E65-F65)*G65,(F65-E65)*G65)</f>
        <v>-90.000000000003411</v>
      </c>
      <c r="I65" s="13">
        <f t="shared" ref="I65:I66" si="98">H65*0.05</f>
        <v>-4.5000000000001705</v>
      </c>
      <c r="J65" s="13">
        <f t="shared" ref="J65:J66" si="99">H65*-0.15</f>
        <v>13.500000000000512</v>
      </c>
      <c r="K65" s="109">
        <f t="shared" ref="K65:K66" si="100">SUM(H65:J65)</f>
        <v>-81.00000000000307</v>
      </c>
      <c r="L65" s="15">
        <f t="shared" ca="1" si="78"/>
        <v>45304</v>
      </c>
      <c r="M65" s="112">
        <v>2024</v>
      </c>
      <c r="N65" s="113" t="s">
        <v>19</v>
      </c>
      <c r="P65" s="7">
        <f t="shared" ref="P65:P66" ca="1" si="101">IF(L65="","",J65)</f>
        <v>13.500000000000512</v>
      </c>
      <c r="R65" s="13">
        <f t="shared" ref="R65:R66" si="102">E65-F65</f>
        <v>3.0000000000001137E-2</v>
      </c>
      <c r="S65" s="11">
        <f>IF(D65="v",(-E65*G65),(E65*G65))</f>
        <v>-25410.000000000004</v>
      </c>
      <c r="T65" s="95" t="str">
        <f t="shared" ref="T65:T66" ca="1" si="103">IF(L65-A65=0,"d","s")</f>
        <v>s</v>
      </c>
      <c r="W65" s="4">
        <v>5.52</v>
      </c>
      <c r="X65" s="97">
        <v>10000</v>
      </c>
      <c r="Y65" s="25">
        <f t="shared" ref="Y65:Y66" si="104">((X65*W65)+(G65*F65))/(X65+G65)</f>
        <v>6.1938461538461542</v>
      </c>
      <c r="Z65">
        <v>0.3</v>
      </c>
      <c r="AA65" s="25">
        <f t="shared" ref="AA65:AA66" si="105">Z65*H65</f>
        <v>-27.000000000001023</v>
      </c>
    </row>
    <row r="66" spans="1:27">
      <c r="A66" s="15">
        <v>45417</v>
      </c>
      <c r="B66" s="98" t="s">
        <v>16</v>
      </c>
      <c r="C66" s="164" t="e" vm="3">
        <v>#VALUE!</v>
      </c>
      <c r="D66" s="164" t="s">
        <v>16</v>
      </c>
      <c r="E66" s="11">
        <f t="array" ref="E66">_FV(C66,"Preço")</f>
        <v>8.4700000000000006</v>
      </c>
      <c r="F66" s="12">
        <v>8.43</v>
      </c>
      <c r="G66" s="99">
        <v>3000</v>
      </c>
      <c r="H66" s="13">
        <f t="shared" si="97"/>
        <v>-120.00000000000277</v>
      </c>
      <c r="I66" s="13">
        <f t="shared" si="98"/>
        <v>-6.0000000000001386</v>
      </c>
      <c r="J66" s="13">
        <f t="shared" si="99"/>
        <v>18.000000000000416</v>
      </c>
      <c r="K66" s="109">
        <f t="shared" si="100"/>
        <v>-108.0000000000025</v>
      </c>
      <c r="L66" s="15">
        <f t="shared" ca="1" si="78"/>
        <v>45304</v>
      </c>
      <c r="M66" s="112">
        <v>2024</v>
      </c>
      <c r="N66" s="113" t="s">
        <v>19</v>
      </c>
      <c r="P66" s="7">
        <f t="shared" ca="1" si="101"/>
        <v>18.000000000000416</v>
      </c>
      <c r="R66" s="13">
        <f t="shared" si="102"/>
        <v>4.0000000000000924E-2</v>
      </c>
      <c r="S66" s="11">
        <f t="shared" ref="S66:S68" si="106">IF(D66="v",(-E66*G66),(E66*G66))</f>
        <v>-25410.000000000004</v>
      </c>
      <c r="T66" s="95" t="str">
        <f t="shared" ca="1" si="103"/>
        <v>s</v>
      </c>
      <c r="W66" s="4">
        <v>5.52</v>
      </c>
      <c r="X66" s="97">
        <v>10000</v>
      </c>
      <c r="Y66" s="25">
        <f t="shared" si="104"/>
        <v>6.1915384615384612</v>
      </c>
      <c r="Z66">
        <v>0.3</v>
      </c>
      <c r="AA66" s="25">
        <f t="shared" si="105"/>
        <v>-36.000000000000831</v>
      </c>
    </row>
    <row r="67" spans="1:27" hidden="1">
      <c r="A67" s="15">
        <v>45417</v>
      </c>
      <c r="B67" s="164" t="s">
        <v>12</v>
      </c>
      <c r="C67" s="164" t="e" vm="4">
        <v>#VALUE!</v>
      </c>
      <c r="D67" s="164" t="s">
        <v>16</v>
      </c>
      <c r="E67" s="11">
        <f t="array" ref="E67">_FV(C67,"Preço")</f>
        <v>9.5</v>
      </c>
      <c r="F67" s="12">
        <v>9.44</v>
      </c>
      <c r="G67" s="99">
        <v>3000</v>
      </c>
      <c r="H67" s="13">
        <f t="shared" ref="H67:H68" si="107">IF(D67="c",(E67-F67)*G67,(F67-E67)*G67)</f>
        <v>-180.00000000000148</v>
      </c>
      <c r="I67" s="13">
        <f t="shared" ref="I67:I68" si="108">H67*0.05</f>
        <v>-9.0000000000000746</v>
      </c>
      <c r="J67" s="13">
        <f t="shared" ref="J67:J68" si="109">H67*-0.15</f>
        <v>27.00000000000022</v>
      </c>
      <c r="K67" s="109">
        <f t="shared" ref="K67:K68" si="110">SUM(H67:J67)</f>
        <v>-162.00000000000134</v>
      </c>
      <c r="L67" s="15">
        <f t="shared" ca="1" si="78"/>
        <v>45304</v>
      </c>
      <c r="M67" s="112">
        <v>2024</v>
      </c>
      <c r="N67" s="113" t="s">
        <v>19</v>
      </c>
      <c r="P67" s="7">
        <f t="shared" ref="P67:P68" ca="1" si="111">IF(L67="","",J67)</f>
        <v>27.00000000000022</v>
      </c>
      <c r="R67" s="13">
        <f t="shared" ref="R67:R68" si="112">E67-F67</f>
        <v>6.0000000000000497E-2</v>
      </c>
      <c r="S67" s="11">
        <f t="shared" si="106"/>
        <v>-28500</v>
      </c>
      <c r="T67" s="95" t="str">
        <f t="shared" ref="T67:T68" ca="1" si="113">IF(L67-A67=0,"d","s")</f>
        <v>s</v>
      </c>
      <c r="W67" s="4">
        <v>5.52</v>
      </c>
      <c r="X67" s="97">
        <v>10000</v>
      </c>
      <c r="Y67" s="25">
        <f t="shared" ref="Y67:Y68" si="114">((X67*W67)+(G67*F67))/(X67+G67)</f>
        <v>6.4246153846153842</v>
      </c>
      <c r="Z67">
        <v>0.3</v>
      </c>
      <c r="AA67" s="25">
        <f t="shared" ref="AA67:AA68" si="115">Z67*H67</f>
        <v>-54.000000000000441</v>
      </c>
    </row>
    <row r="68" spans="1:27">
      <c r="A68" s="15">
        <v>45417</v>
      </c>
      <c r="B68" s="98" t="s">
        <v>16</v>
      </c>
      <c r="C68" s="164" t="e" vm="4">
        <v>#VALUE!</v>
      </c>
      <c r="D68" s="164" t="s">
        <v>16</v>
      </c>
      <c r="E68" s="11">
        <f t="array" ref="E68">_FV(C68,"Preço")</f>
        <v>9.5</v>
      </c>
      <c r="F68" s="12">
        <v>9.44</v>
      </c>
      <c r="G68" s="99">
        <v>3000</v>
      </c>
      <c r="H68" s="13">
        <f t="shared" si="107"/>
        <v>-180.00000000000148</v>
      </c>
      <c r="I68" s="13">
        <f t="shared" si="108"/>
        <v>-9.0000000000000746</v>
      </c>
      <c r="J68" s="13">
        <f t="shared" si="109"/>
        <v>27.00000000000022</v>
      </c>
      <c r="K68" s="109">
        <f t="shared" si="110"/>
        <v>-162.00000000000134</v>
      </c>
      <c r="L68" s="15">
        <f t="shared" ca="1" si="78"/>
        <v>45304</v>
      </c>
      <c r="M68" s="112">
        <v>2024</v>
      </c>
      <c r="N68" s="113" t="s">
        <v>19</v>
      </c>
      <c r="P68" s="7">
        <f t="shared" ca="1" si="111"/>
        <v>27.00000000000022</v>
      </c>
      <c r="R68" s="13">
        <f t="shared" si="112"/>
        <v>6.0000000000000497E-2</v>
      </c>
      <c r="S68" s="11">
        <f t="shared" si="106"/>
        <v>-28500</v>
      </c>
      <c r="T68" s="95" t="str">
        <f t="shared" ca="1" si="113"/>
        <v>s</v>
      </c>
      <c r="W68" s="4">
        <v>5.52</v>
      </c>
      <c r="X68" s="97">
        <v>10000</v>
      </c>
      <c r="Y68" s="25">
        <f t="shared" si="114"/>
        <v>6.4246153846153842</v>
      </c>
      <c r="Z68">
        <v>0.3</v>
      </c>
      <c r="AA68" s="25">
        <f t="shared" si="115"/>
        <v>-54.000000000000441</v>
      </c>
    </row>
    <row r="69" spans="1:27">
      <c r="A69" s="15"/>
      <c r="B69" s="98"/>
      <c r="C69" s="98"/>
      <c r="D69" s="98"/>
      <c r="E69" s="11"/>
      <c r="F69" s="12"/>
      <c r="G69" s="99"/>
      <c r="H69" s="13"/>
      <c r="J69" s="13"/>
      <c r="K69" s="109"/>
      <c r="L69" s="15"/>
      <c r="N69" s="113"/>
      <c r="S69" s="11"/>
      <c r="T69" s="95"/>
      <c r="W69" s="4"/>
      <c r="X69" s="97"/>
      <c r="Y69" s="25"/>
      <c r="AA69" s="25"/>
    </row>
    <row r="70" spans="1:27">
      <c r="N70" s="113"/>
      <c r="P70" s="7" t="str">
        <f t="shared" ref="P70:P84" si="116">IF(L70="","",J70)</f>
        <v/>
      </c>
    </row>
    <row r="71" spans="1:27" s="114" customFormat="1" ht="15.75" thickBot="1">
      <c r="F71" s="115"/>
      <c r="K71" s="116"/>
      <c r="M71" s="117"/>
      <c r="N71" s="118"/>
      <c r="P71" s="119" t="str">
        <f t="shared" si="116"/>
        <v/>
      </c>
      <c r="R71" s="120"/>
    </row>
    <row r="72" spans="1:27">
      <c r="A72" s="100">
        <v>45149</v>
      </c>
      <c r="B72" s="45" t="s">
        <v>16</v>
      </c>
      <c r="C72" s="176" t="e" vm="5">
        <v>#VALUE!</v>
      </c>
      <c r="D72" s="164" t="s">
        <v>180</v>
      </c>
      <c r="E72" s="11">
        <f t="array" ref="E72">_FV(C72,"Preço")</f>
        <v>46.08</v>
      </c>
      <c r="F72" s="12">
        <v>40.869999999999997</v>
      </c>
      <c r="G72" s="99">
        <v>500</v>
      </c>
      <c r="H72" s="13">
        <f>(E72-F72)*G72</f>
        <v>2605.0000000000005</v>
      </c>
      <c r="I72" s="13">
        <f>-11.75-2.35</f>
        <v>-14.1</v>
      </c>
      <c r="J72" s="13">
        <f>H72*-0.15</f>
        <v>-390.75000000000006</v>
      </c>
      <c r="K72" s="109">
        <f>SUM(H72:J72)</f>
        <v>2200.1500000000005</v>
      </c>
      <c r="L72" s="100">
        <f ca="1">TODAY()</f>
        <v>45304</v>
      </c>
      <c r="N72" s="113"/>
      <c r="O72" s="15"/>
      <c r="P72" s="7">
        <f ca="1">IF(L72="","",J72)</f>
        <v>-390.75000000000006</v>
      </c>
      <c r="R72" s="13">
        <f>E72-F72</f>
        <v>5.2100000000000009</v>
      </c>
      <c r="S72" s="11">
        <f>E72*G72</f>
        <v>23040</v>
      </c>
      <c r="T72" s="95" t="str">
        <f ca="1">IF(L72=A72,"day","sw")</f>
        <v>sw</v>
      </c>
      <c r="V72" s="176" t="e">
        <f>_xlfn.CONCAT("(PRIO S.A. (BVMF:",C72,"))")</f>
        <v>#VALUE!</v>
      </c>
    </row>
    <row r="73" spans="1:27" outlineLevel="1">
      <c r="A73" s="100">
        <v>44972</v>
      </c>
      <c r="B73" s="176" t="s">
        <v>16</v>
      </c>
      <c r="C73" s="176" t="e" vm="5">
        <v>#VALUE!</v>
      </c>
      <c r="D73" s="176" t="s">
        <v>180</v>
      </c>
      <c r="E73" s="11">
        <f t="array" ref="E73">_FV(C73,"Preço")</f>
        <v>46.08</v>
      </c>
      <c r="F73" s="12">
        <v>40.799999999999997</v>
      </c>
      <c r="G73">
        <v>500</v>
      </c>
      <c r="H73" s="13">
        <f>(E73-F73)*G73</f>
        <v>2640.0000000000005</v>
      </c>
      <c r="I73" s="13">
        <f>H73*0.05</f>
        <v>132.00000000000003</v>
      </c>
      <c r="J73" s="13">
        <f>SUM(H73:I73)*-0.15</f>
        <v>-415.80000000000007</v>
      </c>
      <c r="K73" s="109">
        <f>SUM(H73:J73)</f>
        <v>2356.2000000000003</v>
      </c>
      <c r="L73" s="15"/>
      <c r="M73" s="112">
        <v>2023</v>
      </c>
      <c r="O73" s="16"/>
      <c r="Q73" s="17"/>
      <c r="S73" s="11"/>
      <c r="T73" s="95"/>
      <c r="V73" s="179" t="s">
        <v>199</v>
      </c>
    </row>
    <row r="74" spans="1:27" outlineLevel="1">
      <c r="A74" s="100">
        <v>44981</v>
      </c>
      <c r="B74" s="176" t="s">
        <v>16</v>
      </c>
      <c r="C74" s="176" t="e" vm="5">
        <v>#VALUE!</v>
      </c>
      <c r="D74" s="176" t="s">
        <v>180</v>
      </c>
      <c r="E74" s="11">
        <f t="array" ref="E74">_FV(C74,"Preço")</f>
        <v>46.08</v>
      </c>
      <c r="F74" s="12">
        <v>37.54</v>
      </c>
      <c r="G74">
        <v>1500</v>
      </c>
      <c r="H74" s="13">
        <f t="shared" ref="H74" si="117">(E74-F74)*G74</f>
        <v>12809.999999999998</v>
      </c>
      <c r="I74" s="13">
        <f>H74*0.05</f>
        <v>640.5</v>
      </c>
      <c r="J74" s="13">
        <f t="shared" ref="J74" si="118">SUM(H74:I74)*-0.15</f>
        <v>-2017.5749999999996</v>
      </c>
      <c r="K74" s="109">
        <f t="shared" ref="K74" si="119">SUM(H74:J74)</f>
        <v>11432.924999999999</v>
      </c>
      <c r="L74" s="15"/>
      <c r="M74" s="112">
        <v>2023</v>
      </c>
      <c r="O74" s="16"/>
      <c r="Q74" s="17"/>
      <c r="S74" s="11"/>
      <c r="T74" s="95"/>
    </row>
    <row r="75" spans="1:27" outlineLevel="1">
      <c r="A75" s="100">
        <v>45044</v>
      </c>
      <c r="B75" s="176" t="s">
        <v>16</v>
      </c>
      <c r="C75" s="176" t="e" vm="5">
        <v>#VALUE!</v>
      </c>
      <c r="D75" s="176" t="s">
        <v>180</v>
      </c>
      <c r="E75" s="11">
        <f t="array" ref="E75">_FV(C75,"Preço")</f>
        <v>46.08</v>
      </c>
      <c r="F75" s="12">
        <v>34.700000000000003</v>
      </c>
      <c r="G75">
        <v>1000</v>
      </c>
      <c r="H75" s="13">
        <f>(E75-F75)*G75</f>
        <v>11379.999999999996</v>
      </c>
      <c r="I75" s="13">
        <f>H75*0.05</f>
        <v>568.99999999999989</v>
      </c>
      <c r="J75" s="13">
        <f>SUM(H75:I75)*-0.15</f>
        <v>-1792.3499999999995</v>
      </c>
      <c r="K75" s="109">
        <f>SUM(H75:J75)</f>
        <v>10156.649999999998</v>
      </c>
      <c r="L75" s="15"/>
      <c r="M75" s="112">
        <v>2023</v>
      </c>
      <c r="O75" s="16"/>
      <c r="Q75" s="17"/>
      <c r="S75" s="11"/>
      <c r="T75" s="95"/>
    </row>
    <row r="76" spans="1:27">
      <c r="A76" s="100">
        <v>44957</v>
      </c>
      <c r="B76" s="98" t="s">
        <v>16</v>
      </c>
      <c r="C76" s="98" t="e" vm="6">
        <v>#VALUE!</v>
      </c>
      <c r="D76" s="164" t="s">
        <v>180</v>
      </c>
      <c r="E76" s="11">
        <f t="array" ref="E76">_FV(C76,"Preço")</f>
        <v>1.0900000000000001</v>
      </c>
      <c r="F76" s="12">
        <v>1.5</v>
      </c>
      <c r="G76" s="99">
        <v>500</v>
      </c>
      <c r="H76" s="13">
        <f>IF(D76="c",(E76-F76)*G76,(F76-E76)*G76)</f>
        <v>-204.99999999999997</v>
      </c>
      <c r="I76" s="13">
        <f>H76*0.05</f>
        <v>-10.25</v>
      </c>
      <c r="J76" s="13">
        <f t="shared" ref="J76" si="120">H76*-0.15</f>
        <v>30.749999999999993</v>
      </c>
      <c r="K76" s="109">
        <f t="shared" ref="K76" si="121">SUM(H76:J76)</f>
        <v>-184.49999999999997</v>
      </c>
      <c r="L76" s="15">
        <f t="shared" ca="1" si="78"/>
        <v>45304</v>
      </c>
      <c r="M76" s="112">
        <v>2024</v>
      </c>
      <c r="N76" s="113" t="s">
        <v>19</v>
      </c>
      <c r="P76" s="7">
        <f ca="1">IF(L76="","",J76)</f>
        <v>30.749999999999993</v>
      </c>
      <c r="R76" s="13">
        <f t="shared" ref="R76" si="122">E76-F76</f>
        <v>-0.40999999999999992</v>
      </c>
      <c r="S76" s="11">
        <f t="shared" ref="S76" si="123">E76*G76</f>
        <v>545</v>
      </c>
      <c r="T76" s="95" t="str">
        <f ca="1">IF(L76-A76=0,"d","s")</f>
        <v>s</v>
      </c>
      <c r="W76" s="4">
        <v>5.52</v>
      </c>
      <c r="X76" s="97">
        <v>10000</v>
      </c>
      <c r="Y76" s="25">
        <f t="shared" ref="Y76" si="124">((X76*W76)+(G76*F76))/(X76+G76)</f>
        <v>5.3285714285714283</v>
      </c>
      <c r="Z76">
        <v>0.3</v>
      </c>
      <c r="AA76" s="25">
        <f t="shared" ref="AA76" si="125">Z76*H76</f>
        <v>-61.499999999999986</v>
      </c>
    </row>
    <row r="77" spans="1:27">
      <c r="N77" s="113"/>
      <c r="P77" s="7" t="str">
        <f t="shared" si="116"/>
        <v/>
      </c>
    </row>
    <row r="78" spans="1:27">
      <c r="N78" s="113"/>
      <c r="P78" s="7" t="str">
        <f t="shared" si="116"/>
        <v/>
      </c>
    </row>
    <row r="79" spans="1:27">
      <c r="N79" s="113"/>
      <c r="P79" s="7" t="str">
        <f t="shared" si="116"/>
        <v/>
      </c>
    </row>
    <row r="80" spans="1:27">
      <c r="N80" s="113"/>
      <c r="P80" s="7" t="str">
        <f t="shared" si="116"/>
        <v/>
      </c>
    </row>
    <row r="81" spans="14:16">
      <c r="N81" s="113"/>
      <c r="P81" s="7" t="str">
        <f t="shared" si="116"/>
        <v/>
      </c>
    </row>
    <row r="82" spans="14:16">
      <c r="N82" s="113"/>
      <c r="P82" s="7" t="str">
        <f t="shared" si="116"/>
        <v/>
      </c>
    </row>
    <row r="83" spans="14:16">
      <c r="N83" s="113"/>
      <c r="P83" s="7" t="str">
        <f t="shared" si="116"/>
        <v/>
      </c>
    </row>
    <row r="84" spans="14:16">
      <c r="N84" s="113"/>
      <c r="P84" s="7" t="str">
        <f t="shared" si="116"/>
        <v/>
      </c>
    </row>
  </sheetData>
  <autoFilter ref="B5:Q68" xr:uid="{00000000-0001-0000-0000-000000000000}">
    <filterColumn colId="0">
      <filters blank="1">
        <filter val="v"/>
      </filters>
    </filterColumn>
  </autoFilter>
  <phoneticPr fontId="37" type="noConversion"/>
  <conditionalFormatting sqref="B1:B61 B63:B1048576">
    <cfRule type="cellIs" dxfId="2" priority="1" operator="equal">
      <formula>"v"</formula>
    </cfRule>
  </conditionalFormatting>
  <conditionalFormatting sqref="K1:K5">
    <cfRule type="cellIs" dxfId="1" priority="2" operator="equal">
      <formula>"v"</formula>
    </cfRule>
  </conditionalFormatting>
  <conditionalFormatting sqref="K31">
    <cfRule type="colorScale" priority="6">
      <colorScale>
        <cfvo type="min"/>
        <cfvo type="percentile" val="50"/>
        <cfvo type="max"/>
        <color rgb="FFF8696B"/>
        <color rgb="FFFCFCFF"/>
        <color rgb="FF5A8AC6"/>
      </colorScale>
    </cfRule>
  </conditionalFormatting>
  <conditionalFormatting sqref="K32">
    <cfRule type="colorScale" priority="5">
      <colorScale>
        <cfvo type="min"/>
        <cfvo type="percentile" val="50"/>
        <cfvo type="max"/>
        <color rgb="FFF8696B"/>
        <color rgb="FFFCFCFF"/>
        <color rgb="FF5A8AC6"/>
      </colorScale>
    </cfRule>
  </conditionalFormatting>
  <pageMargins left="0.511811024" right="0.511811024" top="0.78740157499999996" bottom="0.78740157499999996" header="0.31496062000000002" footer="0.31496062000000002"/>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7"/>
  <sheetViews>
    <sheetView zoomScale="130" zoomScaleNormal="130" workbookViewId="0">
      <pane ySplit="2" topLeftCell="A9" activePane="bottomLeft" state="frozen"/>
      <selection pane="bottomLeft" activeCell="H17" sqref="H17"/>
    </sheetView>
  </sheetViews>
  <sheetFormatPr defaultColWidth="9" defaultRowHeight="15.75" outlineLevelRow="1"/>
  <cols>
    <col min="1" max="1" width="5.42578125" bestFit="1" customWidth="1"/>
    <col min="2" max="2" width="7.42578125" bestFit="1" customWidth="1"/>
    <col min="3" max="3" width="6.7109375" bestFit="1" customWidth="1"/>
    <col min="4" max="4" width="3.7109375" style="127" bestFit="1" customWidth="1"/>
    <col min="5" max="5" width="9.5703125" style="148" bestFit="1" customWidth="1"/>
    <col min="6" max="6" width="8.7109375" style="149" bestFit="1" customWidth="1"/>
    <col min="7" max="7" width="6.85546875" style="123" customWidth="1"/>
    <col min="8" max="8" width="10" style="124" bestFit="1" customWidth="1"/>
    <col min="9" max="9" width="11.5703125" style="128" customWidth="1"/>
    <col min="10" max="10" width="5.7109375" style="148" bestFit="1" customWidth="1"/>
    <col min="11" max="11" width="7.85546875" style="149" bestFit="1" customWidth="1"/>
    <col min="12" max="12" width="6.85546875" style="121" bestFit="1" customWidth="1"/>
    <col min="13" max="13" width="10" style="126" bestFit="1" customWidth="1"/>
    <col min="14" max="14" width="10" style="130" bestFit="1" customWidth="1"/>
    <col min="15" max="15" width="3.5703125" customWidth="1"/>
    <col min="16" max="16" width="13.5703125" bestFit="1" customWidth="1"/>
    <col min="20" max="20" width="13.5703125" bestFit="1" customWidth="1"/>
    <col min="23" max="23" width="14.5703125" bestFit="1" customWidth="1"/>
  </cols>
  <sheetData>
    <row r="1" spans="1:25" ht="17.25" thickTop="1" thickBot="1">
      <c r="C1" s="136"/>
      <c r="D1"/>
      <c r="G1" s="155"/>
      <c r="H1" s="154"/>
      <c r="L1" s="146"/>
      <c r="M1" s="143"/>
      <c r="V1" s="56" t="s">
        <v>128</v>
      </c>
      <c r="W1" s="62">
        <v>176077.94</v>
      </c>
    </row>
    <row r="2" spans="1:25" s="131" customFormat="1" ht="14.25" thickTop="1" thickBot="1">
      <c r="B2" s="132" t="s">
        <v>101</v>
      </c>
      <c r="C2" s="137" t="s">
        <v>177</v>
      </c>
      <c r="D2" s="131" t="s">
        <v>102</v>
      </c>
      <c r="E2" s="150" t="s">
        <v>22</v>
      </c>
      <c r="F2" s="151" t="s">
        <v>21</v>
      </c>
      <c r="G2" s="145" t="s">
        <v>22</v>
      </c>
      <c r="H2" s="144" t="s">
        <v>21</v>
      </c>
      <c r="I2" s="133" t="s">
        <v>178</v>
      </c>
      <c r="J2" s="150" t="s">
        <v>22</v>
      </c>
      <c r="K2" s="151" t="s">
        <v>21</v>
      </c>
      <c r="L2" s="147" t="s">
        <v>22</v>
      </c>
      <c r="M2" s="144" t="s">
        <v>21</v>
      </c>
      <c r="N2" s="133" t="s">
        <v>178</v>
      </c>
      <c r="T2" s="134"/>
      <c r="V2" s="131" t="s">
        <v>129</v>
      </c>
      <c r="W2" s="135">
        <v>436808.68</v>
      </c>
    </row>
    <row r="3" spans="1:25" thickTop="1">
      <c r="A3" s="61">
        <v>2024</v>
      </c>
      <c r="C3" s="138" t="s">
        <v>23</v>
      </c>
      <c r="D3"/>
      <c r="E3" s="148">
        <f t="shared" ref="E3:E17" ca="1" si="0">E4+G3</f>
        <v>-101626.57</v>
      </c>
      <c r="F3" s="149">
        <f t="shared" ref="F3:F18" ca="1" si="1">F4+H3</f>
        <v>-20261.489999999998</v>
      </c>
      <c r="I3" s="128">
        <f>SUMIFS(operacao!$H$6:$H$71,operacao!$B$6:$B$71,"v",operacao!$M$6:$M$71,A3,operacao!$N$6:$N$71,C3)</f>
        <v>0</v>
      </c>
      <c r="J3" s="148">
        <f t="shared" ref="J3:J14" ca="1" si="2">J4+L3</f>
        <v>-77.999999999999403</v>
      </c>
      <c r="K3" s="149">
        <f t="shared" ref="K3:K14" ca="1" si="3">K4+M3</f>
        <v>3830.5260000000021</v>
      </c>
      <c r="L3" s="148">
        <f>SUMIFS(operacao!$J$6:$J$71,operacao!$B$6:$B$71,"e",operacao!$M$6:$M$71,A3,operacao!$N$6:$N$71,C3,operacao!$T$6:$T$71,"d")</f>
        <v>0</v>
      </c>
      <c r="M3" s="124">
        <f>SUMIFS(operacao!$J$6:$J$71,operacao!$B$6:$B$71,"e",operacao!$M$6:$M$71,A3,operacao!$N$6:$N$71,C3,operacao!$T$6:$T$71,"s")</f>
        <v>0</v>
      </c>
      <c r="N3" s="128">
        <f>SUMIFS(operacao!$H$6:$H$71,operacao!$B$6:$B$71,"e",operacao!$M$6:$M$71,A3,operacao!$N$6:$N$71,C3)</f>
        <v>0</v>
      </c>
      <c r="V3" s="56" t="s">
        <v>132</v>
      </c>
      <c r="W3" s="62">
        <v>400000</v>
      </c>
    </row>
    <row r="4" spans="1:25" ht="15">
      <c r="A4" s="61">
        <v>2024</v>
      </c>
      <c r="C4" s="138" t="s">
        <v>18</v>
      </c>
      <c r="D4"/>
      <c r="E4" s="148">
        <f t="shared" ca="1" si="0"/>
        <v>-101626.57</v>
      </c>
      <c r="F4" s="149">
        <f t="shared" ca="1" si="1"/>
        <v>-20261.489999999998</v>
      </c>
      <c r="I4" s="128">
        <f>SUMIFS(operacao!$H$6:$H$71,operacao!$B$6:$B$71,"v",operacao!$M$6:$M$71,A4,operacao!$N$6:$N$71,C4)</f>
        <v>0</v>
      </c>
      <c r="J4" s="148">
        <f t="shared" ca="1" si="2"/>
        <v>-77.999999999999403</v>
      </c>
      <c r="K4" s="149">
        <f t="shared" ca="1" si="3"/>
        <v>3830.5260000000021</v>
      </c>
      <c r="L4" s="148">
        <f>SUMIFS(operacao!$J$6:$J$71,operacao!$B$6:$B$71,"e",operacao!$M$6:$M$71,A4,operacao!$N$6:$N$71,C4,operacao!$T$6:$T$71,"d")</f>
        <v>0</v>
      </c>
      <c r="M4" s="124">
        <f>SUMIFS(operacao!$J$6:$J$71,operacao!$B$6:$B$71,"e",operacao!$M$6:$M$71,A4,operacao!$N$6:$N$71,C4,operacao!$T$6:$T$71,"s")</f>
        <v>0</v>
      </c>
      <c r="N4" s="128">
        <f>SUMIFS(operacao!$H$6:$H$71,operacao!$B$6:$B$71,"e",operacao!$M$6:$M$71,A4,operacao!$N$6:$N$71,C4)</f>
        <v>0</v>
      </c>
      <c r="W4" s="62">
        <v>41000</v>
      </c>
    </row>
    <row r="5" spans="1:25" ht="15">
      <c r="A5" s="61">
        <v>2024</v>
      </c>
      <c r="C5" s="138" t="s">
        <v>17</v>
      </c>
      <c r="D5"/>
      <c r="E5" s="148">
        <f t="shared" ca="1" si="0"/>
        <v>-101626.57</v>
      </c>
      <c r="F5" s="149">
        <f t="shared" ca="1" si="1"/>
        <v>-20261.489999999998</v>
      </c>
      <c r="I5" s="128">
        <f>SUMIFS(operacao!$H$6:$H$71,operacao!$B$6:$B$71,"v",operacao!$M$6:$M$71,A5,operacao!$N$6:$N$71,C5)</f>
        <v>0</v>
      </c>
      <c r="J5" s="148">
        <f t="shared" ca="1" si="2"/>
        <v>-77.999999999999403</v>
      </c>
      <c r="K5" s="149">
        <f t="shared" ca="1" si="3"/>
        <v>3830.5260000000021</v>
      </c>
      <c r="L5" s="148">
        <f>SUMIFS(operacao!$J$6:$J$71,operacao!$B$6:$B$71,"e",operacao!$M$6:$M$71,A5,operacao!$N$6:$N$71,C5,operacao!$T$6:$T$71,"d")</f>
        <v>0</v>
      </c>
      <c r="M5" s="124">
        <f>SUMIFS(operacao!$J$6:$J$71,operacao!$B$6:$B$71,"e",operacao!$M$6:$M$71,A5,operacao!$N$6:$N$71,C5,operacao!$T$6:$T$71,"s")</f>
        <v>0</v>
      </c>
      <c r="N5" s="128">
        <f>SUMIFS(operacao!$H$6:$H$71,operacao!$B$6:$B$71,"e",operacao!$M$6:$M$71,A5,operacao!$N$6:$N$71,C5)</f>
        <v>0</v>
      </c>
      <c r="S5" s="56"/>
      <c r="T5" s="62"/>
      <c r="W5" s="62">
        <v>15300</v>
      </c>
      <c r="X5" s="63"/>
    </row>
    <row r="6" spans="1:25" ht="15">
      <c r="A6" s="61">
        <v>2024</v>
      </c>
      <c r="C6" s="138" t="s">
        <v>15</v>
      </c>
      <c r="D6"/>
      <c r="E6" s="148">
        <f t="shared" ca="1" si="0"/>
        <v>-101626.57</v>
      </c>
      <c r="F6" s="149">
        <f t="shared" ca="1" si="1"/>
        <v>-20261.489999999998</v>
      </c>
      <c r="H6" s="124">
        <f>-SUMIFS(operacao!$J$6:$J$71,operacao!$B$6:$B$71,"v",operacao!$M$6:$M$71,A6,operacao!$N$6:$N$71,C6,operacao!$T$6:$T$71,"s")</f>
        <v>0</v>
      </c>
      <c r="I6" s="128">
        <f>SUMIFS(operacao!$H$6:$H$71,operacao!$B$6:$B$71,"v",operacao!$M$6:$M$71,A6,operacao!$N$6:$N$71,C6)</f>
        <v>0</v>
      </c>
      <c r="J6" s="148">
        <f t="shared" ca="1" si="2"/>
        <v>-77.999999999999403</v>
      </c>
      <c r="K6" s="149">
        <f t="shared" ca="1" si="3"/>
        <v>3830.5260000000021</v>
      </c>
      <c r="L6" s="148">
        <f>SUMIFS(operacao!$J$6:$J$71,operacao!$B$6:$B$71,"e",operacao!$M$6:$M$71,A6,operacao!$N$6:$N$71,C6,operacao!$T$6:$T$71,"d")</f>
        <v>0</v>
      </c>
      <c r="M6" s="124">
        <f>SUMIFS(operacao!$J$6:$J$71,operacao!$B$6:$B$71,"e",operacao!$M$6:$M$71,A6,operacao!$N$6:$N$71,C6,operacao!$T$6:$T$71,"s")</f>
        <v>0</v>
      </c>
      <c r="N6" s="128">
        <f>SUMIFS(operacao!$H$6:$H$71,operacao!$B$6:$B$71,"e",operacao!$M$6:$M$71,A6,operacao!$N$6:$N$71,C6)</f>
        <v>0</v>
      </c>
      <c r="S6" s="56"/>
      <c r="T6" s="62"/>
      <c r="W6" s="62">
        <v>44800</v>
      </c>
    </row>
    <row r="7" spans="1:25" ht="15">
      <c r="A7" s="61">
        <v>2024</v>
      </c>
      <c r="C7" s="138" t="s">
        <v>13</v>
      </c>
      <c r="D7"/>
      <c r="E7" s="148">
        <f t="shared" ca="1" si="0"/>
        <v>-101626.57</v>
      </c>
      <c r="F7" s="149">
        <f t="shared" ca="1" si="1"/>
        <v>-20261.489999999998</v>
      </c>
      <c r="H7" s="124">
        <f>-SUMIFS(operacao!$J$6:$J$71,operacao!$B$6:$B$71,"v",operacao!$M$6:$M$71,A7,operacao!$N$6:$N$71,C7,operacao!$T$6:$T$71,"s")</f>
        <v>0</v>
      </c>
      <c r="I7" s="128">
        <f>SUMIFS(operacao!$H$6:$H$71,operacao!$B$6:$B$71,"v",operacao!$M$6:$M$71,A7,operacao!$N$6:$N$71,C7)</f>
        <v>0</v>
      </c>
      <c r="J7" s="148">
        <f t="shared" ca="1" si="2"/>
        <v>-77.999999999999403</v>
      </c>
      <c r="K7" s="149">
        <f t="shared" ca="1" si="3"/>
        <v>3830.5260000000021</v>
      </c>
      <c r="L7" s="148">
        <f>SUMIFS(operacao!$J$6:$J$71,operacao!$B$6:$B$71,"e",operacao!$M$6:$M$71,A7,operacao!$N$6:$N$71,C7,operacao!$T$6:$T$71,"d")</f>
        <v>0</v>
      </c>
      <c r="M7" s="124">
        <f>SUMIFS(operacao!$J$6:$J$71,operacao!$B$6:$B$71,"e",operacao!$M$6:$M$71,A7,operacao!$N$6:$N$71,C7,operacao!$T$6:$T$71,"s")</f>
        <v>0</v>
      </c>
      <c r="N7" s="128">
        <f>SUMIFS(operacao!$H$6:$H$71,operacao!$B$6:$B$71,"e",operacao!$M$6:$M$71,A7,operacao!$N$6:$N$71,C7)</f>
        <v>0</v>
      </c>
      <c r="S7" s="56"/>
      <c r="T7" s="62"/>
      <c r="W7" s="62">
        <v>12700</v>
      </c>
    </row>
    <row r="8" spans="1:25" ht="15">
      <c r="A8" s="61">
        <v>2024</v>
      </c>
      <c r="C8" s="138" t="s">
        <v>24</v>
      </c>
      <c r="D8"/>
      <c r="E8" s="148">
        <f t="shared" ca="1" si="0"/>
        <v>-101626.57</v>
      </c>
      <c r="F8" s="149">
        <f t="shared" ca="1" si="1"/>
        <v>-20261.489999999998</v>
      </c>
      <c r="H8" s="124">
        <f>-SUMIFS(operacao!$J$6:$J$71,operacao!$B$6:$B$71,"v",operacao!$M$6:$M$71,A8,operacao!$N$6:$N$71,C8,operacao!$T$6:$T$71,"s")</f>
        <v>0</v>
      </c>
      <c r="I8" s="128">
        <f>SUMIFS(operacao!$H$6:$H$71,operacao!$B$6:$B$71,"v",operacao!$M$6:$M$71,A8,operacao!$N$6:$N$71,C8)</f>
        <v>0</v>
      </c>
      <c r="J8" s="148">
        <f t="shared" ca="1" si="2"/>
        <v>-77.999999999999403</v>
      </c>
      <c r="K8" s="149">
        <f t="shared" ca="1" si="3"/>
        <v>3830.5260000000021</v>
      </c>
      <c r="L8" s="148">
        <f>SUMIFS(operacao!$J$6:$J$71,operacao!$B$6:$B$71,"e",operacao!$M$6:$M$71,A8,operacao!$N$6:$N$71,C8,operacao!$T$6:$T$71,"d")</f>
        <v>0</v>
      </c>
      <c r="M8" s="124">
        <f>SUMIFS(operacao!$J$6:$J$71,operacao!$B$6:$B$71,"e",operacao!$M$6:$M$71,A8,operacao!$N$6:$N$71,C8,operacao!$T$6:$T$71,"s")</f>
        <v>0</v>
      </c>
      <c r="N8" s="128">
        <f>SUMIFS(operacao!$H$6:$H$71,operacao!$B$6:$B$71,"e",operacao!$M$6:$M$71,A8,operacao!$N$6:$N$71,C8)</f>
        <v>0</v>
      </c>
      <c r="S8" s="56"/>
      <c r="T8" s="62"/>
      <c r="W8" s="62"/>
    </row>
    <row r="9" spans="1:25" ht="15">
      <c r="A9" s="61">
        <v>2024</v>
      </c>
      <c r="C9" s="138" t="s">
        <v>25</v>
      </c>
      <c r="D9"/>
      <c r="E9" s="148">
        <f t="shared" ca="1" si="0"/>
        <v>-101626.57</v>
      </c>
      <c r="F9" s="149">
        <f t="shared" ca="1" si="1"/>
        <v>-20261.489999999998</v>
      </c>
      <c r="H9" s="124">
        <f>-SUMIFS(operacao!$J$6:$J$71,operacao!$B$6:$B$71,"v",operacao!$M$6:$M$71,A9,operacao!$N$6:$N$71,C9,operacao!$T$6:$T$71,"s")</f>
        <v>0</v>
      </c>
      <c r="I9" s="128">
        <f>SUMIFS(operacao!$H$6:$H$71,operacao!$B$6:$B$71,"v",operacao!$M$6:$M$71,A9,operacao!$N$6:$N$71,C9)</f>
        <v>0</v>
      </c>
      <c r="J9" s="148">
        <f t="shared" ca="1" si="2"/>
        <v>-77.999999999999403</v>
      </c>
      <c r="K9" s="149">
        <f t="shared" ca="1" si="3"/>
        <v>3830.5260000000021</v>
      </c>
      <c r="L9" s="148">
        <f>SUMIFS(operacao!$J$6:$J$71,operacao!$B$6:$B$71,"e",operacao!$M$6:$M$71,A9,operacao!$N$6:$N$71,C9,operacao!$T$6:$T$71,"d")</f>
        <v>0</v>
      </c>
      <c r="M9" s="124">
        <f>SUMIFS(operacao!$J$6:$J$71,operacao!$B$6:$B$71,"e",operacao!$M$6:$M$71,A9,operacao!$N$6:$N$71,C9,operacao!$T$6:$T$71,"s")</f>
        <v>0</v>
      </c>
      <c r="N9" s="128">
        <f>SUMIFS(operacao!$H$6:$H$71,operacao!$B$6:$B$71,"e",operacao!$M$6:$M$71,A9,operacao!$N$6:$N$71,C9)</f>
        <v>0</v>
      </c>
      <c r="S9" s="56"/>
      <c r="T9" s="62"/>
      <c r="W9" s="62"/>
    </row>
    <row r="10" spans="1:25" ht="15">
      <c r="A10" s="61">
        <v>2024</v>
      </c>
      <c r="C10" s="138" t="s">
        <v>26</v>
      </c>
      <c r="D10"/>
      <c r="E10" s="148">
        <f t="shared" ca="1" si="0"/>
        <v>-101626.57</v>
      </c>
      <c r="F10" s="149">
        <f t="shared" ca="1" si="1"/>
        <v>-20261.489999999998</v>
      </c>
      <c r="H10" s="124">
        <f>-SUMIFS(operacao!$J$6:$J$71,operacao!$B$6:$B$71,"v",operacao!$M$6:$M$71,A10,operacao!$N$6:$N$71,C10,operacao!$T$6:$T$71,"s")</f>
        <v>0</v>
      </c>
      <c r="I10" s="128">
        <f>SUMIFS(operacao!$H$6:$H$71,operacao!$B$6:$B$71,"v",operacao!$M$6:$M$71,A10,operacao!$N$6:$N$71,C10)</f>
        <v>0</v>
      </c>
      <c r="J10" s="148">
        <f t="shared" ca="1" si="2"/>
        <v>-77.999999999999403</v>
      </c>
      <c r="K10" s="149">
        <f t="shared" ca="1" si="3"/>
        <v>3830.5260000000021</v>
      </c>
      <c r="L10" s="148">
        <f>SUMIFS(operacao!$J$6:$J$71,operacao!$B$6:$B$71,"e",operacao!$M$6:$M$71,A10,operacao!$N$6:$N$71,C10,operacao!$T$6:$T$71,"d")</f>
        <v>0</v>
      </c>
      <c r="M10" s="124">
        <f>SUMIFS(operacao!$J$6:$J$71,operacao!$B$6:$B$71,"e",operacao!$M$6:$M$71,A10,operacao!$N$6:$N$71,C10,operacao!$T$6:$T$71,"s")</f>
        <v>0</v>
      </c>
      <c r="N10" s="128">
        <f>SUMIFS(operacao!$H$6:$H$71,operacao!$B$6:$B$71,"e",operacao!$M$6:$M$71,A10,operacao!$N$6:$N$71,C10)</f>
        <v>0</v>
      </c>
      <c r="S10" s="56"/>
      <c r="T10" s="62"/>
      <c r="W10" s="64">
        <f>SUM(T5:T20)</f>
        <v>0</v>
      </c>
    </row>
    <row r="11" spans="1:25" ht="15">
      <c r="A11" s="61">
        <v>2024</v>
      </c>
      <c r="C11" s="138" t="s">
        <v>27</v>
      </c>
      <c r="D11"/>
      <c r="E11" s="148">
        <f t="shared" ca="1" si="0"/>
        <v>-101626.57</v>
      </c>
      <c r="F11" s="149">
        <f t="shared" ca="1" si="1"/>
        <v>-20261.489999999998</v>
      </c>
      <c r="G11" s="148">
        <f>SUMIFS(operacao!$J$6:$J$71,operacao!$B$6:$B$71,"v",operacao!$M$6:$M$71,A11,operacao!$N$6:$N$71,C11,operacao!$T$6:$T$71,"d")</f>
        <v>0</v>
      </c>
      <c r="H11" s="124">
        <f>-SUMIFS(operacao!$J$6:$J$71,operacao!$B$6:$B$71,"v",operacao!$M$6:$M$71,A11,operacao!$N$6:$N$71,C11,operacao!$T$6:$T$71,"s")</f>
        <v>0</v>
      </c>
      <c r="I11" s="128">
        <f>SUMIFS(operacao!$H$6:$H$71,operacao!$B$6:$B$71,"v",operacao!$M$6:$M$71,A11,operacao!$N$6:$N$71,C11)</f>
        <v>0</v>
      </c>
      <c r="J11" s="148">
        <f t="shared" ca="1" si="2"/>
        <v>-77.999999999999403</v>
      </c>
      <c r="K11" s="149">
        <f t="shared" ca="1" si="3"/>
        <v>3830.5260000000021</v>
      </c>
      <c r="L11" s="148">
        <f>SUMIFS(operacao!$J$6:$J$71,operacao!$B$6:$B$71,"e",operacao!$M$6:$M$71,A11,operacao!$N$6:$N$71,C11,operacao!$T$6:$T$71,"d")</f>
        <v>0</v>
      </c>
      <c r="M11" s="124">
        <f>SUMIFS(operacao!$J$6:$J$71,operacao!$B$6:$B$71,"e",operacao!$M$6:$M$71,A11,operacao!$N$6:$N$71,C11,operacao!$T$6:$T$71,"s")</f>
        <v>0</v>
      </c>
      <c r="N11" s="128">
        <f>SUMIFS(operacao!$H$6:$H$71,operacao!$B$6:$B$71,"e",operacao!$M$6:$M$71,A11,operacao!$N$6:$N$71,C11)</f>
        <v>0</v>
      </c>
      <c r="S11" s="56"/>
      <c r="T11" s="62"/>
      <c r="V11" s="56" t="s">
        <v>133</v>
      </c>
      <c r="W11" s="65">
        <v>850000</v>
      </c>
      <c r="X11" s="60">
        <f>$W$1/W11</f>
        <v>0.20715051764705883</v>
      </c>
      <c r="Y11" s="56" t="s">
        <v>130</v>
      </c>
    </row>
    <row r="12" spans="1:25" ht="15">
      <c r="A12" s="61">
        <v>2024</v>
      </c>
      <c r="C12" s="138" t="s">
        <v>20</v>
      </c>
      <c r="D12"/>
      <c r="E12" s="148">
        <f t="shared" ca="1" si="0"/>
        <v>-101626.57</v>
      </c>
      <c r="F12" s="149">
        <f t="shared" ca="1" si="1"/>
        <v>-20261.489999999998</v>
      </c>
      <c r="G12" s="148">
        <f>SUMIFS(operacao!$J$6:$J$71,operacao!$B$6:$B$71,"v",operacao!$M$6:$M$71,A12,operacao!$N$6:$N$71,C12,operacao!$T$6:$T$71,"d")</f>
        <v>0</v>
      </c>
      <c r="H12" s="124">
        <f>-SUMIFS(operacao!$J$6:$J$71,operacao!$B$6:$B$71,"v",operacao!$M$6:$M$71,A12,operacao!$N$6:$N$71,C12,operacao!$T$6:$T$71,"s")</f>
        <v>0</v>
      </c>
      <c r="I12" s="128">
        <f>SUMIFS(operacao!$H$6:$H$71,operacao!$B$6:$B$71,"v",operacao!$M$6:$M$71,A12,operacao!$N$6:$N$71,C12)</f>
        <v>0</v>
      </c>
      <c r="J12" s="148">
        <f t="shared" ca="1" si="2"/>
        <v>-77.999999999999403</v>
      </c>
      <c r="K12" s="149">
        <f t="shared" ca="1" si="3"/>
        <v>3830.5260000000021</v>
      </c>
      <c r="L12" s="148">
        <f>SUMIFS(operacao!$J$6:$J$71,operacao!$B$6:$B$71,"e",operacao!$M$6:$M$71,A12,operacao!$N$6:$N$71,C12,operacao!$T$6:$T$71,"d")</f>
        <v>0</v>
      </c>
      <c r="M12" s="124">
        <f>SUMIFS(operacao!$J$6:$J$71,operacao!$B$6:$B$71,"e",operacao!$M$6:$M$71,A12,operacao!$N$6:$N$71,C12,operacao!$T$6:$T$71,"s")</f>
        <v>0</v>
      </c>
      <c r="N12" s="128">
        <f>SUMIFS(operacao!$H$6:$H$71,operacao!$B$6:$B$71,"e",operacao!$M$6:$M$71,A12,operacao!$N$6:$N$71,C12)</f>
        <v>0</v>
      </c>
      <c r="S12" s="56"/>
      <c r="T12" s="62"/>
      <c r="V12" s="56" t="s">
        <v>133</v>
      </c>
      <c r="W12" s="62">
        <v>480000</v>
      </c>
      <c r="X12" s="60">
        <f>$W$1/W12</f>
        <v>0.36682904166666669</v>
      </c>
      <c r="Y12" s="56" t="s">
        <v>131</v>
      </c>
    </row>
    <row r="13" spans="1:25" ht="15">
      <c r="A13" s="61">
        <v>2024</v>
      </c>
      <c r="C13" s="138" t="s">
        <v>28</v>
      </c>
      <c r="D13"/>
      <c r="E13" s="148">
        <f t="shared" ca="1" si="0"/>
        <v>-101626.57</v>
      </c>
      <c r="F13" s="149">
        <f t="shared" ca="1" si="1"/>
        <v>-20261.489999999998</v>
      </c>
      <c r="G13" s="148">
        <f>SUMIFS(operacao!$J$6:$J$71,operacao!$B$6:$B$71,"v",operacao!$M$6:$M$71,A13,operacao!$N$6:$N$71,C13,operacao!$T$6:$T$71,"d")</f>
        <v>0</v>
      </c>
      <c r="H13" s="124">
        <f>-SUMIFS(operacao!$J$6:$J$71,operacao!$B$6:$B$71,"v",operacao!$M$6:$M$71,A13,operacao!$N$6:$N$71,C13,operacao!$T$6:$T$71,"s")</f>
        <v>0</v>
      </c>
      <c r="I13" s="128">
        <f>SUMIFS(operacao!$H$6:$H$71,operacao!$B$6:$B$71,"v",operacao!$M$6:$M$71,A13,operacao!$N$6:$N$71,C13)</f>
        <v>0</v>
      </c>
      <c r="J13" s="148">
        <f t="shared" ca="1" si="2"/>
        <v>-77.999999999999403</v>
      </c>
      <c r="K13" s="149">
        <f t="shared" ca="1" si="3"/>
        <v>3830.5260000000021</v>
      </c>
      <c r="L13" s="148">
        <f>SUMIFS(operacao!$J$6:$J$71,operacao!$B$6:$B$71,"e",operacao!$M$6:$M$71,A13,operacao!$N$6:$N$71,C13,operacao!$T$6:$T$71,"d")</f>
        <v>0</v>
      </c>
      <c r="M13" s="124">
        <f>SUMIFS(operacao!$J$6:$J$71,operacao!$B$6:$B$71,"e",operacao!$M$6:$M$71,A13,operacao!$N$6:$N$71,C13,operacao!$T$6:$T$71,"s")</f>
        <v>0</v>
      </c>
      <c r="N13" s="128">
        <f>SUMIFS(operacao!$H$6:$H$71,operacao!$B$6:$B$71,"e",operacao!$M$6:$M$71,A13,operacao!$N$6:$N$71,C13)</f>
        <v>0</v>
      </c>
      <c r="S13" s="56"/>
      <c r="T13" s="62"/>
      <c r="W13" s="62">
        <v>700000</v>
      </c>
      <c r="X13" s="60">
        <f>$W$1/W13</f>
        <v>0.25153991428571432</v>
      </c>
    </row>
    <row r="14" spans="1:25" ht="15">
      <c r="A14" s="61">
        <v>2024</v>
      </c>
      <c r="B14" s="15">
        <v>45351</v>
      </c>
      <c r="C14" s="138" t="s">
        <v>19</v>
      </c>
      <c r="D14"/>
      <c r="E14" s="148">
        <f t="shared" ca="1" si="0"/>
        <v>-101626.57</v>
      </c>
      <c r="F14" s="149">
        <f t="shared" ca="1" si="1"/>
        <v>-20261.489999999998</v>
      </c>
      <c r="G14" s="148">
        <f ca="1">SUMIFS(operacao!$J$6:$J$71,operacao!$B$6:$B$71,"v",operacao!$M$6:$M$71,A14,operacao!$N$6:$N$71,C14,operacao!$T$6:$T$71,"d")</f>
        <v>0</v>
      </c>
      <c r="H14" s="124">
        <f ca="1">-SUMIFS(operacao!$J$6:$J$71,operacao!$B$6:$B$71,"v",operacao!$M$6:$M$71,A14,operacao!$N$6:$N$71,C14,operacao!$T$6:$T$71,"s")</f>
        <v>1767.7500000000002</v>
      </c>
      <c r="I14" s="128">
        <f>SUMIFS(operacao!$H$6:$H$71,operacao!$B$6:$B$71,"v",operacao!$M$6:$M$71,A14,operacao!$N$6:$N$71,C14)</f>
        <v>11785</v>
      </c>
      <c r="J14" s="148">
        <f t="shared" ca="1" si="2"/>
        <v>-77.999999999999403</v>
      </c>
      <c r="K14" s="149">
        <f t="shared" ca="1" si="3"/>
        <v>3830.5260000000021</v>
      </c>
      <c r="L14" s="148">
        <f ca="1">SUMIFS(operacao!$J$6:$J$71,operacao!$B$6:$B$71,"e",operacao!$M$6:$M$71,A14,operacao!$N$6:$N$71,C14,operacao!$T$6:$T$71,"d")</f>
        <v>0</v>
      </c>
      <c r="M14" s="124">
        <f ca="1">SUMIFS(operacao!$J$6:$J$71,operacao!$B$6:$B$71,"e",operacao!$M$6:$M$71,A14,operacao!$N$6:$N$71,C14,operacao!$T$6:$T$71,"s")</f>
        <v>-424.49999999999864</v>
      </c>
      <c r="N14" s="128">
        <f>SUMIFS(operacao!$H$6:$H$71,operacao!$B$6:$B$71,"e",operacao!$M$6:$M$71,A14,operacao!$N$6:$N$71,C14)</f>
        <v>2829.9999999999914</v>
      </c>
    </row>
    <row r="15" spans="1:25" ht="15">
      <c r="A15" s="3">
        <v>2023</v>
      </c>
      <c r="B15" s="15">
        <v>44957</v>
      </c>
      <c r="C15" s="139" t="s">
        <v>23</v>
      </c>
      <c r="D15"/>
      <c r="E15" s="148">
        <f t="shared" si="0"/>
        <v>-101626.57</v>
      </c>
      <c r="F15" s="149">
        <f t="shared" si="1"/>
        <v>-22029.239999999998</v>
      </c>
      <c r="G15" s="148">
        <f>SUMIFS(operacao!$J$6:$J$71,operacao!$B$6:$B$71,"v",operacao!$M$6:$M$71,A15,operacao!$N$6:$N$71,C15,operacao!$T$6:$T$71,"d")</f>
        <v>0</v>
      </c>
      <c r="H15" s="124">
        <f>-SUMIFS(operacao!$J$6:$J$71,operacao!$B$6:$B$71,"v",operacao!$M$6:$M$71,A15,operacao!$N$6:$N$71,C15,operacao!$T$6:$T$71,"s")</f>
        <v>1283.3999999999996</v>
      </c>
      <c r="I15" s="128">
        <f>SUMIFS(operacao!$H$6:$H$71,operacao!$B$6:$B$71,"v",operacao!$M$6:$M$71,A15,operacao!$N$6:$N$71,C15)</f>
        <v>8555.9999999999982</v>
      </c>
      <c r="J15" s="148">
        <f t="shared" ref="J15:J17" si="4">J16+L15</f>
        <v>-77.999999999999403</v>
      </c>
      <c r="K15" s="149">
        <f t="shared" ref="K15:K17" si="5">K16+M15</f>
        <v>4255.0260000000007</v>
      </c>
      <c r="L15" s="148">
        <f>SUMIFS(operacao!$J$6:$J$71,operacao!$B$6:$B$71,"e",operacao!$M$6:$M$71,A15,operacao!$N$6:$N$71,C15,operacao!$T$6:$T$71,"d")</f>
        <v>-77.999999999999403</v>
      </c>
      <c r="M15" s="124">
        <f>-SUMIFS(operacao!$J$6:$J$71,operacao!$B$6:$B$71,"e",operacao!$M$6:$M$71,A15,operacao!$N$6:$N$71,C15,operacao!$T$6:$T$71,"s")</f>
        <v>596.25000000000114</v>
      </c>
      <c r="N15" s="128">
        <f>SUMIFS(operacao!$H$6:$H$71,operacao!$B$6:$B$71,"e",operacao!$M$6:$M$71,A15,operacao!$N$6:$N$71,C15)</f>
        <v>4495.0000000000036</v>
      </c>
      <c r="P15" s="157">
        <f>N15+I15</f>
        <v>13051.000000000002</v>
      </c>
    </row>
    <row r="16" spans="1:25" ht="15" outlineLevel="1">
      <c r="A16" s="3">
        <v>2023</v>
      </c>
      <c r="B16" s="15">
        <v>45654</v>
      </c>
      <c r="C16" s="139" t="s">
        <v>18</v>
      </c>
      <c r="D16"/>
      <c r="E16" s="148">
        <f t="shared" si="0"/>
        <v>-101626.57</v>
      </c>
      <c r="F16" s="149">
        <f t="shared" si="1"/>
        <v>-23312.639999999999</v>
      </c>
      <c r="G16" s="148">
        <f>SUMIFS(operacao!$J$6:$J$71,operacao!$B$6:$B$71,"v",operacao!$M$6:$M$71,A16,operacao!$N$6:$N$71,C16,operacao!$T$6:$T$71,"d")</f>
        <v>0</v>
      </c>
      <c r="H16" s="124">
        <f>-SUMIFS(operacao!$J$6:$J$71,operacao!$B$6:$B$71,"v",operacao!$M$6:$M$71,A16,operacao!$N$6:$N$71,C16,operacao!$T$6:$T$71,"s")</f>
        <v>1160.2500000000011</v>
      </c>
      <c r="I16" s="128">
        <f>SUMIFS(operacao!$H$6:$H$71,operacao!$B$6:$B$71,"v",operacao!$M$6:$M$71,A16,operacao!$N$6:$N$71,C16)</f>
        <v>13090.000000000011</v>
      </c>
      <c r="J16" s="148">
        <f t="shared" si="4"/>
        <v>0</v>
      </c>
      <c r="K16" s="149">
        <f t="shared" si="5"/>
        <v>3658.7759999999998</v>
      </c>
      <c r="L16" s="148">
        <f>SUMIFS(operacao!$J$6:$J$71,operacao!$B$6:$B$71,"e",operacao!$M$6:$M$71,A16,operacao!$N$6:$N$71,C16,operacao!$T$6:$T$71,"d")</f>
        <v>0</v>
      </c>
      <c r="M16" s="156">
        <f>-SUMIFS(operacao!$J$6:$J$71,operacao!$B$6:$B$71,"e",operacao!$M$6:$M$71,A16,operacao!$N$6:$N$71,C16,operacao!$T$6:$T$71,"s")</f>
        <v>2946.141000000001</v>
      </c>
      <c r="N16" s="128">
        <f>SUMIFS(operacao!$H$6:$H$71,operacao!$B$6:$B$71,"e",operacao!$M$6:$M$71,A16,operacao!$N$6:$N$71,C16)</f>
        <v>19693.000000000007</v>
      </c>
      <c r="P16" s="157">
        <f t="shared" ref="P16:P18" si="6">N16+I16</f>
        <v>32783.000000000015</v>
      </c>
    </row>
    <row r="17" spans="1:16" ht="15" outlineLevel="1">
      <c r="A17" s="3">
        <v>2023</v>
      </c>
      <c r="B17" s="15">
        <v>45260</v>
      </c>
      <c r="C17" s="139" t="s">
        <v>17</v>
      </c>
      <c r="D17"/>
      <c r="E17" s="148">
        <f t="shared" si="0"/>
        <v>-101626.57</v>
      </c>
      <c r="F17" s="149">
        <f t="shared" si="1"/>
        <v>-24472.89</v>
      </c>
      <c r="G17" s="148">
        <f>SUMIFS(operacao!$J$6:$J$71,operacao!$B$6:$B$71,"v",operacao!$M$6:$M$71,A17,operacao!$N$6:$N$71,C17,operacao!$T$6:$T$71,"d")</f>
        <v>0</v>
      </c>
      <c r="H17" s="124">
        <f>-SUMIFS(operacao!$J$6:$J$71,operacao!$B$6:$B$71,"v",operacao!$M$6:$M$71,A17,operacao!$N$6:$N$71,C17,operacao!$T$6:$T$71,"s")</f>
        <v>0</v>
      </c>
      <c r="I17" s="128">
        <f>SUMIFS(operacao!$H$6:$H$71,operacao!$B$6:$B$71,"v",operacao!$M$6:$M$71,A17,operacao!$N$6:$N$71,C17)</f>
        <v>809.99999999999227</v>
      </c>
      <c r="J17" s="148">
        <f t="shared" si="4"/>
        <v>0</v>
      </c>
      <c r="K17" s="149">
        <f t="shared" si="5"/>
        <v>712.63499999999908</v>
      </c>
      <c r="L17" s="148">
        <f>SUMIFS(operacao!$J$6:$J$71,operacao!$B$6:$B$71,"e",operacao!$M$6:$M$71,A17,operacao!$N$6:$N$71,C17,operacao!$T$6:$T$71,"d")</f>
        <v>0</v>
      </c>
      <c r="M17" s="156">
        <f>-SUMIFS(operacao!$J$6:$J$71,operacao!$B$6:$B$71,"e",operacao!$M$6:$M$71,A17,operacao!$N$6:$N$71,C17,operacao!$T$6:$T$71,"s")</f>
        <v>484.57199999999875</v>
      </c>
      <c r="N17" s="128">
        <f>SUMIFS(operacao!$H$6:$H$71,operacao!$B$6:$B$71,"e",operacao!$M$6:$M$71,A17,operacao!$N$6:$N$71,C17)</f>
        <v>3283.9999999999918</v>
      </c>
      <c r="P17" s="157">
        <f t="shared" si="6"/>
        <v>4093.9999999999841</v>
      </c>
    </row>
    <row r="18" spans="1:16" ht="15" outlineLevel="1">
      <c r="A18" s="3">
        <v>2023</v>
      </c>
      <c r="B18" s="15">
        <v>45230</v>
      </c>
      <c r="C18" s="139" t="s">
        <v>15</v>
      </c>
      <c r="D18"/>
      <c r="E18" s="148">
        <f>E19+G18</f>
        <v>-101626.57</v>
      </c>
      <c r="F18" s="149">
        <f t="shared" si="1"/>
        <v>-24472.89</v>
      </c>
      <c r="G18" s="148">
        <f>SUMIFS(operacao!$J$6:$J$71,operacao!$B$6:$B$71,"v",operacao!$M$6:$M$71,A18,operacao!$N$6:$N$71,C18,operacao!$T$6:$T$71,"d")</f>
        <v>0</v>
      </c>
      <c r="H18" s="124">
        <f>-SUMIFS(operacao!$J$6:$J$71,operacao!$B$6:$B$71,"v",operacao!$M$6:$M$71,A18,operacao!$N$6:$N$71,C18,operacao!$T$6:$T$71,"s")</f>
        <v>0</v>
      </c>
      <c r="I18" s="128">
        <f>SUMIFS(operacao!$H$6:$H$71,operacao!$B$6:$B$71,"v",operacao!$M$6:$M$71,A18,operacao!$N$6:$N$71,C18)</f>
        <v>-109.99999999999943</v>
      </c>
      <c r="J18" s="148">
        <f>J19+L18</f>
        <v>0</v>
      </c>
      <c r="K18" s="149">
        <f>K19+M18</f>
        <v>228.06300000000036</v>
      </c>
      <c r="L18" s="148">
        <f>SUMIFS(operacao!$J$6:$J$71,operacao!$B$6:$B$71,"e",operacao!$M$6:$M$71,A18,operacao!$N$6:$N$71,C18,operacao!$T$6:$T$71,"d")</f>
        <v>0</v>
      </c>
      <c r="M18" s="156">
        <f>-SUMIFS(operacao!$J$6:$J$71,operacao!$B$6:$B$71,"e",operacao!$M$6:$M$71,A18,operacao!$N$6:$N$71,C18,operacao!$T$6:$T$71,"s")</f>
        <v>228.06300000000036</v>
      </c>
      <c r="N18" s="128">
        <f>SUMIFS(operacao!$H$6:$H$71,operacao!$B$6:$B$71,"e",operacao!$M$6:$M$71,A18,operacao!$N$6:$N$71,C18)</f>
        <v>1560.0000000000023</v>
      </c>
      <c r="P18" s="157">
        <f t="shared" si="6"/>
        <v>1450.0000000000027</v>
      </c>
    </row>
    <row r="19" spans="1:16" outlineLevel="1">
      <c r="A19" s="3">
        <v>2023</v>
      </c>
      <c r="B19" s="15">
        <v>45199</v>
      </c>
      <c r="C19" s="139" t="s">
        <v>13</v>
      </c>
      <c r="D19"/>
      <c r="E19" s="148">
        <f t="shared" ref="E19:E25" si="7">E20</f>
        <v>-101626.57</v>
      </c>
      <c r="F19" s="149">
        <f t="shared" ref="F19:F26" si="8">F20+H19</f>
        <v>-24472.89</v>
      </c>
      <c r="H19" s="124">
        <f>-SUMIFS(operacao!$P$6:$P$62,operacao!$O$6:$O$62,IR!B19,operacao!$B$6:$B$62,"v")</f>
        <v>0</v>
      </c>
      <c r="M19" s="124">
        <f>-SUMIFS(operacao!$P$6:$P$62,operacao!$O$6:$O$62,IR!B19,operacao!$B$6:$B$62,"E")</f>
        <v>0</v>
      </c>
    </row>
    <row r="20" spans="1:16" outlineLevel="1">
      <c r="A20" s="3">
        <v>2023</v>
      </c>
      <c r="B20" s="15">
        <v>45169</v>
      </c>
      <c r="C20" s="139" t="s">
        <v>24</v>
      </c>
      <c r="D20"/>
      <c r="E20" s="148">
        <f t="shared" si="7"/>
        <v>-101626.57</v>
      </c>
      <c r="F20" s="149">
        <f t="shared" si="8"/>
        <v>-24472.89</v>
      </c>
      <c r="H20" s="124">
        <f>-SUMIFS(operacao!$P$6:$P$62,operacao!$O$6:$O$62,IR!B20,operacao!$B$6:$B$62,"v")</f>
        <v>0</v>
      </c>
      <c r="M20" s="124">
        <f>-SUMIFS(operacao!$P$6:$P$62,operacao!$O$6:$O$62,IR!B20,operacao!$B$6:$B$62,"E")</f>
        <v>0</v>
      </c>
    </row>
    <row r="21" spans="1:16" outlineLevel="1">
      <c r="A21" s="3">
        <v>2023</v>
      </c>
      <c r="B21" s="15">
        <v>45138</v>
      </c>
      <c r="C21" s="139" t="s">
        <v>25</v>
      </c>
      <c r="D21"/>
      <c r="E21" s="148">
        <f t="shared" si="7"/>
        <v>-101626.57</v>
      </c>
      <c r="F21" s="149">
        <f t="shared" si="8"/>
        <v>-24472.89</v>
      </c>
      <c r="H21" s="124">
        <f>-SUMIFS(operacao!$P$6:$P$62,operacao!$O$6:$O$62,IR!B21,operacao!$B$6:$B$62,"v")</f>
        <v>0</v>
      </c>
      <c r="M21" s="124">
        <f>-SUMIFS(operacao!$P$6:$P$62,operacao!$O$6:$O$62,IR!B21,operacao!$B$6:$B$62,"E")</f>
        <v>0</v>
      </c>
    </row>
    <row r="22" spans="1:16" outlineLevel="1">
      <c r="A22" s="3">
        <v>2023</v>
      </c>
      <c r="B22" s="15">
        <v>45107</v>
      </c>
      <c r="C22" s="139" t="s">
        <v>26</v>
      </c>
      <c r="D22"/>
      <c r="E22" s="148">
        <f t="shared" si="7"/>
        <v>-101626.57</v>
      </c>
      <c r="F22" s="149">
        <f t="shared" si="8"/>
        <v>-24472.89</v>
      </c>
      <c r="H22" s="124">
        <f>-SUMIFS(operacao!$P$6:$P$62,operacao!$O$6:$O$62,IR!B22,operacao!$B$6:$B$62,"v")</f>
        <v>0</v>
      </c>
      <c r="M22" s="124">
        <f>-SUMIFS(operacao!$P$6:$P$62,operacao!$O$6:$O$62,IR!B22,operacao!$B$6:$B$62,"E")</f>
        <v>0</v>
      </c>
    </row>
    <row r="23" spans="1:16" outlineLevel="1">
      <c r="A23" s="3">
        <v>2023</v>
      </c>
      <c r="B23" s="15">
        <v>45077</v>
      </c>
      <c r="C23" s="139" t="s">
        <v>27</v>
      </c>
      <c r="D23"/>
      <c r="E23" s="148">
        <f t="shared" si="7"/>
        <v>-101626.57</v>
      </c>
      <c r="F23" s="149">
        <f t="shared" si="8"/>
        <v>-24472.89</v>
      </c>
      <c r="H23" s="124">
        <f>-SUMIFS(operacao!$P$6:$P$62,operacao!$O$6:$O$62,IR!B23,operacao!$B$6:$B$62,"v")</f>
        <v>0</v>
      </c>
      <c r="M23" s="124">
        <f>-SUMIFS(operacao!$P$6:$P$62,operacao!$O$6:$O$62,IR!B23,operacao!$B$6:$B$62,"E")</f>
        <v>0</v>
      </c>
    </row>
    <row r="24" spans="1:16" outlineLevel="1">
      <c r="A24" s="3">
        <v>2023</v>
      </c>
      <c r="B24" s="15">
        <v>45046</v>
      </c>
      <c r="C24" s="139" t="s">
        <v>20</v>
      </c>
      <c r="D24"/>
      <c r="E24" s="148">
        <f t="shared" si="7"/>
        <v>-101626.57</v>
      </c>
      <c r="F24" s="149">
        <f t="shared" si="8"/>
        <v>-24472.89</v>
      </c>
      <c r="H24" s="124">
        <f>-SUMIFS(operacao!$P$6:$P$62,operacao!$O$6:$O$62,IR!B24,operacao!$B$6:$B$62,"v")</f>
        <v>0</v>
      </c>
      <c r="M24" s="124">
        <f>-SUMIFS(operacao!$P$6:$P$62,operacao!$O$6:$O$62,IR!B24,operacao!$B$6:$B$62,"E")</f>
        <v>0</v>
      </c>
    </row>
    <row r="25" spans="1:16" outlineLevel="1">
      <c r="A25" s="3">
        <v>2023</v>
      </c>
      <c r="B25" s="15">
        <v>45016</v>
      </c>
      <c r="C25" s="139" t="s">
        <v>28</v>
      </c>
      <c r="D25"/>
      <c r="E25" s="148">
        <f t="shared" si="7"/>
        <v>-101626.57</v>
      </c>
      <c r="F25" s="149">
        <f t="shared" si="8"/>
        <v>-24472.89</v>
      </c>
      <c r="H25" s="124">
        <f>-SUMIFS(operacao!$P$6:$P$62,operacao!$O$6:$O$62,IR!B25,operacao!$B$6:$B$62,"v")</f>
        <v>0</v>
      </c>
      <c r="M25" s="124">
        <f>-SUMIFS(operacao!$P$6:$P$62,operacao!$O$6:$O$62,IR!B25,operacao!$B$6:$B$62,"E")</f>
        <v>0</v>
      </c>
    </row>
    <row r="26" spans="1:16">
      <c r="A26" s="3">
        <v>2023</v>
      </c>
      <c r="B26" s="38">
        <v>44985</v>
      </c>
      <c r="C26" s="139" t="s">
        <v>19</v>
      </c>
      <c r="D26"/>
      <c r="E26" s="148">
        <f>E27-G26</f>
        <v>-101626.57</v>
      </c>
      <c r="F26" s="149">
        <f t="shared" si="8"/>
        <v>-24472.89</v>
      </c>
      <c r="G26" s="123">
        <v>0</v>
      </c>
      <c r="H26" s="124">
        <f>-SUMIFS(operacao!$P$6:$P$62,operacao!$O$6:$O$62,IR!B26,operacao!$B$6:$B$62,"v")</f>
        <v>0</v>
      </c>
      <c r="M26" s="124">
        <f>-SUMIFS(operacao!$P$6:$P$62,operacao!$O$6:$O$62,IR!B26,operacao!$B$6:$B$62,"E")</f>
        <v>0</v>
      </c>
    </row>
    <row r="27" spans="1:16" hidden="1" outlineLevel="1">
      <c r="A27" s="4">
        <v>2022</v>
      </c>
      <c r="B27" s="4"/>
      <c r="C27" s="140" t="s">
        <v>23</v>
      </c>
      <c r="D27"/>
      <c r="E27" s="152">
        <v>-101626.57</v>
      </c>
      <c r="F27" s="153">
        <v>-24472.89</v>
      </c>
      <c r="G27" s="123">
        <v>0</v>
      </c>
      <c r="H27" s="124">
        <f>-SUMIFS(operacao!$P$6:$P$62,operacao!$O$6:$O$62,IR!B27,operacao!$B$6:$B$62,"v")</f>
        <v>0</v>
      </c>
      <c r="I27" s="129"/>
      <c r="J27" s="152"/>
      <c r="K27" s="153"/>
      <c r="L27" s="122"/>
      <c r="M27" s="124">
        <f>-SUMIFS(operacao!$P$6:$P$62,operacao!$O$6:$O$62,IR!B27,operacao!$B$6:$B$62,"E")</f>
        <v>0</v>
      </c>
      <c r="P27" s="62"/>
    </row>
    <row r="28" spans="1:16" hidden="1" outlineLevel="1">
      <c r="A28" s="4">
        <v>2022</v>
      </c>
      <c r="C28" s="140" t="s">
        <v>18</v>
      </c>
      <c r="D28"/>
      <c r="E28" s="148">
        <f t="shared" ref="E28:E37" si="9">E29-G28</f>
        <v>-12215.23</v>
      </c>
      <c r="F28" s="149">
        <f t="shared" ref="F28:F37" si="10">F29-H28</f>
        <v>-27659.17</v>
      </c>
      <c r="G28" s="123">
        <v>0</v>
      </c>
      <c r="H28" s="124">
        <f>-SUMIFS(operacao!$P$6:$P$62,operacao!$O$6:$O$62,IR!B28,operacao!$B$6:$B$62,"v")</f>
        <v>0</v>
      </c>
      <c r="P28" s="62"/>
    </row>
    <row r="29" spans="1:16" hidden="1" outlineLevel="1">
      <c r="A29" s="4">
        <v>2022</v>
      </c>
      <c r="C29" s="140" t="s">
        <v>17</v>
      </c>
      <c r="D29"/>
      <c r="E29" s="148">
        <f t="shared" si="9"/>
        <v>-12215.23</v>
      </c>
      <c r="F29" s="149">
        <f t="shared" si="10"/>
        <v>-27659.17</v>
      </c>
      <c r="G29" s="123">
        <v>0</v>
      </c>
      <c r="H29" s="124">
        <f>-SUMIFS(operacao!$P$6:$P$62,operacao!$O$6:$O$62,IR!B29,operacao!$B$6:$B$62,"v")</f>
        <v>0</v>
      </c>
      <c r="P29" s="62"/>
    </row>
    <row r="30" spans="1:16" hidden="1" outlineLevel="1">
      <c r="A30" s="4">
        <v>2022</v>
      </c>
      <c r="C30" s="140" t="s">
        <v>15</v>
      </c>
      <c r="D30"/>
      <c r="E30" s="148">
        <f t="shared" si="9"/>
        <v>-12215.23</v>
      </c>
      <c r="F30" s="149">
        <f t="shared" si="10"/>
        <v>-27659.17</v>
      </c>
      <c r="G30" s="123">
        <v>0</v>
      </c>
      <c r="H30" s="124">
        <f>-SUMIFS(operacao!$P$6:$P$62,operacao!$O$6:$O$62,IR!B30,operacao!$B$6:$B$62,"v")</f>
        <v>0</v>
      </c>
      <c r="P30" s="62"/>
    </row>
    <row r="31" spans="1:16" hidden="1" outlineLevel="1">
      <c r="A31" s="4">
        <v>2022</v>
      </c>
      <c r="C31" s="140" t="s">
        <v>13</v>
      </c>
      <c r="D31"/>
      <c r="E31" s="148">
        <f t="shared" si="9"/>
        <v>-12215.23</v>
      </c>
      <c r="F31" s="149">
        <f t="shared" si="10"/>
        <v>-27659.17</v>
      </c>
      <c r="G31" s="123">
        <v>0</v>
      </c>
      <c r="H31" s="124">
        <f>-SUMIFS(operacao!$P$6:$P$62,operacao!$O$6:$O$62,IR!B31,operacao!$B$6:$B$62,"v")</f>
        <v>0</v>
      </c>
      <c r="P31" s="62"/>
    </row>
    <row r="32" spans="1:16" hidden="1" outlineLevel="1">
      <c r="A32" s="4">
        <v>2022</v>
      </c>
      <c r="C32" s="140" t="s">
        <v>24</v>
      </c>
      <c r="D32"/>
      <c r="E32" s="148">
        <f t="shared" si="9"/>
        <v>-12215.23</v>
      </c>
      <c r="F32" s="149">
        <f t="shared" si="10"/>
        <v>-27659.17</v>
      </c>
      <c r="G32" s="123">
        <v>0</v>
      </c>
      <c r="H32" s="124">
        <f>-SUMIFS(operacao!$P$6:$P$62,operacao!$O$6:$O$62,IR!B32,operacao!$B$6:$B$62,"v")</f>
        <v>0</v>
      </c>
      <c r="P32" s="62"/>
    </row>
    <row r="33" spans="1:16" hidden="1" outlineLevel="1">
      <c r="A33" s="4">
        <v>2022</v>
      </c>
      <c r="C33" s="140" t="s">
        <v>25</v>
      </c>
      <c r="D33"/>
      <c r="E33" s="148">
        <f t="shared" si="9"/>
        <v>-12215.23</v>
      </c>
      <c r="F33" s="149">
        <f t="shared" si="10"/>
        <v>-27659.17</v>
      </c>
      <c r="G33" s="123">
        <v>0</v>
      </c>
      <c r="H33" s="124">
        <f>-SUMIFS(operacao!$P$6:$P$62,operacao!$O$6:$O$62,IR!B33,operacao!$B$6:$B$62,"v")</f>
        <v>0</v>
      </c>
      <c r="P33" s="62"/>
    </row>
    <row r="34" spans="1:16" hidden="1" outlineLevel="1">
      <c r="A34" s="4">
        <v>2022</v>
      </c>
      <c r="C34" s="140" t="s">
        <v>26</v>
      </c>
      <c r="D34"/>
      <c r="E34" s="148">
        <f t="shared" si="9"/>
        <v>-12215.23</v>
      </c>
      <c r="F34" s="149">
        <f t="shared" si="10"/>
        <v>-27659.17</v>
      </c>
      <c r="G34" s="123">
        <v>0</v>
      </c>
      <c r="H34" s="124">
        <f>-SUMIFS(operacao!$P$6:$P$62,operacao!$O$6:$O$62,IR!B34,operacao!$B$6:$B$62,"v")</f>
        <v>0</v>
      </c>
      <c r="P34" s="62"/>
    </row>
    <row r="35" spans="1:16" hidden="1" outlineLevel="1">
      <c r="A35" s="4">
        <v>2022</v>
      </c>
      <c r="C35" s="140" t="s">
        <v>27</v>
      </c>
      <c r="D35"/>
      <c r="E35" s="148">
        <f t="shared" si="9"/>
        <v>-12215.23</v>
      </c>
      <c r="F35" s="149">
        <f t="shared" si="10"/>
        <v>-27659.17</v>
      </c>
      <c r="G35" s="123">
        <v>0</v>
      </c>
      <c r="H35" s="124">
        <f>-SUMIFS(operacao!$P$6:$P$62,operacao!$O$6:$O$62,IR!B35,operacao!$B$6:$B$62,"v")</f>
        <v>0</v>
      </c>
      <c r="P35" s="62"/>
    </row>
    <row r="36" spans="1:16" hidden="1" outlineLevel="1">
      <c r="A36" s="4">
        <v>2022</v>
      </c>
      <c r="C36" s="140" t="s">
        <v>20</v>
      </c>
      <c r="D36"/>
      <c r="E36" s="148">
        <f t="shared" si="9"/>
        <v>-12215.23</v>
      </c>
      <c r="F36" s="149">
        <f t="shared" si="10"/>
        <v>-27659.17</v>
      </c>
      <c r="G36" s="123">
        <v>0</v>
      </c>
      <c r="H36" s="124">
        <f>-SUMIFS(operacao!$P$6:$P$62,operacao!$O$6:$O$62,IR!B36,operacao!$B$6:$B$62,"v")</f>
        <v>0</v>
      </c>
      <c r="P36" s="62"/>
    </row>
    <row r="37" spans="1:16" hidden="1" outlineLevel="1">
      <c r="A37" s="4">
        <v>2022</v>
      </c>
      <c r="C37" s="140" t="s">
        <v>28</v>
      </c>
      <c r="D37"/>
      <c r="E37" s="148">
        <f t="shared" si="9"/>
        <v>-12215.23</v>
      </c>
      <c r="F37" s="149">
        <f t="shared" si="10"/>
        <v>-27659.17</v>
      </c>
      <c r="G37" s="123">
        <v>0</v>
      </c>
      <c r="H37" s="124">
        <f>-SUMIFS(operacao!$P$6:$P$62,operacao!$O$6:$O$62,IR!B37,operacao!$B$6:$B$62,"v")</f>
        <v>0</v>
      </c>
      <c r="P37" s="62"/>
    </row>
    <row r="38" spans="1:16" collapsed="1">
      <c r="A38" s="4">
        <v>2022</v>
      </c>
      <c r="B38" s="4"/>
      <c r="C38" s="140" t="s">
        <v>19</v>
      </c>
      <c r="D38"/>
      <c r="E38" s="148">
        <f>E39</f>
        <v>-12215.23</v>
      </c>
      <c r="F38" s="149">
        <f t="shared" ref="F38:F49" si="11">F39-H38</f>
        <v>-27659.17</v>
      </c>
      <c r="G38" s="123">
        <v>0</v>
      </c>
      <c r="H38" s="124">
        <v>0</v>
      </c>
      <c r="P38" s="62"/>
    </row>
    <row r="39" spans="1:16" hidden="1" outlineLevel="1">
      <c r="A39" s="5">
        <v>2021</v>
      </c>
      <c r="B39" s="5"/>
      <c r="C39" s="141" t="s">
        <v>23</v>
      </c>
      <c r="D39"/>
      <c r="E39" s="148">
        <f t="shared" ref="E39:E49" si="12">E40-G39</f>
        <v>-12215.23</v>
      </c>
      <c r="F39" s="149">
        <f t="shared" si="11"/>
        <v>-27659.17</v>
      </c>
      <c r="G39" s="123">
        <v>0</v>
      </c>
      <c r="H39" s="124">
        <v>0</v>
      </c>
      <c r="P39" s="62"/>
    </row>
    <row r="40" spans="1:16" hidden="1" outlineLevel="1">
      <c r="A40" s="5">
        <v>2021</v>
      </c>
      <c r="C40" s="141" t="s">
        <v>18</v>
      </c>
      <c r="D40"/>
      <c r="E40" s="148">
        <f t="shared" si="12"/>
        <v>-12215.23</v>
      </c>
      <c r="F40" s="149">
        <f t="shared" si="11"/>
        <v>-27659.17</v>
      </c>
      <c r="G40" s="123">
        <v>0</v>
      </c>
      <c r="H40" s="124">
        <v>0</v>
      </c>
      <c r="P40" s="62"/>
    </row>
    <row r="41" spans="1:16" hidden="1" outlineLevel="1">
      <c r="A41" s="5">
        <v>2021</v>
      </c>
      <c r="C41" s="141" t="s">
        <v>17</v>
      </c>
      <c r="D41"/>
      <c r="E41" s="148">
        <f t="shared" si="12"/>
        <v>-12215.23</v>
      </c>
      <c r="F41" s="149">
        <f t="shared" si="11"/>
        <v>-27659.17</v>
      </c>
      <c r="G41" s="123">
        <v>0</v>
      </c>
      <c r="H41" s="124">
        <v>0</v>
      </c>
      <c r="P41" s="62"/>
    </row>
    <row r="42" spans="1:16" hidden="1" outlineLevel="1">
      <c r="A42" s="5">
        <v>2021</v>
      </c>
      <c r="C42" s="141" t="s">
        <v>15</v>
      </c>
      <c r="D42"/>
      <c r="E42" s="148">
        <f t="shared" si="12"/>
        <v>-12215.23</v>
      </c>
      <c r="F42" s="149">
        <f t="shared" si="11"/>
        <v>-27659.17</v>
      </c>
      <c r="G42" s="123">
        <v>0</v>
      </c>
      <c r="H42" s="124">
        <v>0</v>
      </c>
      <c r="P42" s="62"/>
    </row>
    <row r="43" spans="1:16" hidden="1" outlineLevel="1">
      <c r="A43" s="5">
        <v>2021</v>
      </c>
      <c r="C43" s="141" t="s">
        <v>13</v>
      </c>
      <c r="D43"/>
      <c r="E43" s="148">
        <f t="shared" si="12"/>
        <v>-12215.23</v>
      </c>
      <c r="F43" s="149">
        <f t="shared" si="11"/>
        <v>-27659.17</v>
      </c>
      <c r="G43" s="123">
        <v>0</v>
      </c>
      <c r="H43" s="124">
        <v>0</v>
      </c>
      <c r="P43" s="62"/>
    </row>
    <row r="44" spans="1:16" hidden="1" outlineLevel="1">
      <c r="A44" s="5">
        <v>2021</v>
      </c>
      <c r="C44" s="141" t="s">
        <v>24</v>
      </c>
      <c r="D44"/>
      <c r="E44" s="148">
        <f t="shared" si="12"/>
        <v>-12215.23</v>
      </c>
      <c r="F44" s="149">
        <f t="shared" si="11"/>
        <v>-27659.17</v>
      </c>
      <c r="G44" s="123">
        <v>0</v>
      </c>
      <c r="H44" s="124">
        <v>0</v>
      </c>
      <c r="P44" s="62"/>
    </row>
    <row r="45" spans="1:16" hidden="1" outlineLevel="1">
      <c r="A45" s="5">
        <v>2021</v>
      </c>
      <c r="C45" s="141" t="s">
        <v>25</v>
      </c>
      <c r="D45"/>
      <c r="E45" s="148">
        <f t="shared" si="12"/>
        <v>-12215.23</v>
      </c>
      <c r="F45" s="149">
        <f t="shared" si="11"/>
        <v>-27659.17</v>
      </c>
      <c r="G45" s="123">
        <v>0</v>
      </c>
      <c r="H45" s="124">
        <v>0</v>
      </c>
      <c r="P45" s="62"/>
    </row>
    <row r="46" spans="1:16" hidden="1" outlineLevel="1">
      <c r="A46" s="5">
        <v>2021</v>
      </c>
      <c r="C46" s="141" t="s">
        <v>26</v>
      </c>
      <c r="D46"/>
      <c r="E46" s="148">
        <f t="shared" si="12"/>
        <v>-12215.23</v>
      </c>
      <c r="F46" s="149">
        <f t="shared" si="11"/>
        <v>-27659.17</v>
      </c>
      <c r="G46" s="123">
        <v>0</v>
      </c>
      <c r="H46" s="124">
        <v>0</v>
      </c>
      <c r="P46" s="62"/>
    </row>
    <row r="47" spans="1:16" hidden="1" outlineLevel="1">
      <c r="A47" s="5">
        <v>2021</v>
      </c>
      <c r="C47" s="141" t="s">
        <v>27</v>
      </c>
      <c r="D47"/>
      <c r="E47" s="148">
        <f t="shared" si="12"/>
        <v>-12215.23</v>
      </c>
      <c r="F47" s="149">
        <f t="shared" si="11"/>
        <v>-27659.17</v>
      </c>
      <c r="G47" s="123">
        <v>0</v>
      </c>
      <c r="H47" s="124">
        <v>781.31</v>
      </c>
      <c r="P47" s="62"/>
    </row>
    <row r="48" spans="1:16" hidden="1" outlineLevel="1">
      <c r="A48" s="5">
        <v>2021</v>
      </c>
      <c r="C48" s="141" t="s">
        <v>20</v>
      </c>
      <c r="D48"/>
      <c r="E48" s="148">
        <f t="shared" si="12"/>
        <v>-12215.23</v>
      </c>
      <c r="F48" s="149">
        <f t="shared" si="11"/>
        <v>-26877.859999999997</v>
      </c>
      <c r="G48" s="123">
        <v>0</v>
      </c>
      <c r="H48" s="124">
        <v>0</v>
      </c>
      <c r="P48" s="62"/>
    </row>
    <row r="49" spans="1:16" hidden="1" outlineLevel="1">
      <c r="A49" s="5">
        <v>2021</v>
      </c>
      <c r="C49" s="141" t="s">
        <v>28</v>
      </c>
      <c r="D49"/>
      <c r="E49" s="148">
        <f t="shared" si="12"/>
        <v>-12215.23</v>
      </c>
      <c r="F49" s="149">
        <f t="shared" si="11"/>
        <v>-26877.859999999997</v>
      </c>
      <c r="G49" s="123">
        <v>0</v>
      </c>
      <c r="H49" s="124">
        <v>0</v>
      </c>
      <c r="P49" s="62"/>
    </row>
    <row r="50" spans="1:16" collapsed="1">
      <c r="A50" s="5">
        <v>2021</v>
      </c>
      <c r="B50" s="5"/>
      <c r="C50" s="141" t="s">
        <v>19</v>
      </c>
      <c r="D50"/>
      <c r="E50" s="148">
        <f>E51</f>
        <v>-12215.23</v>
      </c>
      <c r="F50" s="149">
        <f>F51</f>
        <v>-26877.859999999997</v>
      </c>
      <c r="G50" s="123">
        <v>0</v>
      </c>
      <c r="H50" s="125">
        <v>291.94</v>
      </c>
      <c r="P50" s="62"/>
    </row>
    <row r="51" spans="1:16" hidden="1" outlineLevel="1">
      <c r="A51" s="6">
        <v>2020</v>
      </c>
      <c r="B51" s="6"/>
      <c r="C51" s="142" t="s">
        <v>23</v>
      </c>
      <c r="D51"/>
      <c r="E51" s="148">
        <f t="shared" ref="E51:E61" si="13">E52-G51</f>
        <v>-12215.23</v>
      </c>
      <c r="F51" s="149">
        <f t="shared" ref="F51:F61" si="14">F52-H51</f>
        <v>-26877.859999999997</v>
      </c>
      <c r="G51" s="123">
        <v>0</v>
      </c>
      <c r="H51" s="126">
        <v>1200.6199999999999</v>
      </c>
    </row>
    <row r="52" spans="1:16" hidden="1" outlineLevel="1">
      <c r="A52" s="6">
        <v>2020</v>
      </c>
      <c r="C52" s="142" t="s">
        <v>18</v>
      </c>
      <c r="D52"/>
      <c r="E52" s="148">
        <f t="shared" si="13"/>
        <v>-12215.23</v>
      </c>
      <c r="F52" s="149">
        <f t="shared" si="14"/>
        <v>-25677.239999999998</v>
      </c>
      <c r="G52" s="123">
        <v>0</v>
      </c>
      <c r="H52" s="126">
        <v>4091.07</v>
      </c>
    </row>
    <row r="53" spans="1:16" hidden="1" outlineLevel="1">
      <c r="A53" s="6">
        <v>2020</v>
      </c>
      <c r="C53" s="142" t="s">
        <v>17</v>
      </c>
      <c r="D53"/>
      <c r="E53" s="148">
        <f t="shared" si="13"/>
        <v>-12215.23</v>
      </c>
      <c r="F53" s="149">
        <f t="shared" si="14"/>
        <v>-21586.17</v>
      </c>
      <c r="G53" s="123">
        <v>0</v>
      </c>
      <c r="H53" s="126">
        <v>8574.14</v>
      </c>
    </row>
    <row r="54" spans="1:16" hidden="1" outlineLevel="1">
      <c r="A54" s="6">
        <v>2020</v>
      </c>
      <c r="C54" s="142" t="s">
        <v>15</v>
      </c>
      <c r="D54"/>
      <c r="E54" s="148">
        <f t="shared" si="13"/>
        <v>-12215.23</v>
      </c>
      <c r="F54" s="149">
        <f t="shared" si="14"/>
        <v>-13012.03</v>
      </c>
      <c r="G54" s="123">
        <v>0</v>
      </c>
      <c r="H54" s="124">
        <v>0</v>
      </c>
    </row>
    <row r="55" spans="1:16" hidden="1" outlineLevel="1">
      <c r="A55" s="6">
        <v>2020</v>
      </c>
      <c r="C55" s="142" t="s">
        <v>13</v>
      </c>
      <c r="D55"/>
      <c r="E55" s="148">
        <f t="shared" si="13"/>
        <v>-12215.23</v>
      </c>
      <c r="F55" s="149">
        <f t="shared" si="14"/>
        <v>-13012.03</v>
      </c>
      <c r="G55" s="123">
        <v>0</v>
      </c>
      <c r="H55" s="124">
        <v>5645.81</v>
      </c>
    </row>
    <row r="56" spans="1:16" hidden="1" outlineLevel="1">
      <c r="A56" s="6">
        <v>2020</v>
      </c>
      <c r="C56" s="142" t="s">
        <v>24</v>
      </c>
      <c r="D56"/>
      <c r="E56" s="148">
        <f t="shared" si="13"/>
        <v>-12215.23</v>
      </c>
      <c r="F56" s="149">
        <f t="shared" si="14"/>
        <v>-7366.22</v>
      </c>
      <c r="G56" s="123">
        <v>0</v>
      </c>
      <c r="H56" s="124">
        <v>0</v>
      </c>
    </row>
    <row r="57" spans="1:16" hidden="1" outlineLevel="1">
      <c r="A57" s="6">
        <v>2020</v>
      </c>
      <c r="C57" s="142" t="s">
        <v>25</v>
      </c>
      <c r="D57"/>
      <c r="E57" s="148">
        <f t="shared" si="13"/>
        <v>-12215.23</v>
      </c>
      <c r="F57" s="149">
        <f t="shared" si="14"/>
        <v>-7366.22</v>
      </c>
      <c r="G57" s="123">
        <v>0</v>
      </c>
      <c r="H57" s="124">
        <v>0</v>
      </c>
    </row>
    <row r="58" spans="1:16" hidden="1" outlineLevel="1">
      <c r="A58" s="6">
        <v>2020</v>
      </c>
      <c r="C58" s="142" t="s">
        <v>26</v>
      </c>
      <c r="D58"/>
      <c r="E58" s="148">
        <f t="shared" si="13"/>
        <v>-12215.23</v>
      </c>
      <c r="F58" s="149">
        <f t="shared" si="14"/>
        <v>-7366.22</v>
      </c>
      <c r="G58" s="123">
        <v>0</v>
      </c>
      <c r="H58" s="124">
        <v>0</v>
      </c>
    </row>
    <row r="59" spans="1:16" hidden="1" outlineLevel="1">
      <c r="A59" s="6">
        <v>2020</v>
      </c>
      <c r="C59" s="142" t="s">
        <v>27</v>
      </c>
      <c r="D59"/>
      <c r="E59" s="148">
        <f t="shared" si="13"/>
        <v>-12215.23</v>
      </c>
      <c r="F59" s="149">
        <f t="shared" si="14"/>
        <v>-7366.22</v>
      </c>
      <c r="G59" s="123">
        <v>0</v>
      </c>
      <c r="H59" s="124">
        <v>0</v>
      </c>
    </row>
    <row r="60" spans="1:16" hidden="1" outlineLevel="1">
      <c r="A60" s="6">
        <v>2020</v>
      </c>
      <c r="C60" s="142" t="s">
        <v>20</v>
      </c>
      <c r="D60"/>
      <c r="E60" s="148">
        <f t="shared" si="13"/>
        <v>-12215.23</v>
      </c>
      <c r="F60" s="149">
        <f t="shared" si="14"/>
        <v>-7366.22</v>
      </c>
      <c r="G60" s="123">
        <v>1012.06</v>
      </c>
      <c r="H60" s="124">
        <v>0</v>
      </c>
    </row>
    <row r="61" spans="1:16" hidden="1" outlineLevel="1">
      <c r="A61" s="6">
        <v>2020</v>
      </c>
      <c r="C61" s="142" t="s">
        <v>28</v>
      </c>
      <c r="D61"/>
      <c r="E61" s="148">
        <f t="shared" si="13"/>
        <v>-11203.17</v>
      </c>
      <c r="F61" s="149">
        <f t="shared" si="14"/>
        <v>-7366.22</v>
      </c>
      <c r="G61" s="123">
        <v>0</v>
      </c>
      <c r="H61" s="124">
        <v>0</v>
      </c>
    </row>
    <row r="62" spans="1:16" collapsed="1">
      <c r="A62" s="6">
        <v>2020</v>
      </c>
      <c r="B62" s="6"/>
      <c r="C62" s="142" t="s">
        <v>19</v>
      </c>
      <c r="D62"/>
      <c r="E62" s="148">
        <v>-11203.17</v>
      </c>
      <c r="F62" s="149">
        <v>-7366.22</v>
      </c>
    </row>
    <row r="63" spans="1:16">
      <c r="C63" s="136"/>
      <c r="D63"/>
    </row>
    <row r="64" spans="1:16">
      <c r="C64" s="136"/>
      <c r="D64"/>
    </row>
    <row r="65" spans="3:4">
      <c r="C65" s="136"/>
      <c r="D65"/>
    </row>
    <row r="66" spans="3:4">
      <c r="C66" s="136"/>
      <c r="D66"/>
    </row>
    <row r="67" spans="3:4">
      <c r="C67" s="136"/>
      <c r="D67"/>
    </row>
  </sheetData>
  <phoneticPr fontId="37" type="noConversion"/>
  <conditionalFormatting sqref="M3:M27 H6:H37">
    <cfRule type="cellIs" dxfId="0" priority="9" operator="lessThanOrEqual">
      <formula>$F$16</formula>
    </cfRule>
  </conditionalFormatting>
  <pageMargins left="0.511811024" right="0.511811024" top="0.78740157499999996" bottom="0.78740157499999996" header="0.31496062000000002" footer="0.31496062000000002"/>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8"/>
  <sheetViews>
    <sheetView zoomScale="85" zoomScaleNormal="85" workbookViewId="0">
      <selection activeCell="G13" sqref="G13"/>
    </sheetView>
  </sheetViews>
  <sheetFormatPr defaultColWidth="9" defaultRowHeight="15"/>
  <cols>
    <col min="1" max="1" width="35.5703125" customWidth="1"/>
    <col min="2" max="2" width="13.28515625" bestFit="1" customWidth="1"/>
    <col min="3" max="3" width="2" customWidth="1"/>
    <col min="4" max="4" width="17.140625" customWidth="1"/>
    <col min="7" max="7" width="9.5703125" bestFit="1" customWidth="1"/>
    <col min="13" max="13" width="9.5703125" bestFit="1" customWidth="1"/>
    <col min="18" max="18" width="9.5703125" bestFit="1" customWidth="1"/>
  </cols>
  <sheetData>
    <row r="1" spans="1:20" ht="18.75">
      <c r="G1" s="21">
        <v>1512</v>
      </c>
      <c r="H1" s="32" t="s">
        <v>84</v>
      </c>
      <c r="M1" s="21">
        <v>2600</v>
      </c>
      <c r="N1" t="s">
        <v>86</v>
      </c>
      <c r="R1" s="33">
        <v>2106.5</v>
      </c>
      <c r="S1" s="34" t="s">
        <v>85</v>
      </c>
      <c r="T1" s="31"/>
    </row>
    <row r="2" spans="1:20">
      <c r="B2" t="s">
        <v>11</v>
      </c>
      <c r="D2" t="s">
        <v>29</v>
      </c>
      <c r="H2" t="s">
        <v>79</v>
      </c>
      <c r="N2" t="s">
        <v>87</v>
      </c>
    </row>
    <row r="3" spans="1:20">
      <c r="A3" t="s">
        <v>30</v>
      </c>
      <c r="B3" s="1">
        <v>1512</v>
      </c>
      <c r="D3" s="35">
        <v>1512</v>
      </c>
      <c r="H3" t="s">
        <v>80</v>
      </c>
      <c r="N3" s="32" t="s">
        <v>88</v>
      </c>
    </row>
    <row r="4" spans="1:20">
      <c r="A4" t="s">
        <v>31</v>
      </c>
      <c r="B4" s="35">
        <v>2106.5</v>
      </c>
      <c r="D4" s="35">
        <v>2106.5</v>
      </c>
      <c r="H4" t="s">
        <v>81</v>
      </c>
      <c r="N4" t="s">
        <v>89</v>
      </c>
    </row>
    <row r="5" spans="1:20">
      <c r="A5" t="s">
        <v>32</v>
      </c>
      <c r="B5" s="1">
        <v>2600</v>
      </c>
      <c r="D5" s="35">
        <v>2600</v>
      </c>
      <c r="H5" t="s">
        <v>82</v>
      </c>
      <c r="N5" t="s">
        <v>90</v>
      </c>
    </row>
    <row r="6" spans="1:20">
      <c r="B6" s="2">
        <f>SUM(B3:B5)</f>
        <v>6218.5</v>
      </c>
      <c r="D6" s="2">
        <f>SUM(D3:D5)</f>
        <v>6218.5</v>
      </c>
      <c r="H6" t="s">
        <v>83</v>
      </c>
      <c r="N6" t="s">
        <v>91</v>
      </c>
    </row>
    <row r="7" spans="1:20">
      <c r="D7" s="30"/>
      <c r="N7" t="s">
        <v>92</v>
      </c>
    </row>
    <row r="9" spans="1:20">
      <c r="A9" s="40" t="s">
        <v>103</v>
      </c>
      <c r="B9" s="46">
        <v>2200</v>
      </c>
      <c r="D9" s="59" t="s">
        <v>116</v>
      </c>
    </row>
    <row r="10" spans="1:20">
      <c r="A10" s="54" t="s">
        <v>113</v>
      </c>
      <c r="B10" s="46">
        <v>256.60000000000002</v>
      </c>
      <c r="D10" s="168">
        <f>B23+B28</f>
        <v>-24778.920999999998</v>
      </c>
    </row>
    <row r="11" spans="1:20">
      <c r="A11" s="55" t="s">
        <v>93</v>
      </c>
      <c r="B11" s="46">
        <v>750</v>
      </c>
      <c r="D11" s="168"/>
    </row>
    <row r="12" spans="1:20">
      <c r="A12" s="40" t="s">
        <v>104</v>
      </c>
      <c r="B12" s="46">
        <v>5500</v>
      </c>
      <c r="D12" s="168"/>
    </row>
    <row r="13" spans="1:20">
      <c r="A13" s="40" t="s">
        <v>109</v>
      </c>
      <c r="B13" s="46">
        <f>2260+45+82</f>
        <v>2387</v>
      </c>
      <c r="D13" s="168"/>
    </row>
    <row r="14" spans="1:20">
      <c r="A14" s="40" t="s">
        <v>110</v>
      </c>
      <c r="B14" s="47">
        <v>1512</v>
      </c>
      <c r="D14" s="168"/>
    </row>
    <row r="15" spans="1:20">
      <c r="A15" s="40" t="s">
        <v>111</v>
      </c>
      <c r="B15" s="48">
        <v>0</v>
      </c>
      <c r="D15" s="168"/>
    </row>
    <row r="16" spans="1:20">
      <c r="A16" s="40" t="s">
        <v>105</v>
      </c>
      <c r="B16" s="47">
        <v>2600</v>
      </c>
      <c r="D16" s="168"/>
    </row>
    <row r="17" spans="1:4">
      <c r="A17" s="39" t="s">
        <v>106</v>
      </c>
      <c r="B17" s="46">
        <v>6000</v>
      </c>
      <c r="D17" s="168"/>
    </row>
    <row r="18" spans="1:4">
      <c r="A18" s="40" t="s">
        <v>107</v>
      </c>
      <c r="B18" s="46">
        <v>476.66</v>
      </c>
      <c r="D18" s="168"/>
    </row>
    <row r="19" spans="1:4">
      <c r="A19" s="40" t="s">
        <v>108</v>
      </c>
      <c r="B19" s="46">
        <v>4150.5200000000004</v>
      </c>
      <c r="D19" s="168"/>
    </row>
    <row r="20" spans="1:4">
      <c r="A20" s="105" t="s">
        <v>170</v>
      </c>
      <c r="B20" s="46">
        <v>2946.141000000001</v>
      </c>
      <c r="D20" s="168"/>
    </row>
    <row r="21" spans="1:4">
      <c r="A21" s="161" t="s">
        <v>181</v>
      </c>
      <c r="B21" s="46">
        <v>1000</v>
      </c>
      <c r="D21" s="168"/>
    </row>
    <row r="22" spans="1:4">
      <c r="A22" s="40"/>
      <c r="B22" s="46"/>
      <c r="D22" s="168"/>
    </row>
    <row r="23" spans="1:4">
      <c r="A23" s="58" t="s">
        <v>118</v>
      </c>
      <c r="B23" s="49">
        <f>-SUM(B9:B22)</f>
        <v>-29778.920999999998</v>
      </c>
      <c r="D23" s="168"/>
    </row>
    <row r="24" spans="1:4">
      <c r="D24" s="168"/>
    </row>
    <row r="25" spans="1:4">
      <c r="A25" s="52" t="s">
        <v>114</v>
      </c>
      <c r="B25" s="51">
        <v>5000</v>
      </c>
      <c r="D25" s="168"/>
    </row>
    <row r="26" spans="1:4">
      <c r="A26" s="52" t="s">
        <v>115</v>
      </c>
      <c r="D26" s="168"/>
    </row>
    <row r="27" spans="1:4">
      <c r="A27" s="52" t="s">
        <v>115</v>
      </c>
      <c r="D27" s="168"/>
    </row>
    <row r="28" spans="1:4">
      <c r="A28" s="57" t="s">
        <v>117</v>
      </c>
      <c r="B28" s="53">
        <f>SUM(B25:B27)</f>
        <v>5000</v>
      </c>
      <c r="D28" s="168"/>
    </row>
  </sheetData>
  <mergeCells count="1">
    <mergeCell ref="D10:D28"/>
  </mergeCells>
  <phoneticPr fontId="37" type="noConversion"/>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913C6-1B6D-497A-95B7-D92E66F72974}">
  <sheetPr filterMode="1"/>
  <dimension ref="A1:AU76"/>
  <sheetViews>
    <sheetView zoomScale="85" zoomScaleNormal="85" workbookViewId="0">
      <selection activeCell="B22" sqref="B22"/>
    </sheetView>
  </sheetViews>
  <sheetFormatPr defaultRowHeight="15"/>
  <cols>
    <col min="1" max="1" width="15.42578125" bestFit="1" customWidth="1"/>
    <col min="2" max="2" width="14" customWidth="1"/>
    <col min="3" max="3" width="3.140625" bestFit="1" customWidth="1"/>
    <col min="4" max="4" width="10.5703125" customWidth="1"/>
    <col min="5" max="5" width="6" bestFit="1" customWidth="1"/>
    <col min="6" max="6" width="11.5703125" bestFit="1" customWidth="1"/>
    <col min="7" max="7" width="5.42578125" style="4" bestFit="1" customWidth="1"/>
    <col min="8" max="8" width="6" bestFit="1" customWidth="1"/>
    <col min="9" max="9" width="12.140625" bestFit="1" customWidth="1"/>
    <col min="10" max="10" width="24.85546875" bestFit="1" customWidth="1"/>
    <col min="11" max="11" width="12.28515625" customWidth="1"/>
    <col min="13" max="13" width="10.5703125" bestFit="1" customWidth="1"/>
    <col min="14" max="14" width="4.140625" customWidth="1"/>
    <col min="15" max="15" width="9.5703125" bestFit="1" customWidth="1"/>
    <col min="16" max="16" width="8.5703125" customWidth="1"/>
    <col min="17" max="17" width="7.28515625" customWidth="1"/>
    <col min="18" max="18" width="3.42578125" bestFit="1" customWidth="1"/>
    <col min="19" max="19" width="8" bestFit="1" customWidth="1"/>
    <col min="20" max="20" width="10.5703125" bestFit="1" customWidth="1"/>
    <col min="21" max="21" width="3" bestFit="1" customWidth="1"/>
    <col min="22" max="22" width="6.140625" bestFit="1" customWidth="1"/>
    <col min="23" max="23" width="2" bestFit="1" customWidth="1"/>
    <col min="24" max="24" width="5.140625" bestFit="1" customWidth="1"/>
    <col min="25" max="25" width="13.28515625" customWidth="1"/>
    <col min="26" max="26" width="5.140625" bestFit="1" customWidth="1"/>
    <col min="27" max="27" width="7" bestFit="1" customWidth="1"/>
    <col min="28" max="28" width="3.140625" customWidth="1"/>
    <col min="31" max="31" width="6" bestFit="1" customWidth="1"/>
    <col min="32" max="32" width="14.5703125" bestFit="1" customWidth="1"/>
    <col min="33" max="33" width="15.140625" customWidth="1"/>
    <col min="34" max="34" width="5.28515625" customWidth="1"/>
    <col min="35" max="35" width="7.140625" bestFit="1" customWidth="1"/>
    <col min="36" max="36" width="10.85546875" bestFit="1" customWidth="1"/>
    <col min="37" max="37" width="6" bestFit="1" customWidth="1"/>
    <col min="38" max="40" width="6" customWidth="1"/>
    <col min="41" max="41" width="6" bestFit="1" customWidth="1"/>
    <col min="47" max="47" width="10.85546875" bestFit="1" customWidth="1"/>
  </cols>
  <sheetData>
    <row r="1" spans="1:47">
      <c r="Y1" s="84">
        <v>1.21</v>
      </c>
    </row>
    <row r="2" spans="1:47">
      <c r="A2" s="22" t="s">
        <v>72</v>
      </c>
      <c r="B2">
        <v>0.81</v>
      </c>
      <c r="C2">
        <v>0.89</v>
      </c>
      <c r="D2">
        <v>2.4</v>
      </c>
      <c r="E2" s="22" t="s">
        <v>36</v>
      </c>
      <c r="F2" s="28">
        <f>D2*C2*B2</f>
        <v>1.7301600000000001</v>
      </c>
      <c r="G2"/>
      <c r="I2" s="22" t="s">
        <v>77</v>
      </c>
      <c r="J2" s="28">
        <f>F4</f>
        <v>4.0823999999999998</v>
      </c>
      <c r="M2" s="22" t="s">
        <v>78</v>
      </c>
      <c r="N2" s="28">
        <f>G4</f>
        <v>11.9176</v>
      </c>
      <c r="Q2" s="22" t="s">
        <v>75</v>
      </c>
      <c r="R2">
        <v>7</v>
      </c>
      <c r="S2">
        <f>SUMIFS(F31:F86,N31:N86,Q2)</f>
        <v>397.70000000000005</v>
      </c>
      <c r="W2" s="77"/>
      <c r="X2" s="3">
        <v>2.41</v>
      </c>
      <c r="Y2" s="170">
        <v>0.8</v>
      </c>
      <c r="AB2" s="78"/>
      <c r="AE2" s="85" t="s">
        <v>137</v>
      </c>
      <c r="AF2" s="85"/>
      <c r="AP2" s="85" t="s">
        <v>137</v>
      </c>
      <c r="AQ2" s="85"/>
    </row>
    <row r="3" spans="1:47">
      <c r="A3" s="22" t="s">
        <v>73</v>
      </c>
      <c r="B3">
        <v>0.81</v>
      </c>
      <c r="C3">
        <v>1.21</v>
      </c>
      <c r="D3">
        <v>2.4</v>
      </c>
      <c r="E3" s="22" t="s">
        <v>36</v>
      </c>
      <c r="F3" s="28">
        <f>D3*C3*B3</f>
        <v>2.3522400000000001</v>
      </c>
      <c r="G3"/>
      <c r="I3" s="22" t="s">
        <v>58</v>
      </c>
      <c r="J3">
        <f>SUMIFS($F$31:$F$86,$N$31:$N$86,$I$2,$A$31:$A$86,I3)</f>
        <v>125.9</v>
      </c>
      <c r="K3" s="29">
        <f>J3*$J$2+($J$2*0.1)</f>
        <v>514.38239999999996</v>
      </c>
      <c r="M3" s="22" t="s">
        <v>58</v>
      </c>
      <c r="N3">
        <f>SUMIFS($F$31:$F$86,$N$31:$N$86,$M$2,$A$31:$A$86,M3)</f>
        <v>99.9</v>
      </c>
      <c r="O3" s="29">
        <f>N3*$N$2+($N$2*0.1)</f>
        <v>1191.76</v>
      </c>
      <c r="Q3" s="22" t="s">
        <v>58</v>
      </c>
      <c r="S3">
        <f>SUMIFS($F$31:$F$86,$N$31:$N$86,$Q$2,$A$31:$A$86,Q3)</f>
        <v>113.9</v>
      </c>
      <c r="T3" s="23">
        <f>S3*$R$2+($R$2*0.1)</f>
        <v>798.00000000000011</v>
      </c>
      <c r="W3" s="77"/>
      <c r="X3" s="76">
        <v>2.31</v>
      </c>
      <c r="Y3" s="170"/>
      <c r="AB3" s="78"/>
      <c r="AE3">
        <f>X2*X3</f>
        <v>5.5671000000000008</v>
      </c>
      <c r="AF3" t="str">
        <f>J65</f>
        <v>ripado natural</v>
      </c>
      <c r="AG3" s="21">
        <f>H65*AH3</f>
        <v>4.8600000000000003</v>
      </c>
      <c r="AH3">
        <v>2</v>
      </c>
      <c r="AI3" s="72" t="s">
        <v>138</v>
      </c>
      <c r="AJ3" s="25">
        <f>AG3-AE3</f>
        <v>-0.70710000000000051</v>
      </c>
      <c r="AP3">
        <v>5.5671000000000008</v>
      </c>
      <c r="AQ3">
        <f>R65</f>
        <v>0</v>
      </c>
      <c r="AR3" s="21">
        <f>H65</f>
        <v>2.4300000000000002</v>
      </c>
      <c r="AS3">
        <v>3</v>
      </c>
      <c r="AT3" s="72" t="s">
        <v>138</v>
      </c>
      <c r="AU3" s="25">
        <f>AR3-AP3</f>
        <v>-3.1371000000000007</v>
      </c>
    </row>
    <row r="4" spans="1:47">
      <c r="A4" s="22" t="s">
        <v>74</v>
      </c>
      <c r="B4">
        <v>16</v>
      </c>
      <c r="E4" s="22"/>
      <c r="F4" s="26">
        <f>SUM(F2:F3)</f>
        <v>4.0823999999999998</v>
      </c>
      <c r="G4" s="27">
        <f>B4-F4</f>
        <v>11.9176</v>
      </c>
      <c r="I4" s="22" t="s">
        <v>54</v>
      </c>
      <c r="J4">
        <f>SUMIFS($F$31:$F$86,$N$31:$N$86,$Q$2,$A$31:$A$86,I4)</f>
        <v>109</v>
      </c>
      <c r="K4" s="29">
        <f t="shared" ref="K4:K6" si="0">J4*$J$2+($J$2*0.1)</f>
        <v>445.38983999999994</v>
      </c>
      <c r="M4" s="22" t="s">
        <v>54</v>
      </c>
      <c r="N4">
        <f>SUMIFS($F$31:$F$86,$N$31:$N$86,$Q$2,$A$31:$A$86,M4)</f>
        <v>109</v>
      </c>
      <c r="O4" s="29">
        <f t="shared" ref="O4:O6" si="1">N4*$N$2+($N$2*0.1)</f>
        <v>1300.2101599999999</v>
      </c>
      <c r="Q4" s="22" t="s">
        <v>54</v>
      </c>
      <c r="S4">
        <f>SUMIFS($F$31:$F$86,$N$31:$N$86,$Q$2,$A$31:$A$86,Q4)</f>
        <v>109</v>
      </c>
      <c r="T4" s="23">
        <f>S4*$R$2+($R$2*0.1)</f>
        <v>763.7</v>
      </c>
      <c r="W4" s="77"/>
      <c r="X4" s="76"/>
      <c r="Y4" s="73"/>
      <c r="AB4" s="78"/>
      <c r="AP4" s="83" t="s">
        <v>142</v>
      </c>
    </row>
    <row r="5" spans="1:47">
      <c r="I5" s="22" t="s">
        <v>56</v>
      </c>
      <c r="J5">
        <f>SUMIFS($F$31:$F$86,$N$31:$N$86,$Q$2,$A$31:$A$86,I5)</f>
        <v>97.9</v>
      </c>
      <c r="K5" s="29">
        <f t="shared" si="0"/>
        <v>400.0752</v>
      </c>
      <c r="M5" s="22" t="s">
        <v>56</v>
      </c>
      <c r="N5">
        <f>SUMIFS($F$31:$F$86,$N$31:$N$86,$Q$2,$A$31:$A$86,M5)</f>
        <v>97.9</v>
      </c>
      <c r="O5" s="29">
        <f t="shared" si="1"/>
        <v>1167.9248</v>
      </c>
      <c r="Q5" s="22" t="s">
        <v>56</v>
      </c>
      <c r="S5">
        <f>SUMIFS($F$31:$F$86,$N$31:$N$86,$Q$2,$A$31:$A$86,Q5)</f>
        <v>97.9</v>
      </c>
      <c r="T5" s="23">
        <f>S5*$R$2+($R$2*0.1)</f>
        <v>686.00000000000011</v>
      </c>
      <c r="W5" s="77"/>
      <c r="X5" s="76"/>
      <c r="Y5" s="73"/>
      <c r="Z5" s="32">
        <v>0.5</v>
      </c>
      <c r="AB5" s="78"/>
      <c r="AD5" s="83"/>
      <c r="AE5" s="79">
        <f>X2*X3</f>
        <v>5.5671000000000008</v>
      </c>
      <c r="AF5" t="str">
        <f>$J$69</f>
        <v>Calacata Altissimo Satin</v>
      </c>
      <c r="AG5" s="21">
        <f>$H$69*AH5</f>
        <v>4.8600000000000003</v>
      </c>
      <c r="AH5">
        <v>2</v>
      </c>
      <c r="AI5" s="72" t="s">
        <v>138</v>
      </c>
      <c r="AJ5" s="25">
        <f t="shared" ref="AJ5:AJ7" si="2">AG5-AE5</f>
        <v>-0.70710000000000051</v>
      </c>
      <c r="AP5" s="88">
        <v>5.5671000000000008</v>
      </c>
      <c r="AQ5" s="72" t="s">
        <v>149</v>
      </c>
      <c r="AR5" s="21">
        <f>$H$69*AS5</f>
        <v>4.8600000000000003</v>
      </c>
      <c r="AS5">
        <v>2</v>
      </c>
      <c r="AT5" s="72" t="s">
        <v>138</v>
      </c>
      <c r="AU5" s="25">
        <f t="shared" ref="AU5:AU7" si="3">AR5-AP5</f>
        <v>-0.70710000000000051</v>
      </c>
    </row>
    <row r="6" spans="1:47">
      <c r="I6" s="22" t="s">
        <v>64</v>
      </c>
      <c r="J6">
        <f>SUMIFS($F$31:$F$86,$N$31:$N$86,$Q$2,$A$31:$A$86,I6)</f>
        <v>76.900000000000006</v>
      </c>
      <c r="K6" s="29">
        <f t="shared" si="0"/>
        <v>314.34479999999996</v>
      </c>
      <c r="M6" s="22" t="s">
        <v>64</v>
      </c>
      <c r="N6">
        <f>SUMIFS($F$31:$F$86,$N$31:$N$86,$Q$2,$A$31:$A$86,M6)</f>
        <v>76.900000000000006</v>
      </c>
      <c r="O6" s="29">
        <f t="shared" si="1"/>
        <v>917.65520000000015</v>
      </c>
      <c r="Q6" s="22" t="s">
        <v>64</v>
      </c>
      <c r="S6">
        <f>SUMIFS($F$31:$F$86,$N$31:$N$86,$Q$2,$A$31:$A$86,Q6)</f>
        <v>76.900000000000006</v>
      </c>
      <c r="T6" s="23">
        <f>S6*$R$2+($R$2*0.1)</f>
        <v>539.00000000000011</v>
      </c>
      <c r="W6" s="77"/>
      <c r="X6" s="76"/>
      <c r="Y6" s="73"/>
      <c r="Z6">
        <v>0.6</v>
      </c>
      <c r="AB6" s="78"/>
      <c r="AE6" s="102">
        <f>X2*Y1</f>
        <v>2.9161000000000001</v>
      </c>
      <c r="AF6" t="str">
        <f>$J$69</f>
        <v>Calacata Altissimo Satin</v>
      </c>
      <c r="AG6" s="21">
        <f>$H$69*AH6</f>
        <v>2.4300000000000002</v>
      </c>
      <c r="AH6">
        <v>1</v>
      </c>
      <c r="AI6" s="72" t="s">
        <v>138</v>
      </c>
      <c r="AJ6" s="25">
        <f t="shared" si="2"/>
        <v>-0.48609999999999998</v>
      </c>
      <c r="AP6" s="89">
        <v>2.9161000000000001</v>
      </c>
      <c r="AQ6" s="72" t="s">
        <v>149</v>
      </c>
      <c r="AR6" s="21">
        <f>$H$69*AS6</f>
        <v>4.8600000000000003</v>
      </c>
      <c r="AS6">
        <v>2</v>
      </c>
      <c r="AT6" s="72" t="s">
        <v>138</v>
      </c>
      <c r="AU6" s="25">
        <f t="shared" si="3"/>
        <v>1.9439000000000002</v>
      </c>
    </row>
    <row r="7" spans="1:47">
      <c r="N7" s="22"/>
      <c r="R7" s="22"/>
      <c r="V7" s="22"/>
      <c r="W7" s="77"/>
      <c r="X7" s="76"/>
      <c r="Y7" s="73"/>
      <c r="Z7">
        <v>0.6</v>
      </c>
      <c r="AB7" s="78"/>
      <c r="AE7" s="84">
        <f>Y9*X2</f>
        <v>1.2050000000000001</v>
      </c>
      <c r="AF7" t="str">
        <f>$J$69</f>
        <v>Calacata Altissimo Satin</v>
      </c>
      <c r="AG7" s="21">
        <f>$H$69*AH7</f>
        <v>2.4300000000000002</v>
      </c>
      <c r="AH7">
        <v>1</v>
      </c>
      <c r="AI7" s="72" t="s">
        <v>138</v>
      </c>
      <c r="AJ7" s="25">
        <f t="shared" si="2"/>
        <v>1.2250000000000001</v>
      </c>
      <c r="AP7" s="90">
        <v>1.2050000000000001</v>
      </c>
      <c r="AQ7" s="72" t="s">
        <v>149</v>
      </c>
      <c r="AR7" s="21">
        <f>$H$69*AS7</f>
        <v>2.4300000000000002</v>
      </c>
      <c r="AS7">
        <v>1</v>
      </c>
      <c r="AT7" s="72" t="s">
        <v>138</v>
      </c>
      <c r="AU7" s="25">
        <f t="shared" si="3"/>
        <v>1.2250000000000001</v>
      </c>
    </row>
    <row r="8" spans="1:47">
      <c r="N8" s="22"/>
      <c r="R8" s="22"/>
      <c r="V8" s="22"/>
      <c r="W8" s="77"/>
      <c r="X8" s="76"/>
      <c r="Y8" s="73"/>
      <c r="Z8">
        <v>0.6</v>
      </c>
      <c r="AB8" s="78"/>
      <c r="AE8" s="81" t="s">
        <v>141</v>
      </c>
      <c r="AG8" s="21"/>
      <c r="AI8" s="72"/>
      <c r="AJ8" s="25"/>
      <c r="AP8" s="81" t="s">
        <v>141</v>
      </c>
      <c r="AR8" s="21"/>
      <c r="AT8" s="72"/>
      <c r="AU8" s="25"/>
    </row>
    <row r="9" spans="1:47">
      <c r="N9" s="22"/>
      <c r="R9" s="22"/>
      <c r="V9" s="22"/>
      <c r="X9" s="76"/>
      <c r="Y9" s="80">
        <v>0.5</v>
      </c>
      <c r="Z9">
        <f>SUBTOTAL(9,Z3:Z8)</f>
        <v>2.3000000000000003</v>
      </c>
      <c r="AE9">
        <f>Y1*X3</f>
        <v>2.7951000000000001</v>
      </c>
      <c r="AF9" t="str">
        <f>$J$69</f>
        <v>Calacata Altissimo Satin</v>
      </c>
      <c r="AG9" s="21">
        <f t="shared" ref="AG9" si="4">$H$69*AH9</f>
        <v>2.4300000000000002</v>
      </c>
      <c r="AH9">
        <v>1</v>
      </c>
      <c r="AI9" s="72" t="s">
        <v>138</v>
      </c>
      <c r="AJ9" s="25">
        <f t="shared" ref="AJ9" si="5">AG9-AE9</f>
        <v>-0.36509999999999998</v>
      </c>
      <c r="AP9">
        <f>Y1*X3</f>
        <v>2.7951000000000001</v>
      </c>
      <c r="AQ9" s="72" t="s">
        <v>149</v>
      </c>
      <c r="AR9" s="21">
        <f t="shared" ref="AR9" si="6">$H$69*AS9</f>
        <v>2.4300000000000002</v>
      </c>
      <c r="AS9">
        <v>1</v>
      </c>
      <c r="AT9" s="72" t="s">
        <v>138</v>
      </c>
      <c r="AU9" s="25">
        <f t="shared" ref="AU9" si="7">AR9-AP9</f>
        <v>-0.36509999999999998</v>
      </c>
    </row>
    <row r="10" spans="1:47">
      <c r="D10" s="103" t="s">
        <v>169</v>
      </c>
      <c r="N10" s="22"/>
      <c r="R10" s="22"/>
      <c r="V10" s="22"/>
      <c r="X10" s="76"/>
      <c r="AF10" s="25"/>
      <c r="AH10">
        <f>SUM(AH5:AH9)</f>
        <v>5</v>
      </c>
      <c r="AJ10" s="87">
        <f>SUM(AJ5:AJ9)</f>
        <v>-0.33330000000000037</v>
      </c>
      <c r="AS10">
        <f>SUM(AS5:AS9)</f>
        <v>6</v>
      </c>
      <c r="AU10" s="87">
        <f>SUM(AU5:AU9)</f>
        <v>2.0966999999999998</v>
      </c>
    </row>
    <row r="11" spans="1:47">
      <c r="A11" s="72" t="s">
        <v>150</v>
      </c>
      <c r="B11" s="21">
        <f>AJ29</f>
        <v>4084.5870000000004</v>
      </c>
      <c r="D11">
        <f>3015.62+1030.37</f>
        <v>4045.99</v>
      </c>
      <c r="F11" s="25">
        <f>B11-D11</f>
        <v>38.597000000000662</v>
      </c>
      <c r="N11" s="22"/>
      <c r="R11" s="22"/>
      <c r="V11" s="22"/>
      <c r="X11" s="76"/>
      <c r="Y11" s="76"/>
      <c r="Z11" s="76"/>
      <c r="AA11" s="76"/>
      <c r="AB11" s="76"/>
      <c r="AC11" s="76"/>
      <c r="AD11" s="76"/>
    </row>
    <row r="12" spans="1:47">
      <c r="A12" s="72" t="s">
        <v>156</v>
      </c>
      <c r="B12" s="21">
        <f>F71*C12</f>
        <v>2198</v>
      </c>
      <c r="C12">
        <v>2</v>
      </c>
      <c r="D12">
        <v>1839.98</v>
      </c>
      <c r="F12" s="25">
        <f t="shared" ref="F12:F23" si="8">B12-D12</f>
        <v>358.02</v>
      </c>
      <c r="N12" s="22"/>
      <c r="O12" s="5">
        <v>1.2</v>
      </c>
      <c r="R12" s="22"/>
      <c r="V12" s="22"/>
      <c r="X12" s="76"/>
      <c r="Y12" s="171">
        <v>1.6</v>
      </c>
      <c r="Z12" s="171"/>
      <c r="AE12" s="86" t="s">
        <v>136</v>
      </c>
      <c r="AF12" s="77"/>
      <c r="AG12" s="77"/>
      <c r="AH12" s="77"/>
      <c r="AI12" s="72" t="s">
        <v>143</v>
      </c>
      <c r="AP12" s="86" t="s">
        <v>136</v>
      </c>
      <c r="AQ12" s="77"/>
      <c r="AR12" s="77"/>
      <c r="AS12" s="77"/>
      <c r="AT12" s="72" t="s">
        <v>143</v>
      </c>
    </row>
    <row r="13" spans="1:47">
      <c r="A13" s="72" t="s">
        <v>151</v>
      </c>
      <c r="B13" s="21">
        <f>F70*C13</f>
        <v>1318</v>
      </c>
      <c r="C13">
        <v>2</v>
      </c>
      <c r="D13">
        <f>2*622.16</f>
        <v>1244.32</v>
      </c>
      <c r="F13" s="25">
        <f t="shared" si="8"/>
        <v>73.680000000000064</v>
      </c>
      <c r="N13" s="172">
        <v>1.2</v>
      </c>
      <c r="O13" s="173" t="s">
        <v>145</v>
      </c>
      <c r="P13">
        <v>0.4</v>
      </c>
      <c r="R13" s="22"/>
      <c r="V13" s="22"/>
      <c r="W13" s="82"/>
      <c r="X13" s="3">
        <v>2.38</v>
      </c>
      <c r="Y13" s="75">
        <v>0.77</v>
      </c>
      <c r="Z13" s="61">
        <v>0.83</v>
      </c>
      <c r="AB13" s="78"/>
      <c r="AE13" s="2">
        <f>Y12*X13</f>
        <v>3.8079999999999998</v>
      </c>
      <c r="AF13" t="str">
        <f>J65</f>
        <v>ripado natural</v>
      </c>
      <c r="AG13" s="21">
        <f>H65*AH13</f>
        <v>4.8600000000000003</v>
      </c>
      <c r="AH13">
        <v>2</v>
      </c>
      <c r="AI13" s="72" t="s">
        <v>138</v>
      </c>
      <c r="AJ13" s="25">
        <f>AG13-AE13</f>
        <v>1.0520000000000005</v>
      </c>
      <c r="AP13" s="2">
        <v>3.8079999999999998</v>
      </c>
      <c r="AQ13">
        <f>R65</f>
        <v>0</v>
      </c>
      <c r="AR13" s="21">
        <f>H65</f>
        <v>2.4300000000000002</v>
      </c>
      <c r="AS13">
        <v>2</v>
      </c>
      <c r="AT13" s="72" t="s">
        <v>138</v>
      </c>
      <c r="AU13" s="25">
        <f>AR13-AP13</f>
        <v>-1.3779999999999997</v>
      </c>
    </row>
    <row r="14" spans="1:47">
      <c r="A14" s="72" t="s">
        <v>152</v>
      </c>
      <c r="B14" s="21">
        <f>F73*C14</f>
        <v>1338</v>
      </c>
      <c r="C14">
        <v>2</v>
      </c>
      <c r="D14" s="103">
        <f>2*607.9</f>
        <v>1215.8</v>
      </c>
      <c r="F14" s="25">
        <f t="shared" si="8"/>
        <v>122.20000000000005</v>
      </c>
      <c r="N14" s="172"/>
      <c r="O14" s="174"/>
      <c r="P14">
        <v>0.4</v>
      </c>
      <c r="R14" s="22"/>
      <c r="V14" s="22"/>
      <c r="W14" s="82"/>
      <c r="X14" s="76">
        <v>1.62</v>
      </c>
      <c r="Y14" s="75"/>
      <c r="Z14" s="61"/>
      <c r="AB14" s="78"/>
      <c r="AE14" s="83" t="s">
        <v>142</v>
      </c>
      <c r="AP14" s="83" t="s">
        <v>142</v>
      </c>
    </row>
    <row r="15" spans="1:47">
      <c r="A15" s="72" t="s">
        <v>153</v>
      </c>
      <c r="B15" s="21"/>
      <c r="F15" s="25">
        <f t="shared" si="8"/>
        <v>0</v>
      </c>
      <c r="N15" s="172"/>
      <c r="O15" s="174"/>
      <c r="P15">
        <v>0.4</v>
      </c>
      <c r="R15" s="22"/>
      <c r="V15" s="22"/>
      <c r="W15" s="82"/>
      <c r="X15" s="76"/>
      <c r="Y15" s="75"/>
      <c r="Z15" s="61"/>
      <c r="AB15" s="78"/>
      <c r="AE15" s="79">
        <f>X13*X14</f>
        <v>3.8555999999999999</v>
      </c>
      <c r="AF15" s="79" t="str">
        <f>$J$69</f>
        <v>Calacata Altissimo Satin</v>
      </c>
      <c r="AG15" s="21">
        <f>$H$69*AH15</f>
        <v>4.8600000000000003</v>
      </c>
      <c r="AH15">
        <v>2</v>
      </c>
      <c r="AI15" s="72" t="s">
        <v>138</v>
      </c>
      <c r="AJ15" s="25">
        <f>AG15-AE15</f>
        <v>1.0044000000000004</v>
      </c>
      <c r="AP15" s="79">
        <v>3.8555999999999999</v>
      </c>
      <c r="AQ15" s="79" t="str">
        <f>$J$69</f>
        <v>Calacata Altissimo Satin</v>
      </c>
      <c r="AR15" s="21">
        <f>$H$69*AS15</f>
        <v>4.8600000000000003</v>
      </c>
      <c r="AS15">
        <v>2</v>
      </c>
      <c r="AT15" s="72" t="s">
        <v>138</v>
      </c>
      <c r="AU15" s="25">
        <f>AR15-AP15</f>
        <v>1.0044000000000004</v>
      </c>
    </row>
    <row r="16" spans="1:47">
      <c r="A16" s="72" t="s">
        <v>154</v>
      </c>
      <c r="B16" s="21"/>
      <c r="F16" s="25">
        <f t="shared" si="8"/>
        <v>0</v>
      </c>
      <c r="N16" s="22"/>
      <c r="O16">
        <v>0.4</v>
      </c>
      <c r="R16" s="22"/>
      <c r="V16" s="22"/>
      <c r="W16" s="82"/>
      <c r="X16" s="76"/>
      <c r="Y16" s="75"/>
      <c r="Z16" s="61"/>
      <c r="AB16" s="78"/>
      <c r="AE16" s="82">
        <f>X13*X14</f>
        <v>3.8555999999999999</v>
      </c>
      <c r="AF16" s="82" t="str">
        <f>J69</f>
        <v>Calacata Altissimo Satin</v>
      </c>
      <c r="AG16" s="21">
        <f>$H$69*AH16</f>
        <v>4.8600000000000003</v>
      </c>
      <c r="AH16">
        <v>2</v>
      </c>
      <c r="AI16" s="72" t="s">
        <v>138</v>
      </c>
      <c r="AJ16" s="25">
        <f t="shared" ref="AJ16:AJ19" si="9">AG16-AE16</f>
        <v>1.0044000000000004</v>
      </c>
      <c r="AP16" s="82">
        <v>3.8555999999999999</v>
      </c>
      <c r="AQ16" s="82">
        <f>R69</f>
        <v>0</v>
      </c>
      <c r="AR16" s="21">
        <f>$H$69*AS16</f>
        <v>4.8600000000000003</v>
      </c>
      <c r="AS16">
        <v>2</v>
      </c>
      <c r="AT16" s="72" t="s">
        <v>138</v>
      </c>
      <c r="AU16" s="25">
        <f t="shared" ref="AU16:AU17" si="10">AR16-AP16</f>
        <v>1.0044000000000004</v>
      </c>
    </row>
    <row r="17" spans="1:47">
      <c r="A17" s="72" t="s">
        <v>155</v>
      </c>
      <c r="B17" s="21"/>
      <c r="F17" s="25">
        <f t="shared" si="8"/>
        <v>0</v>
      </c>
      <c r="N17" s="22"/>
      <c r="R17" s="22"/>
      <c r="V17" s="22"/>
      <c r="W17" s="82"/>
      <c r="X17" s="76"/>
      <c r="Y17" s="61"/>
      <c r="Z17" s="61"/>
      <c r="AB17" s="78"/>
      <c r="AE17" s="84">
        <f>(Y20*X13)+(Z20*0.2)</f>
        <v>2.282</v>
      </c>
      <c r="AF17" s="84" t="str">
        <f>J69</f>
        <v>Calacata Altissimo Satin</v>
      </c>
      <c r="AG17" s="21">
        <f>$H$69*AH17</f>
        <v>2.4300000000000002</v>
      </c>
      <c r="AH17">
        <v>1</v>
      </c>
      <c r="AI17" s="72" t="s">
        <v>138</v>
      </c>
      <c r="AJ17" s="25">
        <f t="shared" si="9"/>
        <v>0.14800000000000013</v>
      </c>
      <c r="AP17" s="84">
        <v>2.282</v>
      </c>
      <c r="AQ17" s="84">
        <f>R69</f>
        <v>0</v>
      </c>
      <c r="AR17" s="21">
        <f>$H$69*AS17</f>
        <v>2.4300000000000002</v>
      </c>
      <c r="AS17">
        <v>1</v>
      </c>
      <c r="AT17" s="72" t="s">
        <v>138</v>
      </c>
      <c r="AU17" s="25">
        <f t="shared" si="10"/>
        <v>0.14800000000000013</v>
      </c>
    </row>
    <row r="18" spans="1:47">
      <c r="A18" s="72" t="s">
        <v>157</v>
      </c>
      <c r="B18" s="21"/>
      <c r="F18" s="25">
        <f t="shared" si="8"/>
        <v>0</v>
      </c>
      <c r="N18" s="22"/>
      <c r="R18" s="22"/>
      <c r="V18" s="22"/>
      <c r="W18" s="82"/>
      <c r="X18" s="76"/>
      <c r="Y18" s="61"/>
      <c r="Z18" s="61"/>
      <c r="AB18" s="78"/>
      <c r="AE18" s="81" t="s">
        <v>141</v>
      </c>
      <c r="AF18" s="81"/>
      <c r="AG18" s="21"/>
      <c r="AI18" s="72"/>
      <c r="AJ18" s="25"/>
      <c r="AP18" s="81" t="s">
        <v>141</v>
      </c>
      <c r="AQ18" s="81"/>
      <c r="AR18" s="21"/>
      <c r="AT18" s="72"/>
      <c r="AU18" s="25"/>
    </row>
    <row r="19" spans="1:47">
      <c r="A19" s="72" t="s">
        <v>158</v>
      </c>
      <c r="B19" s="21"/>
      <c r="F19" s="25">
        <f t="shared" si="8"/>
        <v>0</v>
      </c>
      <c r="N19" s="22"/>
      <c r="O19">
        <v>0.6</v>
      </c>
      <c r="P19">
        <v>0.6</v>
      </c>
      <c r="Q19">
        <v>0.6</v>
      </c>
      <c r="R19" s="22"/>
      <c r="V19" s="22"/>
      <c r="W19" s="82"/>
      <c r="X19" s="76"/>
      <c r="Y19" s="61"/>
      <c r="Z19" s="61"/>
      <c r="AB19" s="78"/>
      <c r="AE19">
        <f>Y12*X14</f>
        <v>2.5920000000000005</v>
      </c>
      <c r="AF19" t="str">
        <f>$J$69</f>
        <v>Calacata Altissimo Satin</v>
      </c>
      <c r="AG19" s="21">
        <f t="shared" ref="AG19" si="11">$H$69*AH19</f>
        <v>2.4300000000000002</v>
      </c>
      <c r="AH19">
        <v>1</v>
      </c>
      <c r="AI19" s="72" t="s">
        <v>138</v>
      </c>
      <c r="AJ19" s="25">
        <f t="shared" si="9"/>
        <v>-0.16200000000000037</v>
      </c>
      <c r="AP19">
        <v>2.5920000000000005</v>
      </c>
      <c r="AQ19" t="str">
        <f>$J$69</f>
        <v>Calacata Altissimo Satin</v>
      </c>
      <c r="AR19" s="21">
        <f t="shared" ref="AR19" si="12">$H$69*AS19</f>
        <v>2.4300000000000002</v>
      </c>
      <c r="AS19">
        <v>1</v>
      </c>
      <c r="AT19" s="72" t="s">
        <v>138</v>
      </c>
      <c r="AU19" s="25">
        <f t="shared" ref="AU19" si="13">AR19-AP19</f>
        <v>-0.16200000000000037</v>
      </c>
    </row>
    <row r="20" spans="1:47">
      <c r="A20" s="162" t="s">
        <v>182</v>
      </c>
      <c r="B20" s="21"/>
      <c r="D20">
        <f>415.6+36</f>
        <v>451.6</v>
      </c>
      <c r="F20" s="25">
        <f t="shared" si="8"/>
        <v>-451.6</v>
      </c>
      <c r="N20" s="22"/>
      <c r="O20" s="169">
        <v>1.2</v>
      </c>
      <c r="P20" s="169"/>
      <c r="R20" s="22"/>
      <c r="V20" s="22"/>
      <c r="Y20" s="84">
        <v>0.9</v>
      </c>
      <c r="Z20" s="84">
        <f>(Y12-Y20)</f>
        <v>0.70000000000000007</v>
      </c>
      <c r="AF20" s="25"/>
      <c r="AH20">
        <f>SUM(AH15:AH19)</f>
        <v>6</v>
      </c>
      <c r="AJ20" s="87">
        <f>SUM(AJ13:AJ19)</f>
        <v>3.0468000000000011</v>
      </c>
      <c r="AS20">
        <f>SUM(AS15:AS19)</f>
        <v>6</v>
      </c>
      <c r="AU20" s="87">
        <f>SUM(AU13:AU19)</f>
        <v>0.6168000000000009</v>
      </c>
    </row>
    <row r="21" spans="1:47">
      <c r="A21" s="162" t="s">
        <v>183</v>
      </c>
      <c r="B21" s="21"/>
      <c r="D21">
        <v>690</v>
      </c>
      <c r="F21" s="25">
        <f t="shared" si="8"/>
        <v>-690</v>
      </c>
      <c r="N21" s="22"/>
      <c r="O21" s="169">
        <v>1.8</v>
      </c>
      <c r="P21" s="169"/>
      <c r="Q21" s="169"/>
      <c r="R21" s="22"/>
      <c r="V21" s="22"/>
      <c r="Y21" s="74"/>
    </row>
    <row r="22" spans="1:47">
      <c r="A22" s="162" t="s">
        <v>184</v>
      </c>
      <c r="B22" s="21">
        <f>3*90</f>
        <v>270</v>
      </c>
      <c r="D22">
        <v>250</v>
      </c>
      <c r="F22" s="25">
        <f t="shared" si="8"/>
        <v>20</v>
      </c>
      <c r="N22" s="22"/>
      <c r="O22" s="160"/>
      <c r="P22" s="160"/>
      <c r="Q22" s="160"/>
      <c r="R22" s="22"/>
      <c r="V22" s="22"/>
      <c r="Y22" s="74"/>
    </row>
    <row r="23" spans="1:47">
      <c r="B23" s="21"/>
      <c r="F23" s="25">
        <f t="shared" si="8"/>
        <v>0</v>
      </c>
      <c r="N23" s="22"/>
      <c r="O23" s="160"/>
      <c r="P23" s="160"/>
      <c r="Q23" s="160"/>
      <c r="R23" s="22"/>
      <c r="V23" s="22"/>
      <c r="Y23" s="74"/>
    </row>
    <row r="24" spans="1:47">
      <c r="B24" s="97">
        <f>SUBTOTAL(9,B11:B21)</f>
        <v>8938.5869999999995</v>
      </c>
      <c r="C24" s="104"/>
      <c r="D24" s="97">
        <f>SUBTOTAL(9,D11:D21)</f>
        <v>9487.6899999999987</v>
      </c>
      <c r="E24" s="21">
        <f>D24/B24</f>
        <v>1.0614306265632363</v>
      </c>
      <c r="F24" s="97">
        <f>SUBTOTAL(9,F11:F21)</f>
        <v>-549.10299999999927</v>
      </c>
      <c r="N24" s="22"/>
      <c r="R24" s="22"/>
      <c r="V24" s="22"/>
      <c r="Y24" s="74"/>
      <c r="AA24" s="72" t="s">
        <v>147</v>
      </c>
      <c r="AC24" s="72" t="s">
        <v>144</v>
      </c>
      <c r="AD24" s="72"/>
      <c r="AE24">
        <f>AE3</f>
        <v>5.5671000000000008</v>
      </c>
      <c r="AF24" s="25">
        <f>$F$65</f>
        <v>97</v>
      </c>
      <c r="AG24" s="21">
        <f>$H$65*AH24</f>
        <v>7.2900000000000009</v>
      </c>
      <c r="AH24">
        <v>3</v>
      </c>
      <c r="AJ24" s="25">
        <f>AG24*AF24</f>
        <v>707.13000000000011</v>
      </c>
      <c r="AL24" s="72" t="s">
        <v>147</v>
      </c>
      <c r="AN24" s="72" t="s">
        <v>144</v>
      </c>
      <c r="AO24" s="72"/>
      <c r="AP24">
        <f>AP3</f>
        <v>5.5671000000000008</v>
      </c>
      <c r="AQ24" s="25">
        <f>$F$65</f>
        <v>97</v>
      </c>
      <c r="AR24" s="21">
        <f>$H$65*AS24</f>
        <v>7.2900000000000009</v>
      </c>
      <c r="AS24">
        <v>3</v>
      </c>
      <c r="AU24" s="25">
        <f>AR24*AQ24</f>
        <v>707.13000000000011</v>
      </c>
    </row>
    <row r="25" spans="1:47">
      <c r="N25" s="22"/>
      <c r="R25" s="22"/>
      <c r="V25" s="22"/>
      <c r="Y25" s="74"/>
      <c r="AC25" s="83" t="str">
        <f>$J$69</f>
        <v>Calacata Altissimo Satin</v>
      </c>
      <c r="AD25" s="83"/>
      <c r="AE25">
        <f>SUM(AE5:AE10)</f>
        <v>12.4833</v>
      </c>
      <c r="AF25" s="25">
        <f>$F$69</f>
        <v>99.9</v>
      </c>
      <c r="AG25" s="21">
        <f t="shared" ref="AG25" si="14">$H$69*AH25</f>
        <v>12.15</v>
      </c>
      <c r="AH25">
        <v>5</v>
      </c>
      <c r="AJ25" s="25">
        <f t="shared" ref="AJ25:AJ28" si="15">AG25*AF25</f>
        <v>1213.7850000000001</v>
      </c>
      <c r="AN25" s="83" t="str">
        <f>$J$69</f>
        <v>Calacata Altissimo Satin</v>
      </c>
      <c r="AO25" s="83"/>
      <c r="AP25">
        <f>SUM(AP5:AP10)</f>
        <v>12.4833</v>
      </c>
      <c r="AQ25" s="25">
        <f>AA69</f>
        <v>59.9</v>
      </c>
      <c r="AR25" s="21">
        <f t="shared" ref="AR25" si="16">$H$69*AS25</f>
        <v>17.010000000000002</v>
      </c>
      <c r="AS25">
        <v>7</v>
      </c>
      <c r="AU25" s="25">
        <f t="shared" ref="AU25" si="17">AR25*AQ25</f>
        <v>1018.8990000000001</v>
      </c>
    </row>
    <row r="26" spans="1:47">
      <c r="N26" s="22"/>
      <c r="R26" s="22"/>
      <c r="V26" s="22"/>
      <c r="Y26" s="74"/>
      <c r="AC26" s="83"/>
      <c r="AD26" s="83"/>
      <c r="AF26" s="25"/>
      <c r="AJ26" s="25"/>
      <c r="AN26" s="83"/>
      <c r="AO26" s="83"/>
      <c r="AQ26" s="25"/>
      <c r="AU26" s="25"/>
    </row>
    <row r="27" spans="1:47">
      <c r="N27" s="22"/>
      <c r="R27" s="22"/>
      <c r="V27" s="22"/>
      <c r="Y27" s="74"/>
      <c r="AA27" s="72" t="s">
        <v>146</v>
      </c>
      <c r="AC27" s="72" t="s">
        <v>144</v>
      </c>
      <c r="AE27">
        <f>AE13</f>
        <v>3.8079999999999998</v>
      </c>
      <c r="AF27" s="25">
        <f>$F$65</f>
        <v>97</v>
      </c>
      <c r="AG27" s="21">
        <f>$H$65*AH27</f>
        <v>7.2900000000000009</v>
      </c>
      <c r="AH27">
        <v>3</v>
      </c>
      <c r="AJ27" s="25">
        <f t="shared" si="15"/>
        <v>707.13000000000011</v>
      </c>
      <c r="AL27" s="72" t="s">
        <v>146</v>
      </c>
      <c r="AN27" s="72" t="s">
        <v>144</v>
      </c>
      <c r="AP27">
        <f>AP13</f>
        <v>3.8079999999999998</v>
      </c>
      <c r="AQ27" s="25">
        <f>$F$65</f>
        <v>97</v>
      </c>
      <c r="AR27" s="21">
        <f>$H$65*AS27</f>
        <v>7.2900000000000009</v>
      </c>
      <c r="AS27">
        <v>3</v>
      </c>
      <c r="AU27" s="25">
        <f t="shared" ref="AU27:AU28" si="18">AR27*AQ27</f>
        <v>707.13000000000011</v>
      </c>
    </row>
    <row r="28" spans="1:47">
      <c r="N28" s="22"/>
      <c r="R28" s="22"/>
      <c r="V28" s="22"/>
      <c r="Y28" s="74"/>
      <c r="AC28" s="83" t="str">
        <f>$J$69</f>
        <v>Calacata Altissimo Satin</v>
      </c>
      <c r="AE28">
        <f>SUM(AE15:AE19)</f>
        <v>12.5852</v>
      </c>
      <c r="AF28" s="25">
        <f>$F$69</f>
        <v>99.9</v>
      </c>
      <c r="AG28" s="21">
        <f t="shared" ref="AG28" si="19">$H$69*AH28</f>
        <v>14.580000000000002</v>
      </c>
      <c r="AH28">
        <v>6</v>
      </c>
      <c r="AJ28" s="25">
        <f t="shared" si="15"/>
        <v>1456.5420000000004</v>
      </c>
      <c r="AN28" s="83" t="str">
        <f>$J$69</f>
        <v>Calacata Altissimo Satin</v>
      </c>
      <c r="AP28">
        <f>SUM(AP15:AP19)</f>
        <v>12.5852</v>
      </c>
      <c r="AQ28" s="25">
        <f>AA69</f>
        <v>59.9</v>
      </c>
      <c r="AR28" s="21">
        <f t="shared" ref="AR28" si="20">$H$69*AS28</f>
        <v>17.010000000000002</v>
      </c>
      <c r="AS28">
        <v>7</v>
      </c>
      <c r="AU28" s="25">
        <f t="shared" si="18"/>
        <v>1018.8990000000001</v>
      </c>
    </row>
    <row r="29" spans="1:47" ht="15.75">
      <c r="N29" s="22"/>
      <c r="R29" s="22"/>
      <c r="V29" s="22"/>
      <c r="Y29" s="23"/>
      <c r="AJ29" s="94">
        <f>SUBTOTAL(9,AJ24:AJ28)</f>
        <v>4084.5870000000004</v>
      </c>
      <c r="AU29" s="94">
        <f>SUBTOTAL(9,AU24:AU28)</f>
        <v>3452.0580000000009</v>
      </c>
    </row>
    <row r="30" spans="1:47">
      <c r="A30" s="22" t="s">
        <v>70</v>
      </c>
      <c r="B30" s="22" t="s">
        <v>69</v>
      </c>
      <c r="D30" s="22" t="s">
        <v>34</v>
      </c>
      <c r="E30" s="22" t="s">
        <v>35</v>
      </c>
      <c r="F30" s="22" t="s">
        <v>37</v>
      </c>
      <c r="G30" s="24" t="s">
        <v>61</v>
      </c>
      <c r="H30" s="22" t="s">
        <v>36</v>
      </c>
      <c r="I30" s="22" t="s">
        <v>42</v>
      </c>
      <c r="J30" s="22" t="s">
        <v>71</v>
      </c>
      <c r="L30">
        <v>1</v>
      </c>
    </row>
    <row r="31" spans="1:47" hidden="1">
      <c r="A31" s="22" t="s">
        <v>58</v>
      </c>
      <c r="B31" s="22" t="s">
        <v>40</v>
      </c>
      <c r="C31" s="22" t="s">
        <v>45</v>
      </c>
      <c r="D31" s="22">
        <v>0.45</v>
      </c>
      <c r="E31" s="22">
        <v>0.9</v>
      </c>
      <c r="F31" s="21">
        <v>99.9</v>
      </c>
      <c r="G31" s="4">
        <v>5</v>
      </c>
      <c r="H31" s="22">
        <f>D31*E31*G31</f>
        <v>2.0250000000000004</v>
      </c>
      <c r="I31" s="23">
        <f>H31*F31</f>
        <v>202.29750000000004</v>
      </c>
      <c r="J31" s="22" t="s">
        <v>43</v>
      </c>
      <c r="L31" s="25">
        <f>F31*$L$30</f>
        <v>99.9</v>
      </c>
      <c r="N31" s="22" t="s">
        <v>78</v>
      </c>
      <c r="P31" s="22" t="s">
        <v>76</v>
      </c>
    </row>
    <row r="32" spans="1:47" hidden="1">
      <c r="A32" s="22" t="s">
        <v>58</v>
      </c>
      <c r="B32" s="22" t="s">
        <v>38</v>
      </c>
      <c r="C32" s="22" t="s">
        <v>45</v>
      </c>
      <c r="D32" s="22">
        <v>0.9</v>
      </c>
      <c r="E32" s="22">
        <v>0.45</v>
      </c>
      <c r="F32" s="21">
        <v>69.900000000000006</v>
      </c>
      <c r="G32" s="4">
        <v>5</v>
      </c>
      <c r="H32" s="22">
        <f>D32*E32*G32</f>
        <v>2.0250000000000004</v>
      </c>
      <c r="I32" s="23">
        <f>H32*F32</f>
        <v>141.54750000000004</v>
      </c>
      <c r="J32" s="22" t="s">
        <v>44</v>
      </c>
      <c r="N32" s="22"/>
      <c r="P32" s="22" t="s">
        <v>76</v>
      </c>
    </row>
    <row r="33" spans="1:16" hidden="1">
      <c r="A33" s="22" t="s">
        <v>58</v>
      </c>
      <c r="B33" s="22" t="s">
        <v>38</v>
      </c>
      <c r="C33" s="22" t="s">
        <v>45</v>
      </c>
      <c r="D33" s="22">
        <v>0.45</v>
      </c>
      <c r="E33" s="22">
        <v>0.9</v>
      </c>
      <c r="F33" s="21">
        <v>125.9</v>
      </c>
      <c r="G33" s="4">
        <v>5</v>
      </c>
      <c r="H33" s="22">
        <f>D33*E33*G33</f>
        <v>2.0250000000000004</v>
      </c>
      <c r="I33" s="23">
        <f>H33*F33</f>
        <v>254.94750000000005</v>
      </c>
      <c r="J33" s="22" t="s">
        <v>39</v>
      </c>
      <c r="N33" s="22" t="s">
        <v>77</v>
      </c>
      <c r="P33" s="22" t="s">
        <v>76</v>
      </c>
    </row>
    <row r="34" spans="1:16" hidden="1">
      <c r="A34" s="22" t="s">
        <v>58</v>
      </c>
      <c r="B34" s="22" t="s">
        <v>40</v>
      </c>
      <c r="C34" s="22" t="s">
        <v>46</v>
      </c>
      <c r="D34" s="22">
        <v>0.63</v>
      </c>
      <c r="E34" s="22">
        <v>1.08</v>
      </c>
      <c r="F34" s="21">
        <v>113.9</v>
      </c>
      <c r="G34" s="4">
        <v>5</v>
      </c>
      <c r="H34" s="22">
        <f>D34*E34*G34</f>
        <v>3.4020000000000001</v>
      </c>
      <c r="I34" s="23">
        <f>H34*F34</f>
        <v>387.48780000000005</v>
      </c>
      <c r="J34" s="22" t="s">
        <v>41</v>
      </c>
      <c r="N34" s="22" t="s">
        <v>75</v>
      </c>
    </row>
    <row r="35" spans="1:16" hidden="1">
      <c r="A35" s="22" t="s">
        <v>58</v>
      </c>
      <c r="B35" s="22" t="s">
        <v>65</v>
      </c>
      <c r="F35" s="21"/>
      <c r="H35">
        <v>1</v>
      </c>
    </row>
    <row r="36" spans="1:16" hidden="1">
      <c r="A36" s="22" t="s">
        <v>58</v>
      </c>
      <c r="B36" s="22" t="s">
        <v>47</v>
      </c>
      <c r="F36" s="21">
        <v>1879.9</v>
      </c>
      <c r="H36">
        <v>1</v>
      </c>
      <c r="I36" s="23">
        <f>H36*F36</f>
        <v>1879.9</v>
      </c>
      <c r="J36" s="22" t="s">
        <v>48</v>
      </c>
    </row>
    <row r="37" spans="1:16" hidden="1">
      <c r="A37" s="22" t="s">
        <v>58</v>
      </c>
      <c r="B37" s="22" t="s">
        <v>49</v>
      </c>
      <c r="F37" s="21">
        <v>350</v>
      </c>
      <c r="H37">
        <v>1</v>
      </c>
      <c r="I37" s="23">
        <f t="shared" ref="I37:I41" si="21">H37*F37</f>
        <v>350</v>
      </c>
    </row>
    <row r="38" spans="1:16" hidden="1">
      <c r="A38" s="22" t="s">
        <v>58</v>
      </c>
      <c r="B38" s="22" t="s">
        <v>50</v>
      </c>
      <c r="F38" s="21">
        <v>600</v>
      </c>
      <c r="H38">
        <v>1</v>
      </c>
      <c r="I38" s="23">
        <f t="shared" si="21"/>
        <v>600</v>
      </c>
    </row>
    <row r="39" spans="1:16" hidden="1">
      <c r="A39" s="22" t="s">
        <v>58</v>
      </c>
      <c r="B39" s="22" t="s">
        <v>51</v>
      </c>
      <c r="H39">
        <v>1</v>
      </c>
      <c r="I39" s="23">
        <f t="shared" si="21"/>
        <v>0</v>
      </c>
    </row>
    <row r="40" spans="1:16" hidden="1">
      <c r="A40" s="22" t="s">
        <v>58</v>
      </c>
      <c r="B40" s="22" t="s">
        <v>52</v>
      </c>
      <c r="F40">
        <v>640</v>
      </c>
      <c r="H40">
        <v>1</v>
      </c>
      <c r="I40" s="23">
        <f t="shared" si="21"/>
        <v>640</v>
      </c>
    </row>
    <row r="41" spans="1:16" hidden="1">
      <c r="A41" s="22" t="s">
        <v>58</v>
      </c>
      <c r="B41" s="22" t="s">
        <v>53</v>
      </c>
      <c r="H41">
        <v>1</v>
      </c>
      <c r="I41" s="23">
        <f t="shared" si="21"/>
        <v>0</v>
      </c>
    </row>
    <row r="42" spans="1:16" hidden="1">
      <c r="A42" s="22" t="s">
        <v>54</v>
      </c>
      <c r="B42" s="22" t="s">
        <v>40</v>
      </c>
      <c r="C42" s="22" t="s">
        <v>45</v>
      </c>
      <c r="D42" s="22">
        <v>0.45</v>
      </c>
      <c r="E42" s="22">
        <v>0.9</v>
      </c>
      <c r="F42" s="21">
        <v>100.99</v>
      </c>
      <c r="G42" s="4">
        <v>5</v>
      </c>
      <c r="H42" s="22">
        <f>D42*E42*G42</f>
        <v>2.0250000000000004</v>
      </c>
      <c r="I42" s="23">
        <f>H42*F42</f>
        <v>204.50475000000003</v>
      </c>
      <c r="J42" s="22" t="s">
        <v>43</v>
      </c>
      <c r="N42" s="22" t="s">
        <v>78</v>
      </c>
      <c r="P42" s="22" t="s">
        <v>76</v>
      </c>
    </row>
    <row r="43" spans="1:16" hidden="1">
      <c r="A43" s="22" t="s">
        <v>54</v>
      </c>
      <c r="B43" s="22" t="s">
        <v>38</v>
      </c>
      <c r="C43" s="22" t="s">
        <v>45</v>
      </c>
      <c r="D43" s="22">
        <v>0.45</v>
      </c>
      <c r="E43" s="22">
        <v>0.9</v>
      </c>
      <c r="F43" s="21">
        <v>113.99</v>
      </c>
      <c r="G43" s="4">
        <v>5</v>
      </c>
      <c r="H43" s="22">
        <f>D43*E43*G43</f>
        <v>2.0250000000000004</v>
      </c>
      <c r="I43" s="23">
        <f>H43*F43</f>
        <v>230.82975000000002</v>
      </c>
      <c r="J43" s="22" t="s">
        <v>39</v>
      </c>
      <c r="N43" s="22" t="s">
        <v>77</v>
      </c>
      <c r="P43" s="22" t="s">
        <v>76</v>
      </c>
    </row>
    <row r="44" spans="1:16" hidden="1">
      <c r="A44" s="22" t="s">
        <v>54</v>
      </c>
      <c r="B44" s="22" t="s">
        <v>40</v>
      </c>
      <c r="C44" s="22" t="s">
        <v>46</v>
      </c>
      <c r="D44" s="22">
        <v>0.6</v>
      </c>
      <c r="E44" s="22">
        <v>1.2</v>
      </c>
      <c r="F44" s="21">
        <v>105</v>
      </c>
      <c r="G44" s="4">
        <v>5</v>
      </c>
      <c r="H44" s="22">
        <f>D44*E44*G44</f>
        <v>3.5999999999999996</v>
      </c>
      <c r="I44" s="23">
        <f>H44*F44</f>
        <v>377.99999999999994</v>
      </c>
      <c r="J44" s="22" t="s">
        <v>55</v>
      </c>
      <c r="N44" s="22"/>
    </row>
    <row r="45" spans="1:16" hidden="1">
      <c r="A45" s="22" t="s">
        <v>54</v>
      </c>
      <c r="B45" s="22" t="s">
        <v>40</v>
      </c>
      <c r="C45" s="22" t="s">
        <v>46</v>
      </c>
      <c r="D45" s="22">
        <v>0.9</v>
      </c>
      <c r="E45" s="22">
        <v>0.9</v>
      </c>
      <c r="F45" s="21">
        <v>109</v>
      </c>
      <c r="G45" s="4">
        <v>5</v>
      </c>
      <c r="H45" s="22">
        <f>D45*E45*G45</f>
        <v>4.0500000000000007</v>
      </c>
      <c r="I45" s="23">
        <f>H45*F45</f>
        <v>441.4500000000001</v>
      </c>
      <c r="J45" s="22" t="s">
        <v>55</v>
      </c>
      <c r="N45" s="22" t="s">
        <v>75</v>
      </c>
    </row>
    <row r="46" spans="1:16" hidden="1">
      <c r="A46" s="22" t="s">
        <v>54</v>
      </c>
      <c r="B46" s="22" t="s">
        <v>65</v>
      </c>
      <c r="F46" s="21"/>
      <c r="H46">
        <v>1</v>
      </c>
    </row>
    <row r="47" spans="1:16" hidden="1">
      <c r="A47" s="22" t="s">
        <v>54</v>
      </c>
      <c r="B47" s="22" t="s">
        <v>47</v>
      </c>
      <c r="F47" s="21">
        <v>1499</v>
      </c>
      <c r="H47">
        <v>1</v>
      </c>
      <c r="I47" s="23">
        <f>H47*F47</f>
        <v>1499</v>
      </c>
      <c r="J47" s="22" t="s">
        <v>48</v>
      </c>
    </row>
    <row r="48" spans="1:16" hidden="1">
      <c r="A48" s="22" t="s">
        <v>54</v>
      </c>
      <c r="B48" s="22" t="s">
        <v>49</v>
      </c>
      <c r="F48" s="21"/>
      <c r="H48">
        <v>1</v>
      </c>
      <c r="I48" s="23">
        <f t="shared" ref="I48:I52" si="22">H48*F48</f>
        <v>0</v>
      </c>
    </row>
    <row r="49" spans="1:16" hidden="1">
      <c r="A49" s="22" t="s">
        <v>54</v>
      </c>
      <c r="B49" s="22" t="s">
        <v>50</v>
      </c>
      <c r="F49">
        <v>1350</v>
      </c>
      <c r="H49">
        <v>1</v>
      </c>
      <c r="I49" s="23">
        <f t="shared" si="22"/>
        <v>1350</v>
      </c>
    </row>
    <row r="50" spans="1:16" hidden="1">
      <c r="A50" s="22" t="s">
        <v>54</v>
      </c>
      <c r="B50" s="22" t="s">
        <v>51</v>
      </c>
      <c r="H50">
        <v>1</v>
      </c>
      <c r="I50" s="23">
        <f t="shared" si="22"/>
        <v>0</v>
      </c>
    </row>
    <row r="51" spans="1:16" hidden="1">
      <c r="A51" s="22" t="s">
        <v>54</v>
      </c>
      <c r="B51" s="22" t="s">
        <v>52</v>
      </c>
      <c r="H51">
        <v>1</v>
      </c>
      <c r="I51" s="23">
        <f t="shared" si="22"/>
        <v>0</v>
      </c>
    </row>
    <row r="52" spans="1:16" hidden="1">
      <c r="A52" s="22" t="s">
        <v>54</v>
      </c>
      <c r="B52" s="22" t="s">
        <v>53</v>
      </c>
      <c r="H52">
        <v>1</v>
      </c>
      <c r="I52" s="23">
        <f t="shared" si="22"/>
        <v>0</v>
      </c>
    </row>
    <row r="53" spans="1:16" hidden="1">
      <c r="A53" s="22" t="s">
        <v>56</v>
      </c>
      <c r="B53" s="22" t="s">
        <v>57</v>
      </c>
      <c r="C53" s="22" t="s">
        <v>45</v>
      </c>
      <c r="D53" s="22">
        <v>0.32</v>
      </c>
      <c r="E53" s="22">
        <v>0.6</v>
      </c>
      <c r="F53" s="21">
        <v>46.9</v>
      </c>
      <c r="G53" s="4">
        <v>16</v>
      </c>
      <c r="H53" s="22">
        <f>D53*E53*G53</f>
        <v>3.0720000000000001</v>
      </c>
      <c r="I53" s="23">
        <f>H53*F53</f>
        <v>144.07679999999999</v>
      </c>
      <c r="J53" s="22" t="s">
        <v>43</v>
      </c>
      <c r="L53" s="22" t="s">
        <v>62</v>
      </c>
      <c r="M53" s="22" t="s">
        <v>59</v>
      </c>
      <c r="N53" s="24" t="s">
        <v>78</v>
      </c>
      <c r="P53" s="22" t="s">
        <v>76</v>
      </c>
    </row>
    <row r="54" spans="1:16" hidden="1">
      <c r="A54" s="22" t="s">
        <v>56</v>
      </c>
      <c r="B54" s="22" t="s">
        <v>38</v>
      </c>
      <c r="C54" s="22" t="s">
        <v>45</v>
      </c>
      <c r="D54" s="22">
        <v>0.45</v>
      </c>
      <c r="E54" s="22">
        <v>0.9</v>
      </c>
      <c r="F54" s="21">
        <v>129</v>
      </c>
      <c r="G54" s="4">
        <v>5</v>
      </c>
      <c r="H54" s="22">
        <f>D54*E54*G54</f>
        <v>2.0250000000000004</v>
      </c>
      <c r="I54" s="23">
        <f>H54*F54</f>
        <v>261.22500000000002</v>
      </c>
      <c r="J54" s="22" t="s">
        <v>39</v>
      </c>
      <c r="N54" s="22" t="s">
        <v>74</v>
      </c>
      <c r="P54" s="22" t="s">
        <v>76</v>
      </c>
    </row>
    <row r="55" spans="1:16" hidden="1">
      <c r="A55" s="22" t="s">
        <v>56</v>
      </c>
      <c r="B55" s="22" t="s">
        <v>40</v>
      </c>
      <c r="C55" s="22" t="s">
        <v>46</v>
      </c>
      <c r="D55" s="22">
        <v>0.62</v>
      </c>
      <c r="E55" s="22">
        <v>1.2</v>
      </c>
      <c r="F55" s="21">
        <v>97.9</v>
      </c>
      <c r="G55" s="4">
        <v>4</v>
      </c>
      <c r="H55" s="22">
        <f>D55*E55*G55</f>
        <v>2.976</v>
      </c>
      <c r="I55" s="23">
        <f>H55*F55</f>
        <v>291.35040000000004</v>
      </c>
      <c r="J55" s="22" t="s">
        <v>60</v>
      </c>
      <c r="L55" s="22" t="s">
        <v>62</v>
      </c>
      <c r="N55" s="22" t="s">
        <v>75</v>
      </c>
    </row>
    <row r="56" spans="1:16" hidden="1">
      <c r="A56" s="22" t="s">
        <v>56</v>
      </c>
      <c r="B56" s="22" t="s">
        <v>40</v>
      </c>
      <c r="C56" s="22" t="s">
        <v>46</v>
      </c>
      <c r="D56" s="22">
        <v>0.6</v>
      </c>
      <c r="E56" s="22">
        <v>1.2</v>
      </c>
      <c r="F56" s="21">
        <v>123.9</v>
      </c>
      <c r="G56" s="4">
        <v>5</v>
      </c>
      <c r="H56" s="22">
        <f>D56*E56*G56</f>
        <v>3.5999999999999996</v>
      </c>
      <c r="I56" s="23">
        <f>H56*F56</f>
        <v>446.03999999999996</v>
      </c>
      <c r="J56" s="22" t="s">
        <v>55</v>
      </c>
      <c r="N56" s="22"/>
    </row>
    <row r="57" spans="1:16" hidden="1">
      <c r="A57" s="22" t="s">
        <v>56</v>
      </c>
      <c r="B57" s="22" t="s">
        <v>40</v>
      </c>
      <c r="C57" s="22" t="s">
        <v>46</v>
      </c>
      <c r="D57" s="22">
        <v>0.88</v>
      </c>
      <c r="E57" s="22">
        <v>0.88</v>
      </c>
      <c r="F57" s="21">
        <v>134.9</v>
      </c>
      <c r="G57" s="4">
        <v>2</v>
      </c>
      <c r="H57" s="22">
        <f>D57*E57*G57</f>
        <v>1.5488</v>
      </c>
      <c r="I57" s="23">
        <f>H57*F57</f>
        <v>208.93312</v>
      </c>
      <c r="J57" s="22" t="s">
        <v>63</v>
      </c>
      <c r="N57" s="22"/>
    </row>
    <row r="58" spans="1:16" hidden="1">
      <c r="A58" s="22" t="s">
        <v>56</v>
      </c>
      <c r="B58" s="22" t="s">
        <v>65</v>
      </c>
      <c r="F58" s="21"/>
      <c r="H58">
        <v>1</v>
      </c>
    </row>
    <row r="59" spans="1:16" hidden="1">
      <c r="A59" s="22" t="s">
        <v>56</v>
      </c>
      <c r="B59" s="22" t="s">
        <v>47</v>
      </c>
      <c r="F59" s="21">
        <v>1499</v>
      </c>
      <c r="H59">
        <v>1</v>
      </c>
      <c r="I59" s="23">
        <f>H59*F59</f>
        <v>1499</v>
      </c>
      <c r="J59" s="22" t="s">
        <v>48</v>
      </c>
    </row>
    <row r="60" spans="1:16" hidden="1">
      <c r="A60" s="22" t="s">
        <v>56</v>
      </c>
      <c r="B60" s="22" t="s">
        <v>49</v>
      </c>
      <c r="F60" s="21">
        <v>300</v>
      </c>
      <c r="H60">
        <v>1</v>
      </c>
      <c r="I60" s="23">
        <f t="shared" ref="I60:I64" si="23">H60*F60</f>
        <v>300</v>
      </c>
      <c r="L60" s="22" t="s">
        <v>62</v>
      </c>
    </row>
    <row r="61" spans="1:16" hidden="1">
      <c r="A61" s="22" t="s">
        <v>56</v>
      </c>
      <c r="B61" s="22" t="s">
        <v>50</v>
      </c>
      <c r="F61">
        <v>1350</v>
      </c>
      <c r="H61">
        <v>1</v>
      </c>
      <c r="I61" s="23">
        <f t="shared" si="23"/>
        <v>1350</v>
      </c>
    </row>
    <row r="62" spans="1:16" hidden="1">
      <c r="A62" s="22" t="s">
        <v>56</v>
      </c>
      <c r="B62" s="22" t="s">
        <v>51</v>
      </c>
      <c r="H62">
        <v>1</v>
      </c>
      <c r="I62" s="23">
        <f t="shared" si="23"/>
        <v>0</v>
      </c>
    </row>
    <row r="63" spans="1:16" hidden="1">
      <c r="A63" s="22" t="s">
        <v>56</v>
      </c>
      <c r="B63" s="22" t="s">
        <v>52</v>
      </c>
      <c r="H63">
        <v>1</v>
      </c>
      <c r="I63" s="23">
        <f t="shared" si="23"/>
        <v>0</v>
      </c>
    </row>
    <row r="64" spans="1:16" hidden="1">
      <c r="A64" s="22" t="s">
        <v>56</v>
      </c>
      <c r="B64" s="22" t="s">
        <v>53</v>
      </c>
      <c r="H64">
        <v>1</v>
      </c>
      <c r="I64" s="23">
        <f t="shared" si="23"/>
        <v>0</v>
      </c>
    </row>
    <row r="65" spans="1:34">
      <c r="A65" s="22" t="s">
        <v>64</v>
      </c>
      <c r="B65" s="22" t="s">
        <v>57</v>
      </c>
      <c r="C65" s="22" t="s">
        <v>45</v>
      </c>
      <c r="D65" s="22">
        <v>0.45</v>
      </c>
      <c r="E65" s="22">
        <v>0.9</v>
      </c>
      <c r="F65" s="21">
        <v>97</v>
      </c>
      <c r="G65" s="4">
        <v>6</v>
      </c>
      <c r="H65" s="22">
        <f>D65*E65*G65</f>
        <v>2.4300000000000002</v>
      </c>
      <c r="I65" s="23">
        <f>H65*F65</f>
        <v>235.71</v>
      </c>
      <c r="J65" s="72" t="s">
        <v>135</v>
      </c>
      <c r="L65" s="22" t="s">
        <v>62</v>
      </c>
      <c r="M65" s="22" t="s">
        <v>59</v>
      </c>
      <c r="N65" s="22" t="s">
        <v>77</v>
      </c>
      <c r="P65" s="22" t="s">
        <v>76</v>
      </c>
      <c r="X65" s="22" t="s">
        <v>45</v>
      </c>
      <c r="Y65" s="22">
        <v>0.28799999999999998</v>
      </c>
      <c r="Z65" s="22">
        <v>1.19</v>
      </c>
      <c r="AA65" s="91">
        <v>119.9</v>
      </c>
      <c r="AB65" s="92">
        <v>6</v>
      </c>
      <c r="AC65" s="21">
        <v>2.0563199999999999</v>
      </c>
      <c r="AD65" s="21">
        <v>246.55276800000001</v>
      </c>
      <c r="AE65" t="s">
        <v>135</v>
      </c>
      <c r="AF65" s="72" t="s">
        <v>149</v>
      </c>
      <c r="AG65" s="93" t="s">
        <v>148</v>
      </c>
    </row>
    <row r="66" spans="1:34">
      <c r="A66" s="22" t="s">
        <v>64</v>
      </c>
      <c r="B66" s="22" t="s">
        <v>38</v>
      </c>
      <c r="C66" s="22" t="s">
        <v>45</v>
      </c>
      <c r="D66" s="22">
        <v>0.45</v>
      </c>
      <c r="E66" s="22">
        <v>0.9</v>
      </c>
      <c r="F66" s="21">
        <v>129</v>
      </c>
      <c r="G66" s="4">
        <v>5</v>
      </c>
      <c r="H66" s="22">
        <f>D66*E66*G66</f>
        <v>2.0250000000000004</v>
      </c>
      <c r="I66" s="23">
        <f>H66*F66</f>
        <v>261.22500000000002</v>
      </c>
      <c r="J66" s="22" t="s">
        <v>39</v>
      </c>
      <c r="N66" s="22" t="s">
        <v>74</v>
      </c>
      <c r="P66" s="22" t="s">
        <v>76</v>
      </c>
      <c r="X66" s="22"/>
      <c r="Y66" s="22"/>
      <c r="Z66" s="22"/>
      <c r="AA66" s="22"/>
      <c r="AB66" s="21"/>
      <c r="AC66" s="21"/>
      <c r="AD66" s="21"/>
      <c r="AF66" s="22"/>
      <c r="AG66" s="23"/>
      <c r="AH66" s="22"/>
    </row>
    <row r="67" spans="1:34">
      <c r="A67" s="22" t="s">
        <v>64</v>
      </c>
      <c r="B67" s="22" t="s">
        <v>40</v>
      </c>
      <c r="C67" s="22" t="s">
        <v>46</v>
      </c>
      <c r="D67" s="22">
        <v>0.9</v>
      </c>
      <c r="E67" s="22">
        <v>0.9</v>
      </c>
      <c r="F67" s="21">
        <v>76.900000000000006</v>
      </c>
      <c r="G67" s="4">
        <v>3</v>
      </c>
      <c r="H67" s="22">
        <f>D67*E67*G67</f>
        <v>2.4300000000000002</v>
      </c>
      <c r="I67" s="23">
        <f>H67*F67</f>
        <v>186.86700000000002</v>
      </c>
      <c r="J67" s="22" t="s">
        <v>67</v>
      </c>
      <c r="L67" s="22" t="s">
        <v>62</v>
      </c>
      <c r="N67" s="22" t="s">
        <v>75</v>
      </c>
      <c r="X67" s="22"/>
      <c r="Y67" s="22"/>
      <c r="Z67" s="22"/>
      <c r="AA67" s="22"/>
      <c r="AB67" s="21"/>
      <c r="AC67" s="21"/>
      <c r="AD67" s="21"/>
      <c r="AF67" s="22"/>
      <c r="AG67" s="23"/>
      <c r="AH67" s="22"/>
    </row>
    <row r="68" spans="1:34">
      <c r="A68" s="22" t="s">
        <v>64</v>
      </c>
      <c r="B68" s="22" t="s">
        <v>40</v>
      </c>
      <c r="C68" s="22" t="s">
        <v>46</v>
      </c>
      <c r="D68" s="22">
        <v>0.9</v>
      </c>
      <c r="E68" s="22">
        <v>0.9</v>
      </c>
      <c r="F68" s="21">
        <v>99.9</v>
      </c>
      <c r="G68" s="4">
        <v>3</v>
      </c>
      <c r="H68" s="22">
        <f>D68*E68*G68</f>
        <v>2.4300000000000002</v>
      </c>
      <c r="I68" s="23">
        <f>H68*F68</f>
        <v>242.75700000000003</v>
      </c>
      <c r="J68" s="22" t="s">
        <v>68</v>
      </c>
      <c r="L68" s="22" t="s">
        <v>62</v>
      </c>
      <c r="X68" s="22"/>
      <c r="Y68" s="22"/>
      <c r="Z68" s="22"/>
      <c r="AA68" s="22"/>
      <c r="AB68" s="21"/>
      <c r="AC68" s="21"/>
      <c r="AD68" s="21"/>
      <c r="AF68" s="22"/>
      <c r="AG68" s="23"/>
      <c r="AH68" s="22"/>
    </row>
    <row r="69" spans="1:34">
      <c r="A69" s="22" t="s">
        <v>64</v>
      </c>
      <c r="B69" s="22" t="s">
        <v>40</v>
      </c>
      <c r="C69" s="22" t="s">
        <v>46</v>
      </c>
      <c r="D69" s="22">
        <v>0.9</v>
      </c>
      <c r="E69" s="22">
        <v>0.9</v>
      </c>
      <c r="F69" s="21">
        <v>99.9</v>
      </c>
      <c r="G69" s="4">
        <v>3</v>
      </c>
      <c r="H69" s="22">
        <f>D69*E69*G69</f>
        <v>2.4300000000000002</v>
      </c>
      <c r="I69" s="23">
        <f>H69*F69</f>
        <v>242.75700000000003</v>
      </c>
      <c r="J69" s="72" t="s">
        <v>139</v>
      </c>
      <c r="K69" s="72" t="s">
        <v>140</v>
      </c>
      <c r="L69" s="22" t="s">
        <v>62</v>
      </c>
      <c r="X69" s="22" t="s">
        <v>46</v>
      </c>
      <c r="Y69" s="22">
        <v>0.6</v>
      </c>
      <c r="Z69" s="22">
        <v>0.6</v>
      </c>
      <c r="AA69" s="91">
        <v>59.9</v>
      </c>
      <c r="AB69" s="92">
        <v>6</v>
      </c>
      <c r="AC69" s="21">
        <f>Y69*Z69*AB69</f>
        <v>2.16</v>
      </c>
      <c r="AD69" s="21"/>
      <c r="AF69" s="72" t="s">
        <v>149</v>
      </c>
      <c r="AG69" s="93" t="s">
        <v>148</v>
      </c>
      <c r="AH69" s="22"/>
    </row>
    <row r="70" spans="1:34">
      <c r="A70" s="22" t="s">
        <v>64</v>
      </c>
      <c r="B70" s="22" t="s">
        <v>65</v>
      </c>
      <c r="F70" s="21">
        <v>659</v>
      </c>
      <c r="H70">
        <v>1</v>
      </c>
      <c r="M70" s="22" t="s">
        <v>66</v>
      </c>
      <c r="N70" s="22"/>
    </row>
    <row r="71" spans="1:34">
      <c r="A71" s="22" t="s">
        <v>64</v>
      </c>
      <c r="B71" s="22" t="s">
        <v>47</v>
      </c>
      <c r="F71" s="21">
        <v>1099</v>
      </c>
      <c r="H71">
        <v>1</v>
      </c>
      <c r="I71" s="23">
        <f>H71*F71</f>
        <v>1099</v>
      </c>
      <c r="J71" s="22" t="s">
        <v>48</v>
      </c>
    </row>
    <row r="72" spans="1:34">
      <c r="A72" s="22" t="s">
        <v>64</v>
      </c>
      <c r="B72" s="22" t="s">
        <v>49</v>
      </c>
      <c r="F72" s="21">
        <v>400</v>
      </c>
      <c r="H72">
        <v>1</v>
      </c>
      <c r="I72" s="23">
        <f t="shared" ref="I72:I76" si="24">H72*F72</f>
        <v>400</v>
      </c>
      <c r="L72" s="22" t="s">
        <v>62</v>
      </c>
      <c r="M72" s="23">
        <v>297</v>
      </c>
    </row>
    <row r="73" spans="1:34">
      <c r="A73" s="22" t="s">
        <v>64</v>
      </c>
      <c r="B73" s="22" t="s">
        <v>50</v>
      </c>
      <c r="F73">
        <v>669</v>
      </c>
      <c r="H73">
        <v>1</v>
      </c>
      <c r="I73" s="23">
        <f t="shared" si="24"/>
        <v>669</v>
      </c>
    </row>
    <row r="74" spans="1:34">
      <c r="A74" s="22" t="s">
        <v>64</v>
      </c>
      <c r="B74" s="22" t="s">
        <v>51</v>
      </c>
      <c r="H74">
        <v>1</v>
      </c>
      <c r="I74" s="23">
        <f t="shared" si="24"/>
        <v>0</v>
      </c>
    </row>
    <row r="75" spans="1:34">
      <c r="A75" s="22" t="s">
        <v>64</v>
      </c>
      <c r="B75" s="22" t="s">
        <v>52</v>
      </c>
      <c r="F75" s="21">
        <v>390</v>
      </c>
      <c r="H75">
        <v>1</v>
      </c>
      <c r="I75" s="23">
        <f t="shared" si="24"/>
        <v>390</v>
      </c>
    </row>
    <row r="76" spans="1:34">
      <c r="A76" s="22" t="s">
        <v>64</v>
      </c>
      <c r="B76" s="22" t="s">
        <v>53</v>
      </c>
      <c r="H76">
        <v>1</v>
      </c>
      <c r="I76" s="23">
        <f t="shared" si="24"/>
        <v>0</v>
      </c>
    </row>
  </sheetData>
  <autoFilter ref="A30:Y76" xr:uid="{AB7913C6-1B6D-497A-95B7-D92E66F72974}">
    <filterColumn colId="0">
      <filters>
        <filter val="LEROY"/>
      </filters>
    </filterColumn>
  </autoFilter>
  <mergeCells count="6">
    <mergeCell ref="O20:P20"/>
    <mergeCell ref="O21:Q21"/>
    <mergeCell ref="Y2:Y3"/>
    <mergeCell ref="Y12:Z12"/>
    <mergeCell ref="N13:N15"/>
    <mergeCell ref="O13:O15"/>
  </mergeCells>
  <conditionalFormatting sqref="K3:K6">
    <cfRule type="colorScale" priority="5">
      <colorScale>
        <cfvo type="min"/>
        <cfvo type="max"/>
        <color rgb="FFFCFCFF"/>
        <color rgb="FFF8696B"/>
      </colorScale>
    </cfRule>
    <cfRule type="colorScale" priority="6">
      <colorScale>
        <cfvo type="min"/>
        <cfvo type="max"/>
        <color rgb="FF63BE7B"/>
        <color rgb="FFFCFCFF"/>
      </colorScale>
    </cfRule>
  </conditionalFormatting>
  <conditionalFormatting sqref="O3:O6">
    <cfRule type="colorScale" priority="1">
      <colorScale>
        <cfvo type="min"/>
        <cfvo type="max"/>
        <color rgb="FFFCFCFF"/>
        <color rgb="FFF8696B"/>
      </colorScale>
    </cfRule>
    <cfRule type="colorScale" priority="2">
      <colorScale>
        <cfvo type="min"/>
        <cfvo type="max"/>
        <color rgb="FF63BE7B"/>
        <color rgb="FFFCFCFF"/>
      </colorScale>
    </cfRule>
  </conditionalFormatting>
  <hyperlinks>
    <hyperlink ref="AG69" r:id="rId1" xr:uid="{0BC90A12-D16E-4789-937B-87863B4B5776}"/>
    <hyperlink ref="AG65" r:id="rId2" xr:uid="{B8FC3EC2-230D-41A7-B6F7-F525F4A49D7F}"/>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CBD3A-45BA-4A78-B0E5-20B0D07A47F4}">
  <dimension ref="A1:S15"/>
  <sheetViews>
    <sheetView zoomScale="85" zoomScaleNormal="85" workbookViewId="0">
      <selection activeCell="F4" sqref="F4"/>
    </sheetView>
  </sheetViews>
  <sheetFormatPr defaultRowHeight="15"/>
  <cols>
    <col min="2" max="2" width="6" bestFit="1" customWidth="1"/>
    <col min="3" max="3" width="4" bestFit="1" customWidth="1"/>
    <col min="4" max="4" width="5.7109375" bestFit="1" customWidth="1"/>
    <col min="5" max="5" width="4" customWidth="1"/>
    <col min="6" max="6" width="7.7109375" bestFit="1" customWidth="1"/>
    <col min="7" max="7" width="5" bestFit="1" customWidth="1"/>
    <col min="8" max="8" width="5.5703125" bestFit="1" customWidth="1"/>
    <col min="12" max="12" width="7" bestFit="1" customWidth="1"/>
    <col min="13" max="19" width="5.140625" bestFit="1" customWidth="1"/>
  </cols>
  <sheetData>
    <row r="1" spans="1:19">
      <c r="F1" s="56" t="s">
        <v>124</v>
      </c>
    </row>
    <row r="3" spans="1:19">
      <c r="A3">
        <v>10</v>
      </c>
      <c r="B3" s="56" t="s">
        <v>119</v>
      </c>
      <c r="C3" s="4">
        <v>0.5</v>
      </c>
      <c r="D3" s="4">
        <f>A3*C3</f>
        <v>5</v>
      </c>
      <c r="F3" s="61">
        <v>7</v>
      </c>
      <c r="G3" s="61">
        <f>C3*F3</f>
        <v>3.5</v>
      </c>
      <c r="H3" s="60">
        <f t="shared" ref="H3:H8" si="0">G3/D3</f>
        <v>0.7</v>
      </c>
      <c r="I3" s="66"/>
    </row>
    <row r="4" spans="1:19">
      <c r="A4">
        <v>10</v>
      </c>
      <c r="B4" s="56" t="s">
        <v>120</v>
      </c>
      <c r="C4" s="4">
        <v>0.3</v>
      </c>
      <c r="D4" s="4">
        <f t="shared" ref="D4:D7" si="1">A4*C4</f>
        <v>3</v>
      </c>
      <c r="F4" s="61">
        <v>10</v>
      </c>
      <c r="G4" s="61">
        <f>C4*F4</f>
        <v>3</v>
      </c>
      <c r="H4" s="60">
        <f t="shared" si="0"/>
        <v>1</v>
      </c>
      <c r="I4" s="67"/>
    </row>
    <row r="5" spans="1:19">
      <c r="A5">
        <v>10</v>
      </c>
      <c r="B5" s="56" t="s">
        <v>121</v>
      </c>
      <c r="C5" s="4">
        <v>0.6</v>
      </c>
      <c r="D5" s="4">
        <f t="shared" si="1"/>
        <v>6</v>
      </c>
      <c r="F5" s="61">
        <v>8</v>
      </c>
      <c r="G5" s="61">
        <f>C5*F5</f>
        <v>4.8</v>
      </c>
      <c r="H5" s="60">
        <f t="shared" si="0"/>
        <v>0.79999999999999993</v>
      </c>
      <c r="I5" s="67"/>
    </row>
    <row r="6" spans="1:19">
      <c r="A6">
        <v>10</v>
      </c>
      <c r="B6" s="56" t="s">
        <v>122</v>
      </c>
      <c r="C6" s="4">
        <v>0.6</v>
      </c>
      <c r="D6" s="4">
        <f t="shared" si="1"/>
        <v>6</v>
      </c>
      <c r="F6" s="61">
        <v>6</v>
      </c>
      <c r="G6" s="61">
        <f>C6*F6</f>
        <v>3.5999999999999996</v>
      </c>
      <c r="H6" s="60">
        <f t="shared" si="0"/>
        <v>0.6</v>
      </c>
      <c r="I6" s="67"/>
    </row>
    <row r="7" spans="1:19">
      <c r="A7">
        <v>20</v>
      </c>
      <c r="B7" s="56" t="s">
        <v>123</v>
      </c>
      <c r="C7" s="4">
        <v>2</v>
      </c>
      <c r="D7" s="4">
        <f t="shared" si="1"/>
        <v>40</v>
      </c>
      <c r="F7" s="61">
        <v>16</v>
      </c>
      <c r="G7" s="61">
        <f>C7*F7</f>
        <v>32</v>
      </c>
      <c r="H7" s="60">
        <f t="shared" si="0"/>
        <v>0.8</v>
      </c>
      <c r="I7" s="67"/>
      <c r="L7" s="56" t="s">
        <v>127</v>
      </c>
      <c r="M7">
        <v>40.9</v>
      </c>
      <c r="N7">
        <f>M7</f>
        <v>40.9</v>
      </c>
      <c r="O7">
        <f t="shared" ref="O7:S7" si="2">N7</f>
        <v>40.9</v>
      </c>
      <c r="P7">
        <f t="shared" si="2"/>
        <v>40.9</v>
      </c>
      <c r="Q7">
        <f t="shared" si="2"/>
        <v>40.9</v>
      </c>
      <c r="R7">
        <f t="shared" si="2"/>
        <v>40.9</v>
      </c>
      <c r="S7">
        <f t="shared" si="2"/>
        <v>40.9</v>
      </c>
    </row>
    <row r="8" spans="1:19">
      <c r="A8">
        <f>SUM(A3:A7)</f>
        <v>60</v>
      </c>
      <c r="D8" s="70">
        <f>SUM(D3:D7)</f>
        <v>60</v>
      </c>
      <c r="G8" s="68">
        <f>SUM(G3:G7)</f>
        <v>46.9</v>
      </c>
      <c r="H8" s="69">
        <f t="shared" si="0"/>
        <v>0.78166666666666662</v>
      </c>
      <c r="L8" s="56" t="s">
        <v>126</v>
      </c>
      <c r="M8">
        <f>G8</f>
        <v>46.9</v>
      </c>
      <c r="N8">
        <f>M8</f>
        <v>46.9</v>
      </c>
      <c r="O8">
        <f t="shared" ref="O8:S8" si="3">N8</f>
        <v>46.9</v>
      </c>
      <c r="P8">
        <f t="shared" si="3"/>
        <v>46.9</v>
      </c>
      <c r="Q8">
        <f t="shared" si="3"/>
        <v>46.9</v>
      </c>
      <c r="R8">
        <f t="shared" si="3"/>
        <v>46.9</v>
      </c>
      <c r="S8">
        <f t="shared" si="3"/>
        <v>46.9</v>
      </c>
    </row>
    <row r="9" spans="1:19">
      <c r="F9" s="56" t="s">
        <v>125</v>
      </c>
      <c r="G9">
        <v>3</v>
      </c>
      <c r="H9">
        <v>3</v>
      </c>
    </row>
    <row r="10" spans="1:19">
      <c r="F10" s="71" t="s">
        <v>134</v>
      </c>
      <c r="G10">
        <f>SUM(G8:G9)</f>
        <v>49.9</v>
      </c>
      <c r="H10" s="69">
        <f>G10/D8</f>
        <v>0.83166666666666667</v>
      </c>
    </row>
    <row r="13" spans="1:19">
      <c r="L13">
        <v>64</v>
      </c>
    </row>
    <row r="14" spans="1:19">
      <c r="L14">
        <v>45</v>
      </c>
      <c r="M14">
        <v>1</v>
      </c>
      <c r="O14">
        <v>40</v>
      </c>
      <c r="P14">
        <v>1</v>
      </c>
    </row>
    <row r="15" spans="1:19">
      <c r="O15">
        <v>25</v>
      </c>
      <c r="P15">
        <v>2</v>
      </c>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DD1B2-C899-482F-921A-3239DBF9E209}">
  <dimension ref="A2:C733"/>
  <sheetViews>
    <sheetView topLeftCell="A343" workbookViewId="0">
      <selection activeCell="A367" sqref="A367"/>
    </sheetView>
  </sheetViews>
  <sheetFormatPr defaultRowHeight="15"/>
  <cols>
    <col min="1" max="1" width="10.7109375" bestFit="1" customWidth="1"/>
    <col min="2" max="2" width="2.5703125" bestFit="1" customWidth="1"/>
  </cols>
  <sheetData>
    <row r="2" spans="1:3">
      <c r="A2" s="100">
        <v>45292</v>
      </c>
    </row>
    <row r="3" spans="1:3">
      <c r="A3" s="100">
        <v>45293</v>
      </c>
    </row>
    <row r="4" spans="1:3">
      <c r="A4" s="100">
        <v>45294</v>
      </c>
    </row>
    <row r="5" spans="1:3">
      <c r="A5" s="100">
        <v>45295</v>
      </c>
    </row>
    <row r="6" spans="1:3">
      <c r="A6" s="100">
        <v>45296</v>
      </c>
    </row>
    <row r="7" spans="1:3">
      <c r="A7" s="100">
        <v>45297</v>
      </c>
    </row>
    <row r="8" spans="1:3">
      <c r="A8" s="100">
        <v>45298</v>
      </c>
    </row>
    <row r="9" spans="1:3">
      <c r="A9" s="100">
        <v>45299</v>
      </c>
    </row>
    <row r="10" spans="1:3">
      <c r="A10" s="100">
        <v>45300</v>
      </c>
    </row>
    <row r="11" spans="1:3">
      <c r="A11" s="100">
        <v>45301</v>
      </c>
    </row>
    <row r="12" spans="1:3">
      <c r="A12" s="100">
        <v>45302</v>
      </c>
    </row>
    <row r="13" spans="1:3">
      <c r="A13" s="100">
        <v>45303</v>
      </c>
    </row>
    <row r="14" spans="1:3">
      <c r="A14" s="100">
        <v>45304</v>
      </c>
    </row>
    <row r="15" spans="1:3">
      <c r="A15" s="100">
        <v>45305</v>
      </c>
    </row>
    <row r="16" spans="1:3">
      <c r="A16" s="100">
        <v>45306</v>
      </c>
      <c r="C16" s="101" t="s">
        <v>168</v>
      </c>
    </row>
    <row r="17" spans="1:3">
      <c r="A17" s="100">
        <v>45307</v>
      </c>
      <c r="B17" s="101" t="s">
        <v>166</v>
      </c>
    </row>
    <row r="18" spans="1:3">
      <c r="A18" s="100">
        <v>45308</v>
      </c>
      <c r="B18" s="101" t="s">
        <v>166</v>
      </c>
    </row>
    <row r="19" spans="1:3">
      <c r="A19" s="100">
        <v>45309</v>
      </c>
      <c r="B19" s="101" t="s">
        <v>166</v>
      </c>
    </row>
    <row r="20" spans="1:3">
      <c r="A20" s="100">
        <v>45310</v>
      </c>
      <c r="B20" s="101" t="s">
        <v>166</v>
      </c>
    </row>
    <row r="21" spans="1:3">
      <c r="A21" s="100">
        <v>45311</v>
      </c>
      <c r="B21" s="101" t="s">
        <v>166</v>
      </c>
    </row>
    <row r="22" spans="1:3">
      <c r="A22" s="100">
        <v>45312</v>
      </c>
      <c r="B22" s="101" t="s">
        <v>166</v>
      </c>
    </row>
    <row r="23" spans="1:3">
      <c r="A23" s="100">
        <v>45313</v>
      </c>
      <c r="B23" s="101" t="s">
        <v>167</v>
      </c>
      <c r="C23" s="101" t="s">
        <v>168</v>
      </c>
    </row>
    <row r="24" spans="1:3">
      <c r="A24" s="100">
        <v>45314</v>
      </c>
      <c r="B24" s="101" t="s">
        <v>167</v>
      </c>
    </row>
    <row r="25" spans="1:3">
      <c r="A25" s="100">
        <v>45315</v>
      </c>
      <c r="B25" s="101" t="s">
        <v>167</v>
      </c>
    </row>
    <row r="26" spans="1:3">
      <c r="A26" s="100">
        <v>45316</v>
      </c>
      <c r="B26" s="101" t="s">
        <v>167</v>
      </c>
    </row>
    <row r="27" spans="1:3">
      <c r="A27" s="100">
        <v>45317</v>
      </c>
      <c r="B27" s="101" t="s">
        <v>167</v>
      </c>
    </row>
    <row r="28" spans="1:3">
      <c r="A28" s="100">
        <v>45318</v>
      </c>
      <c r="B28" s="101" t="s">
        <v>167</v>
      </c>
    </row>
    <row r="29" spans="1:3">
      <c r="A29" s="100">
        <v>45319</v>
      </c>
      <c r="B29" s="101" t="s">
        <v>167</v>
      </c>
    </row>
    <row r="30" spans="1:3">
      <c r="A30" s="100">
        <v>45320</v>
      </c>
      <c r="B30" s="101" t="s">
        <v>167</v>
      </c>
    </row>
    <row r="31" spans="1:3">
      <c r="A31" s="100">
        <v>45321</v>
      </c>
      <c r="B31" s="101" t="s">
        <v>167</v>
      </c>
    </row>
    <row r="32" spans="1:3">
      <c r="A32" s="100">
        <v>45322</v>
      </c>
      <c r="B32" s="101" t="s">
        <v>166</v>
      </c>
    </row>
    <row r="33" spans="1:2">
      <c r="A33" s="100">
        <v>45323</v>
      </c>
      <c r="B33" s="101" t="s">
        <v>166</v>
      </c>
    </row>
    <row r="34" spans="1:2">
      <c r="A34" s="100">
        <v>45324</v>
      </c>
      <c r="B34" s="101" t="s">
        <v>166</v>
      </c>
    </row>
    <row r="35" spans="1:2">
      <c r="A35" s="100">
        <v>45325</v>
      </c>
      <c r="B35" s="101" t="s">
        <v>166</v>
      </c>
    </row>
    <row r="36" spans="1:2">
      <c r="A36" s="100">
        <v>45326</v>
      </c>
      <c r="B36" s="101" t="s">
        <v>166</v>
      </c>
    </row>
    <row r="37" spans="1:2">
      <c r="A37" s="100">
        <v>45327</v>
      </c>
      <c r="B37" s="101" t="s">
        <v>166</v>
      </c>
    </row>
    <row r="38" spans="1:2">
      <c r="A38" s="100">
        <v>45328</v>
      </c>
      <c r="B38" s="101" t="s">
        <v>167</v>
      </c>
    </row>
    <row r="39" spans="1:2">
      <c r="A39" s="100">
        <v>45329</v>
      </c>
      <c r="B39" s="101" t="s">
        <v>167</v>
      </c>
    </row>
    <row r="40" spans="1:2">
      <c r="A40" s="100">
        <v>45330</v>
      </c>
      <c r="B40" s="101" t="s">
        <v>167</v>
      </c>
    </row>
    <row r="41" spans="1:2">
      <c r="A41" s="100">
        <v>45331</v>
      </c>
      <c r="B41" s="101" t="s">
        <v>167</v>
      </c>
    </row>
    <row r="42" spans="1:2">
      <c r="A42" s="100">
        <v>45332</v>
      </c>
      <c r="B42" s="101" t="s">
        <v>167</v>
      </c>
    </row>
    <row r="43" spans="1:2">
      <c r="A43" s="100">
        <v>45333</v>
      </c>
      <c r="B43" s="101" t="s">
        <v>167</v>
      </c>
    </row>
    <row r="44" spans="1:2">
      <c r="A44" s="100">
        <v>45334</v>
      </c>
      <c r="B44" s="101" t="s">
        <v>167</v>
      </c>
    </row>
    <row r="45" spans="1:2">
      <c r="A45" s="100">
        <v>45335</v>
      </c>
      <c r="B45" s="101" t="s">
        <v>167</v>
      </c>
    </row>
    <row r="46" spans="1:2">
      <c r="A46" s="100">
        <v>45336</v>
      </c>
      <c r="B46" s="101" t="s">
        <v>167</v>
      </c>
    </row>
    <row r="47" spans="1:2">
      <c r="A47" s="100">
        <v>45337</v>
      </c>
      <c r="B47" s="101" t="s">
        <v>166</v>
      </c>
    </row>
    <row r="48" spans="1:2">
      <c r="A48" s="100">
        <v>45338</v>
      </c>
      <c r="B48" s="101" t="s">
        <v>166</v>
      </c>
    </row>
    <row r="49" spans="1:2">
      <c r="A49" s="100">
        <v>45339</v>
      </c>
      <c r="B49" s="101" t="s">
        <v>166</v>
      </c>
    </row>
    <row r="50" spans="1:2">
      <c r="A50" s="100">
        <v>45340</v>
      </c>
      <c r="B50" s="101" t="s">
        <v>166</v>
      </c>
    </row>
    <row r="51" spans="1:2">
      <c r="A51" s="100">
        <v>45341</v>
      </c>
      <c r="B51" s="101" t="s">
        <v>166</v>
      </c>
    </row>
    <row r="52" spans="1:2">
      <c r="A52" s="100">
        <v>45342</v>
      </c>
      <c r="B52" s="101" t="s">
        <v>166</v>
      </c>
    </row>
    <row r="53" spans="1:2">
      <c r="A53" s="100">
        <v>45343</v>
      </c>
      <c r="B53" s="101" t="s">
        <v>167</v>
      </c>
    </row>
    <row r="54" spans="1:2">
      <c r="A54" s="100">
        <v>45344</v>
      </c>
      <c r="B54" s="101" t="s">
        <v>167</v>
      </c>
    </row>
    <row r="55" spans="1:2">
      <c r="A55" s="100">
        <v>45345</v>
      </c>
      <c r="B55" s="101" t="s">
        <v>167</v>
      </c>
    </row>
    <row r="56" spans="1:2">
      <c r="A56" s="100">
        <v>45346</v>
      </c>
      <c r="B56" s="101" t="s">
        <v>167</v>
      </c>
    </row>
    <row r="57" spans="1:2">
      <c r="A57" s="100">
        <v>45347</v>
      </c>
      <c r="B57" s="101" t="s">
        <v>167</v>
      </c>
    </row>
    <row r="58" spans="1:2">
      <c r="A58" s="100">
        <v>45348</v>
      </c>
      <c r="B58" s="101" t="s">
        <v>167</v>
      </c>
    </row>
    <row r="59" spans="1:2">
      <c r="A59" s="100">
        <v>45349</v>
      </c>
      <c r="B59" s="101" t="s">
        <v>167</v>
      </c>
    </row>
    <row r="60" spans="1:2">
      <c r="A60" s="100">
        <v>45350</v>
      </c>
      <c r="B60" s="101" t="s">
        <v>167</v>
      </c>
    </row>
    <row r="61" spans="1:2">
      <c r="A61" s="100">
        <v>45351</v>
      </c>
      <c r="B61" s="101" t="s">
        <v>167</v>
      </c>
    </row>
    <row r="62" spans="1:2">
      <c r="A62" s="100">
        <v>45352</v>
      </c>
      <c r="B62" s="101" t="s">
        <v>166</v>
      </c>
    </row>
    <row r="63" spans="1:2">
      <c r="A63" s="100">
        <v>45353</v>
      </c>
      <c r="B63" s="101" t="s">
        <v>166</v>
      </c>
    </row>
    <row r="64" spans="1:2">
      <c r="A64" s="100">
        <v>45354</v>
      </c>
      <c r="B64" s="101" t="s">
        <v>166</v>
      </c>
    </row>
    <row r="65" spans="1:2">
      <c r="A65" s="100">
        <v>45355</v>
      </c>
      <c r="B65" s="101" t="s">
        <v>166</v>
      </c>
    </row>
    <row r="66" spans="1:2">
      <c r="A66" s="100">
        <v>45356</v>
      </c>
      <c r="B66" s="101" t="s">
        <v>166</v>
      </c>
    </row>
    <row r="67" spans="1:2">
      <c r="A67" s="100">
        <v>45357</v>
      </c>
      <c r="B67" s="101" t="s">
        <v>166</v>
      </c>
    </row>
    <row r="68" spans="1:2">
      <c r="A68" s="100">
        <v>45358</v>
      </c>
      <c r="B68" s="101" t="s">
        <v>167</v>
      </c>
    </row>
    <row r="69" spans="1:2">
      <c r="A69" s="100">
        <v>45359</v>
      </c>
      <c r="B69" s="101" t="s">
        <v>167</v>
      </c>
    </row>
    <row r="70" spans="1:2">
      <c r="A70" s="100">
        <v>45360</v>
      </c>
      <c r="B70" s="101" t="s">
        <v>167</v>
      </c>
    </row>
    <row r="71" spans="1:2">
      <c r="A71" s="100">
        <v>45361</v>
      </c>
      <c r="B71" s="101" t="s">
        <v>167</v>
      </c>
    </row>
    <row r="72" spans="1:2">
      <c r="A72" s="100">
        <v>45362</v>
      </c>
      <c r="B72" s="101" t="s">
        <v>167</v>
      </c>
    </row>
    <row r="73" spans="1:2">
      <c r="A73" s="100">
        <v>45363</v>
      </c>
      <c r="B73" s="101" t="s">
        <v>167</v>
      </c>
    </row>
    <row r="74" spans="1:2">
      <c r="A74" s="100">
        <v>45364</v>
      </c>
      <c r="B74" s="101" t="s">
        <v>167</v>
      </c>
    </row>
    <row r="75" spans="1:2">
      <c r="A75" s="100">
        <v>45365</v>
      </c>
      <c r="B75" s="101" t="s">
        <v>167</v>
      </c>
    </row>
    <row r="76" spans="1:2">
      <c r="A76" s="100">
        <v>45366</v>
      </c>
      <c r="B76" s="101" t="s">
        <v>167</v>
      </c>
    </row>
    <row r="77" spans="1:2">
      <c r="A77" s="100">
        <v>45367</v>
      </c>
      <c r="B77" s="101" t="s">
        <v>166</v>
      </c>
    </row>
    <row r="78" spans="1:2">
      <c r="A78" s="100">
        <v>45368</v>
      </c>
      <c r="B78" s="101" t="s">
        <v>166</v>
      </c>
    </row>
    <row r="79" spans="1:2">
      <c r="A79" s="100">
        <v>45369</v>
      </c>
      <c r="B79" s="101" t="s">
        <v>166</v>
      </c>
    </row>
    <row r="80" spans="1:2">
      <c r="A80" s="100">
        <v>45370</v>
      </c>
      <c r="B80" s="101" t="s">
        <v>166</v>
      </c>
    </row>
    <row r="81" spans="1:2">
      <c r="A81" s="100">
        <v>45371</v>
      </c>
      <c r="B81" s="101" t="s">
        <v>166</v>
      </c>
    </row>
    <row r="82" spans="1:2">
      <c r="A82" s="100">
        <v>45372</v>
      </c>
      <c r="B82" s="101" t="s">
        <v>166</v>
      </c>
    </row>
    <row r="83" spans="1:2">
      <c r="A83" s="100">
        <v>45373</v>
      </c>
      <c r="B83" s="101" t="s">
        <v>167</v>
      </c>
    </row>
    <row r="84" spans="1:2">
      <c r="A84" s="100">
        <v>45374</v>
      </c>
      <c r="B84" s="101" t="s">
        <v>167</v>
      </c>
    </row>
    <row r="85" spans="1:2">
      <c r="A85" s="100">
        <v>45375</v>
      </c>
      <c r="B85" s="101" t="s">
        <v>167</v>
      </c>
    </row>
    <row r="86" spans="1:2">
      <c r="A86" s="100">
        <v>45376</v>
      </c>
      <c r="B86" s="101" t="s">
        <v>167</v>
      </c>
    </row>
    <row r="87" spans="1:2">
      <c r="A87" s="100">
        <v>45377</v>
      </c>
      <c r="B87" s="101" t="s">
        <v>167</v>
      </c>
    </row>
    <row r="88" spans="1:2">
      <c r="A88" s="100">
        <v>45378</v>
      </c>
      <c r="B88" s="101" t="s">
        <v>167</v>
      </c>
    </row>
    <row r="89" spans="1:2">
      <c r="A89" s="100">
        <v>45379</v>
      </c>
      <c r="B89" s="101" t="s">
        <v>167</v>
      </c>
    </row>
    <row r="90" spans="1:2">
      <c r="A90" s="100">
        <v>45380</v>
      </c>
      <c r="B90" s="101" t="s">
        <v>167</v>
      </c>
    </row>
    <row r="91" spans="1:2">
      <c r="A91" s="100">
        <v>45381</v>
      </c>
      <c r="B91" s="101" t="s">
        <v>167</v>
      </c>
    </row>
    <row r="92" spans="1:2">
      <c r="A92" s="100">
        <v>45382</v>
      </c>
      <c r="B92" s="101" t="s">
        <v>166</v>
      </c>
    </row>
    <row r="93" spans="1:2">
      <c r="A93" s="100">
        <v>45383</v>
      </c>
      <c r="B93" s="101" t="s">
        <v>166</v>
      </c>
    </row>
    <row r="94" spans="1:2">
      <c r="A94" s="100">
        <v>45384</v>
      </c>
      <c r="B94" s="101" t="s">
        <v>166</v>
      </c>
    </row>
    <row r="95" spans="1:2">
      <c r="A95" s="100">
        <v>45385</v>
      </c>
      <c r="B95" s="101" t="s">
        <v>166</v>
      </c>
    </row>
    <row r="96" spans="1:2">
      <c r="A96" s="100">
        <v>45386</v>
      </c>
      <c r="B96" s="101" t="s">
        <v>166</v>
      </c>
    </row>
    <row r="97" spans="1:2">
      <c r="A97" s="100">
        <v>45387</v>
      </c>
      <c r="B97" s="101" t="s">
        <v>166</v>
      </c>
    </row>
    <row r="98" spans="1:2">
      <c r="A98" s="100">
        <v>45388</v>
      </c>
      <c r="B98" s="101" t="s">
        <v>167</v>
      </c>
    </row>
    <row r="99" spans="1:2">
      <c r="A99" s="100">
        <v>45389</v>
      </c>
      <c r="B99" s="101" t="s">
        <v>167</v>
      </c>
    </row>
    <row r="100" spans="1:2">
      <c r="A100" s="100">
        <v>45390</v>
      </c>
      <c r="B100" s="101" t="s">
        <v>167</v>
      </c>
    </row>
    <row r="101" spans="1:2">
      <c r="A101" s="100">
        <v>45391</v>
      </c>
      <c r="B101" s="101" t="s">
        <v>167</v>
      </c>
    </row>
    <row r="102" spans="1:2">
      <c r="A102" s="100">
        <v>45392</v>
      </c>
      <c r="B102" s="101" t="s">
        <v>167</v>
      </c>
    </row>
    <row r="103" spans="1:2">
      <c r="A103" s="100">
        <v>45393</v>
      </c>
      <c r="B103" s="101" t="s">
        <v>167</v>
      </c>
    </row>
    <row r="104" spans="1:2">
      <c r="A104" s="100">
        <v>45394</v>
      </c>
      <c r="B104" s="101" t="s">
        <v>167</v>
      </c>
    </row>
    <row r="105" spans="1:2">
      <c r="A105" s="100">
        <v>45395</v>
      </c>
      <c r="B105" s="101" t="s">
        <v>167</v>
      </c>
    </row>
    <row r="106" spans="1:2">
      <c r="A106" s="100">
        <v>45396</v>
      </c>
      <c r="B106" s="101" t="s">
        <v>167</v>
      </c>
    </row>
    <row r="107" spans="1:2">
      <c r="A107" s="100">
        <v>45397</v>
      </c>
      <c r="B107" s="101" t="s">
        <v>166</v>
      </c>
    </row>
    <row r="108" spans="1:2">
      <c r="A108" s="100">
        <v>45398</v>
      </c>
      <c r="B108" s="101" t="s">
        <v>166</v>
      </c>
    </row>
    <row r="109" spans="1:2">
      <c r="A109" s="100">
        <v>45399</v>
      </c>
      <c r="B109" s="101" t="s">
        <v>166</v>
      </c>
    </row>
    <row r="110" spans="1:2">
      <c r="A110" s="100">
        <v>45400</v>
      </c>
      <c r="B110" s="101" t="s">
        <v>166</v>
      </c>
    </row>
    <row r="111" spans="1:2">
      <c r="A111" s="100">
        <v>45401</v>
      </c>
      <c r="B111" s="101" t="s">
        <v>166</v>
      </c>
    </row>
    <row r="112" spans="1:2">
      <c r="A112" s="100">
        <v>45402</v>
      </c>
      <c r="B112" s="101" t="s">
        <v>166</v>
      </c>
    </row>
    <row r="113" spans="1:2">
      <c r="A113" s="100">
        <v>45403</v>
      </c>
      <c r="B113" s="101" t="s">
        <v>167</v>
      </c>
    </row>
    <row r="114" spans="1:2">
      <c r="A114" s="100">
        <v>45404</v>
      </c>
      <c r="B114" s="101" t="s">
        <v>167</v>
      </c>
    </row>
    <row r="115" spans="1:2">
      <c r="A115" s="100">
        <v>45405</v>
      </c>
      <c r="B115" s="101" t="s">
        <v>167</v>
      </c>
    </row>
    <row r="116" spans="1:2">
      <c r="A116" s="100">
        <v>45406</v>
      </c>
      <c r="B116" s="101" t="s">
        <v>167</v>
      </c>
    </row>
    <row r="117" spans="1:2">
      <c r="A117" s="100">
        <v>45407</v>
      </c>
      <c r="B117" s="101" t="s">
        <v>167</v>
      </c>
    </row>
    <row r="118" spans="1:2">
      <c r="A118" s="100">
        <v>45408</v>
      </c>
      <c r="B118" s="101" t="s">
        <v>167</v>
      </c>
    </row>
    <row r="119" spans="1:2">
      <c r="A119" s="100">
        <v>45409</v>
      </c>
      <c r="B119" s="101" t="s">
        <v>167</v>
      </c>
    </row>
    <row r="120" spans="1:2">
      <c r="A120" s="100">
        <v>45410</v>
      </c>
      <c r="B120" s="101" t="s">
        <v>167</v>
      </c>
    </row>
    <row r="121" spans="1:2">
      <c r="A121" s="100">
        <v>45411</v>
      </c>
      <c r="B121" s="101" t="s">
        <v>167</v>
      </c>
    </row>
    <row r="122" spans="1:2">
      <c r="A122" s="100">
        <v>45412</v>
      </c>
      <c r="B122" s="101" t="s">
        <v>166</v>
      </c>
    </row>
    <row r="123" spans="1:2">
      <c r="A123" s="100">
        <v>45413</v>
      </c>
      <c r="B123" s="101" t="s">
        <v>166</v>
      </c>
    </row>
    <row r="124" spans="1:2">
      <c r="A124" s="100">
        <v>45414</v>
      </c>
      <c r="B124" s="101" t="s">
        <v>166</v>
      </c>
    </row>
    <row r="125" spans="1:2">
      <c r="A125" s="100">
        <v>45415</v>
      </c>
      <c r="B125" s="101" t="s">
        <v>166</v>
      </c>
    </row>
    <row r="126" spans="1:2">
      <c r="A126" s="100">
        <v>45416</v>
      </c>
      <c r="B126" s="101" t="s">
        <v>166</v>
      </c>
    </row>
    <row r="127" spans="1:2">
      <c r="A127" s="100">
        <v>45417</v>
      </c>
      <c r="B127" s="101" t="s">
        <v>166</v>
      </c>
    </row>
    <row r="128" spans="1:2">
      <c r="A128" s="100">
        <v>45418</v>
      </c>
      <c r="B128" s="101" t="s">
        <v>167</v>
      </c>
    </row>
    <row r="129" spans="1:2">
      <c r="A129" s="100">
        <v>45419</v>
      </c>
      <c r="B129" s="101" t="s">
        <v>167</v>
      </c>
    </row>
    <row r="130" spans="1:2">
      <c r="A130" s="100">
        <v>45420</v>
      </c>
      <c r="B130" s="101" t="s">
        <v>167</v>
      </c>
    </row>
    <row r="131" spans="1:2">
      <c r="A131" s="100">
        <v>45421</v>
      </c>
      <c r="B131" s="101" t="s">
        <v>167</v>
      </c>
    </row>
    <row r="132" spans="1:2">
      <c r="A132" s="100">
        <v>45422</v>
      </c>
      <c r="B132" s="101" t="s">
        <v>167</v>
      </c>
    </row>
    <row r="133" spans="1:2">
      <c r="A133" s="100">
        <v>45423</v>
      </c>
      <c r="B133" s="101" t="s">
        <v>167</v>
      </c>
    </row>
    <row r="134" spans="1:2">
      <c r="A134" s="100">
        <v>45424</v>
      </c>
      <c r="B134" s="101" t="s">
        <v>167</v>
      </c>
    </row>
    <row r="135" spans="1:2">
      <c r="A135" s="100">
        <v>45425</v>
      </c>
      <c r="B135" s="101" t="s">
        <v>167</v>
      </c>
    </row>
    <row r="136" spans="1:2">
      <c r="A136" s="100">
        <v>45426</v>
      </c>
      <c r="B136" s="101" t="s">
        <v>167</v>
      </c>
    </row>
    <row r="137" spans="1:2">
      <c r="A137" s="100">
        <v>45427</v>
      </c>
      <c r="B137" s="101" t="s">
        <v>166</v>
      </c>
    </row>
    <row r="138" spans="1:2">
      <c r="A138" s="100">
        <v>45428</v>
      </c>
      <c r="B138" s="101" t="s">
        <v>166</v>
      </c>
    </row>
    <row r="139" spans="1:2">
      <c r="A139" s="100">
        <v>45429</v>
      </c>
      <c r="B139" s="101" t="s">
        <v>166</v>
      </c>
    </row>
    <row r="140" spans="1:2">
      <c r="A140" s="100">
        <v>45430</v>
      </c>
      <c r="B140" s="101" t="s">
        <v>166</v>
      </c>
    </row>
    <row r="141" spans="1:2">
      <c r="A141" s="100">
        <v>45431</v>
      </c>
      <c r="B141" s="101" t="s">
        <v>166</v>
      </c>
    </row>
    <row r="142" spans="1:2">
      <c r="A142" s="100">
        <v>45432</v>
      </c>
      <c r="B142" s="101" t="s">
        <v>166</v>
      </c>
    </row>
    <row r="143" spans="1:2">
      <c r="A143" s="100">
        <v>45433</v>
      </c>
      <c r="B143" s="101" t="s">
        <v>167</v>
      </c>
    </row>
    <row r="144" spans="1:2">
      <c r="A144" s="100">
        <v>45434</v>
      </c>
      <c r="B144" s="101" t="s">
        <v>167</v>
      </c>
    </row>
    <row r="145" spans="1:2">
      <c r="A145" s="100">
        <v>45435</v>
      </c>
      <c r="B145" s="101" t="s">
        <v>167</v>
      </c>
    </row>
    <row r="146" spans="1:2">
      <c r="A146" s="100">
        <v>45436</v>
      </c>
      <c r="B146" s="101" t="s">
        <v>167</v>
      </c>
    </row>
    <row r="147" spans="1:2">
      <c r="A147" s="100">
        <v>45437</v>
      </c>
      <c r="B147" s="101" t="s">
        <v>167</v>
      </c>
    </row>
    <row r="148" spans="1:2">
      <c r="A148" s="100">
        <v>45438</v>
      </c>
      <c r="B148" s="101" t="s">
        <v>167</v>
      </c>
    </row>
    <row r="149" spans="1:2">
      <c r="A149" s="100">
        <v>45439</v>
      </c>
      <c r="B149" s="101" t="s">
        <v>167</v>
      </c>
    </row>
    <row r="150" spans="1:2">
      <c r="A150" s="100">
        <v>45440</v>
      </c>
      <c r="B150" s="101" t="s">
        <v>167</v>
      </c>
    </row>
    <row r="151" spans="1:2">
      <c r="A151" s="100">
        <v>45441</v>
      </c>
      <c r="B151" s="101" t="s">
        <v>167</v>
      </c>
    </row>
    <row r="152" spans="1:2">
      <c r="A152" s="100">
        <v>45442</v>
      </c>
      <c r="B152" s="101" t="s">
        <v>166</v>
      </c>
    </row>
    <row r="153" spans="1:2">
      <c r="A153" s="100">
        <v>45443</v>
      </c>
      <c r="B153" s="101" t="s">
        <v>166</v>
      </c>
    </row>
    <row r="154" spans="1:2">
      <c r="A154" s="100">
        <v>45444</v>
      </c>
      <c r="B154" s="101" t="s">
        <v>166</v>
      </c>
    </row>
    <row r="155" spans="1:2">
      <c r="A155" s="100">
        <v>45445</v>
      </c>
      <c r="B155" s="101" t="s">
        <v>166</v>
      </c>
    </row>
    <row r="156" spans="1:2">
      <c r="A156" s="100">
        <v>45446</v>
      </c>
      <c r="B156" s="101" t="s">
        <v>166</v>
      </c>
    </row>
    <row r="157" spans="1:2">
      <c r="A157" s="100">
        <v>45447</v>
      </c>
      <c r="B157" s="101" t="s">
        <v>166</v>
      </c>
    </row>
    <row r="158" spans="1:2">
      <c r="A158" s="100">
        <v>45448</v>
      </c>
      <c r="B158" s="101" t="s">
        <v>167</v>
      </c>
    </row>
    <row r="159" spans="1:2">
      <c r="A159" s="100">
        <v>45449</v>
      </c>
      <c r="B159" s="101" t="s">
        <v>167</v>
      </c>
    </row>
    <row r="160" spans="1:2">
      <c r="A160" s="100">
        <v>45450</v>
      </c>
      <c r="B160" s="101" t="s">
        <v>167</v>
      </c>
    </row>
    <row r="161" spans="1:2">
      <c r="A161" s="100">
        <v>45451</v>
      </c>
      <c r="B161" s="101" t="s">
        <v>167</v>
      </c>
    </row>
    <row r="162" spans="1:2">
      <c r="A162" s="100">
        <v>45452</v>
      </c>
      <c r="B162" s="101" t="s">
        <v>167</v>
      </c>
    </row>
    <row r="163" spans="1:2">
      <c r="A163" s="100">
        <v>45453</v>
      </c>
      <c r="B163" s="101" t="s">
        <v>167</v>
      </c>
    </row>
    <row r="164" spans="1:2">
      <c r="A164" s="100">
        <v>45454</v>
      </c>
      <c r="B164" s="101" t="s">
        <v>167</v>
      </c>
    </row>
    <row r="165" spans="1:2">
      <c r="A165" s="100">
        <v>45455</v>
      </c>
      <c r="B165" s="101" t="s">
        <v>167</v>
      </c>
    </row>
    <row r="166" spans="1:2">
      <c r="A166" s="100">
        <v>45456</v>
      </c>
      <c r="B166" s="101" t="s">
        <v>167</v>
      </c>
    </row>
    <row r="167" spans="1:2">
      <c r="A167" s="100">
        <v>45457</v>
      </c>
      <c r="B167" s="101" t="s">
        <v>166</v>
      </c>
    </row>
    <row r="168" spans="1:2">
      <c r="A168" s="100">
        <v>45458</v>
      </c>
      <c r="B168" s="101" t="s">
        <v>166</v>
      </c>
    </row>
    <row r="169" spans="1:2">
      <c r="A169" s="100">
        <v>45459</v>
      </c>
      <c r="B169" s="101" t="s">
        <v>166</v>
      </c>
    </row>
    <row r="170" spans="1:2">
      <c r="A170" s="100">
        <v>45460</v>
      </c>
      <c r="B170" s="101" t="s">
        <v>166</v>
      </c>
    </row>
    <row r="171" spans="1:2">
      <c r="A171" s="100">
        <v>45461</v>
      </c>
      <c r="B171" s="101" t="s">
        <v>166</v>
      </c>
    </row>
    <row r="172" spans="1:2">
      <c r="A172" s="100">
        <v>45462</v>
      </c>
      <c r="B172" s="101" t="s">
        <v>166</v>
      </c>
    </row>
    <row r="173" spans="1:2">
      <c r="A173" s="100">
        <v>45463</v>
      </c>
      <c r="B173" s="101" t="s">
        <v>167</v>
      </c>
    </row>
    <row r="174" spans="1:2">
      <c r="A174" s="100">
        <v>45464</v>
      </c>
      <c r="B174" s="101" t="s">
        <v>167</v>
      </c>
    </row>
    <row r="175" spans="1:2">
      <c r="A175" s="100">
        <v>45465</v>
      </c>
      <c r="B175" s="101" t="s">
        <v>167</v>
      </c>
    </row>
    <row r="176" spans="1:2">
      <c r="A176" s="100">
        <v>45466</v>
      </c>
      <c r="B176" s="101" t="s">
        <v>167</v>
      </c>
    </row>
    <row r="177" spans="1:2">
      <c r="A177" s="100">
        <v>45467</v>
      </c>
      <c r="B177" s="101" t="s">
        <v>167</v>
      </c>
    </row>
    <row r="178" spans="1:2">
      <c r="A178" s="100">
        <v>45468</v>
      </c>
      <c r="B178" s="101" t="s">
        <v>167</v>
      </c>
    </row>
    <row r="179" spans="1:2">
      <c r="A179" s="100">
        <v>45469</v>
      </c>
      <c r="B179" s="101" t="s">
        <v>167</v>
      </c>
    </row>
    <row r="180" spans="1:2">
      <c r="A180" s="100">
        <v>45470</v>
      </c>
      <c r="B180" s="101" t="s">
        <v>167</v>
      </c>
    </row>
    <row r="181" spans="1:2">
      <c r="A181" s="100">
        <v>45471</v>
      </c>
      <c r="B181" s="101" t="s">
        <v>167</v>
      </c>
    </row>
    <row r="182" spans="1:2">
      <c r="A182" s="100">
        <v>45472</v>
      </c>
      <c r="B182" s="101" t="s">
        <v>166</v>
      </c>
    </row>
    <row r="183" spans="1:2">
      <c r="A183" s="100">
        <v>45473</v>
      </c>
      <c r="B183" s="101" t="s">
        <v>166</v>
      </c>
    </row>
    <row r="184" spans="1:2">
      <c r="A184" s="100">
        <v>45474</v>
      </c>
      <c r="B184" s="101" t="s">
        <v>166</v>
      </c>
    </row>
    <row r="185" spans="1:2">
      <c r="A185" s="100">
        <v>45475</v>
      </c>
      <c r="B185" s="101" t="s">
        <v>166</v>
      </c>
    </row>
    <row r="186" spans="1:2">
      <c r="A186" s="100">
        <v>45476</v>
      </c>
      <c r="B186" s="101" t="s">
        <v>166</v>
      </c>
    </row>
    <row r="187" spans="1:2">
      <c r="A187" s="100">
        <v>45477</v>
      </c>
      <c r="B187" s="101" t="s">
        <v>166</v>
      </c>
    </row>
    <row r="188" spans="1:2">
      <c r="A188" s="100">
        <v>45478</v>
      </c>
      <c r="B188" s="101" t="s">
        <v>167</v>
      </c>
    </row>
    <row r="189" spans="1:2">
      <c r="A189" s="100">
        <v>45479</v>
      </c>
      <c r="B189" s="101" t="s">
        <v>167</v>
      </c>
    </row>
    <row r="190" spans="1:2">
      <c r="A190" s="100">
        <v>45480</v>
      </c>
      <c r="B190" s="101" t="s">
        <v>167</v>
      </c>
    </row>
    <row r="191" spans="1:2">
      <c r="A191" s="100">
        <v>45481</v>
      </c>
      <c r="B191" s="101" t="s">
        <v>167</v>
      </c>
    </row>
    <row r="192" spans="1:2">
      <c r="A192" s="100">
        <v>45482</v>
      </c>
      <c r="B192" s="101" t="s">
        <v>167</v>
      </c>
    </row>
    <row r="193" spans="1:2">
      <c r="A193" s="100">
        <v>45483</v>
      </c>
      <c r="B193" s="101" t="s">
        <v>167</v>
      </c>
    </row>
    <row r="194" spans="1:2">
      <c r="A194" s="100">
        <v>45484</v>
      </c>
      <c r="B194" s="101" t="s">
        <v>167</v>
      </c>
    </row>
    <row r="195" spans="1:2">
      <c r="A195" s="100">
        <v>45485</v>
      </c>
      <c r="B195" s="101" t="s">
        <v>167</v>
      </c>
    </row>
    <row r="196" spans="1:2">
      <c r="A196" s="100">
        <v>45486</v>
      </c>
      <c r="B196" s="101" t="s">
        <v>167</v>
      </c>
    </row>
    <row r="197" spans="1:2">
      <c r="A197" s="100">
        <v>45487</v>
      </c>
      <c r="B197" s="101" t="s">
        <v>166</v>
      </c>
    </row>
    <row r="198" spans="1:2">
      <c r="A198" s="100">
        <v>45488</v>
      </c>
      <c r="B198" s="101" t="s">
        <v>166</v>
      </c>
    </row>
    <row r="199" spans="1:2">
      <c r="A199" s="100">
        <v>45489</v>
      </c>
      <c r="B199" s="101" t="s">
        <v>166</v>
      </c>
    </row>
    <row r="200" spans="1:2">
      <c r="A200" s="100">
        <v>45490</v>
      </c>
      <c r="B200" s="101" t="s">
        <v>166</v>
      </c>
    </row>
    <row r="201" spans="1:2">
      <c r="A201" s="100">
        <v>45491</v>
      </c>
      <c r="B201" s="101" t="s">
        <v>166</v>
      </c>
    </row>
    <row r="202" spans="1:2">
      <c r="A202" s="100">
        <v>45492</v>
      </c>
      <c r="B202" s="101" t="s">
        <v>166</v>
      </c>
    </row>
    <row r="203" spans="1:2">
      <c r="A203" s="100">
        <v>45493</v>
      </c>
      <c r="B203" s="101" t="s">
        <v>167</v>
      </c>
    </row>
    <row r="204" spans="1:2">
      <c r="A204" s="100">
        <v>45494</v>
      </c>
      <c r="B204" s="101" t="s">
        <v>167</v>
      </c>
    </row>
    <row r="205" spans="1:2">
      <c r="A205" s="100">
        <v>45495</v>
      </c>
      <c r="B205" s="101" t="s">
        <v>167</v>
      </c>
    </row>
    <row r="206" spans="1:2">
      <c r="A206" s="100">
        <v>45496</v>
      </c>
      <c r="B206" s="101" t="s">
        <v>167</v>
      </c>
    </row>
    <row r="207" spans="1:2">
      <c r="A207" s="100">
        <v>45497</v>
      </c>
      <c r="B207" s="101" t="s">
        <v>167</v>
      </c>
    </row>
    <row r="208" spans="1:2">
      <c r="A208" s="100">
        <v>45498</v>
      </c>
      <c r="B208" s="101" t="s">
        <v>167</v>
      </c>
    </row>
    <row r="209" spans="1:2">
      <c r="A209" s="100">
        <v>45499</v>
      </c>
      <c r="B209" s="101" t="s">
        <v>167</v>
      </c>
    </row>
    <row r="210" spans="1:2">
      <c r="A210" s="100">
        <v>45500</v>
      </c>
      <c r="B210" s="101" t="s">
        <v>167</v>
      </c>
    </row>
    <row r="211" spans="1:2">
      <c r="A211" s="100">
        <v>45501</v>
      </c>
      <c r="B211" s="101" t="s">
        <v>167</v>
      </c>
    </row>
    <row r="212" spans="1:2">
      <c r="A212" s="100">
        <v>45502</v>
      </c>
      <c r="B212" s="101" t="s">
        <v>166</v>
      </c>
    </row>
    <row r="213" spans="1:2">
      <c r="A213" s="100">
        <v>45503</v>
      </c>
      <c r="B213" s="101" t="s">
        <v>166</v>
      </c>
    </row>
    <row r="214" spans="1:2">
      <c r="A214" s="100">
        <v>45504</v>
      </c>
      <c r="B214" s="101" t="s">
        <v>166</v>
      </c>
    </row>
    <row r="215" spans="1:2">
      <c r="A215" s="100">
        <v>45505</v>
      </c>
      <c r="B215" s="101" t="s">
        <v>166</v>
      </c>
    </row>
    <row r="216" spans="1:2">
      <c r="A216" s="100">
        <v>45506</v>
      </c>
      <c r="B216" s="101" t="s">
        <v>166</v>
      </c>
    </row>
    <row r="217" spans="1:2">
      <c r="A217" s="100">
        <v>45507</v>
      </c>
      <c r="B217" s="101" t="s">
        <v>166</v>
      </c>
    </row>
    <row r="218" spans="1:2">
      <c r="A218" s="100">
        <v>45508</v>
      </c>
      <c r="B218" s="101" t="s">
        <v>167</v>
      </c>
    </row>
    <row r="219" spans="1:2">
      <c r="A219" s="100">
        <v>45509</v>
      </c>
      <c r="B219" s="101" t="s">
        <v>167</v>
      </c>
    </row>
    <row r="220" spans="1:2">
      <c r="A220" s="100">
        <v>45510</v>
      </c>
      <c r="B220" s="101" t="s">
        <v>167</v>
      </c>
    </row>
    <row r="221" spans="1:2">
      <c r="A221" s="100">
        <v>45511</v>
      </c>
      <c r="B221" s="101" t="s">
        <v>167</v>
      </c>
    </row>
    <row r="222" spans="1:2">
      <c r="A222" s="100">
        <v>45512</v>
      </c>
      <c r="B222" s="101" t="s">
        <v>167</v>
      </c>
    </row>
    <row r="223" spans="1:2">
      <c r="A223" s="100">
        <v>45513</v>
      </c>
      <c r="B223" s="101" t="s">
        <v>167</v>
      </c>
    </row>
    <row r="224" spans="1:2">
      <c r="A224" s="100">
        <v>45514</v>
      </c>
      <c r="B224" s="101" t="s">
        <v>167</v>
      </c>
    </row>
    <row r="225" spans="1:2">
      <c r="A225" s="100">
        <v>45515</v>
      </c>
      <c r="B225" s="101" t="s">
        <v>167</v>
      </c>
    </row>
    <row r="226" spans="1:2">
      <c r="A226" s="100">
        <v>45516</v>
      </c>
      <c r="B226" s="101" t="s">
        <v>167</v>
      </c>
    </row>
    <row r="227" spans="1:2">
      <c r="A227" s="100">
        <v>45517</v>
      </c>
      <c r="B227" s="101" t="s">
        <v>166</v>
      </c>
    </row>
    <row r="228" spans="1:2">
      <c r="A228" s="100">
        <v>45518</v>
      </c>
      <c r="B228" s="101" t="s">
        <v>166</v>
      </c>
    </row>
    <row r="229" spans="1:2">
      <c r="A229" s="100">
        <v>45519</v>
      </c>
      <c r="B229" s="101" t="s">
        <v>166</v>
      </c>
    </row>
    <row r="230" spans="1:2">
      <c r="A230" s="100">
        <v>45520</v>
      </c>
      <c r="B230" s="101" t="s">
        <v>166</v>
      </c>
    </row>
    <row r="231" spans="1:2">
      <c r="A231" s="100">
        <v>45521</v>
      </c>
      <c r="B231" s="101" t="s">
        <v>166</v>
      </c>
    </row>
    <row r="232" spans="1:2">
      <c r="A232" s="100">
        <v>45522</v>
      </c>
      <c r="B232" s="101" t="s">
        <v>166</v>
      </c>
    </row>
    <row r="233" spans="1:2">
      <c r="A233" s="100">
        <v>45523</v>
      </c>
      <c r="B233" s="101" t="s">
        <v>167</v>
      </c>
    </row>
    <row r="234" spans="1:2">
      <c r="A234" s="100">
        <v>45524</v>
      </c>
      <c r="B234" s="101" t="s">
        <v>167</v>
      </c>
    </row>
    <row r="235" spans="1:2">
      <c r="A235" s="100">
        <v>45525</v>
      </c>
      <c r="B235" s="101" t="s">
        <v>167</v>
      </c>
    </row>
    <row r="236" spans="1:2">
      <c r="A236" s="100">
        <v>45526</v>
      </c>
      <c r="B236" s="101" t="s">
        <v>167</v>
      </c>
    </row>
    <row r="237" spans="1:2">
      <c r="A237" s="100">
        <v>45527</v>
      </c>
      <c r="B237" s="101" t="s">
        <v>167</v>
      </c>
    </row>
    <row r="238" spans="1:2">
      <c r="A238" s="100">
        <v>45528</v>
      </c>
      <c r="B238" s="101" t="s">
        <v>167</v>
      </c>
    </row>
    <row r="239" spans="1:2">
      <c r="A239" s="100">
        <v>45529</v>
      </c>
      <c r="B239" s="101" t="s">
        <v>167</v>
      </c>
    </row>
    <row r="240" spans="1:2">
      <c r="A240" s="100">
        <v>45530</v>
      </c>
      <c r="B240" s="101" t="s">
        <v>167</v>
      </c>
    </row>
    <row r="241" spans="1:2">
      <c r="A241" s="100">
        <v>45531</v>
      </c>
      <c r="B241" s="101" t="s">
        <v>167</v>
      </c>
    </row>
    <row r="242" spans="1:2">
      <c r="A242" s="100">
        <v>45532</v>
      </c>
      <c r="B242" s="101" t="s">
        <v>166</v>
      </c>
    </row>
    <row r="243" spans="1:2">
      <c r="A243" s="100">
        <v>45533</v>
      </c>
      <c r="B243" s="101" t="s">
        <v>166</v>
      </c>
    </row>
    <row r="244" spans="1:2">
      <c r="A244" s="100">
        <v>45534</v>
      </c>
      <c r="B244" s="101" t="s">
        <v>166</v>
      </c>
    </row>
    <row r="245" spans="1:2">
      <c r="A245" s="100">
        <v>45535</v>
      </c>
      <c r="B245" s="101" t="s">
        <v>166</v>
      </c>
    </row>
    <row r="246" spans="1:2">
      <c r="A246" s="100">
        <v>45536</v>
      </c>
      <c r="B246" s="101" t="s">
        <v>166</v>
      </c>
    </row>
    <row r="247" spans="1:2">
      <c r="A247" s="100">
        <v>45537</v>
      </c>
      <c r="B247" s="101" t="s">
        <v>166</v>
      </c>
    </row>
    <row r="248" spans="1:2">
      <c r="A248" s="100">
        <v>45538</v>
      </c>
      <c r="B248" s="101" t="s">
        <v>167</v>
      </c>
    </row>
    <row r="249" spans="1:2">
      <c r="A249" s="100">
        <v>45539</v>
      </c>
      <c r="B249" s="101" t="s">
        <v>167</v>
      </c>
    </row>
    <row r="250" spans="1:2">
      <c r="A250" s="100">
        <v>45540</v>
      </c>
      <c r="B250" s="101" t="s">
        <v>167</v>
      </c>
    </row>
    <row r="251" spans="1:2">
      <c r="A251" s="100">
        <v>45541</v>
      </c>
      <c r="B251" s="101" t="s">
        <v>167</v>
      </c>
    </row>
    <row r="252" spans="1:2">
      <c r="A252" s="100">
        <v>45542</v>
      </c>
      <c r="B252" s="101" t="s">
        <v>167</v>
      </c>
    </row>
    <row r="253" spans="1:2">
      <c r="A253" s="100">
        <v>45543</v>
      </c>
      <c r="B253" s="101" t="s">
        <v>167</v>
      </c>
    </row>
    <row r="254" spans="1:2">
      <c r="A254" s="100">
        <v>45544</v>
      </c>
      <c r="B254" s="101" t="s">
        <v>167</v>
      </c>
    </row>
    <row r="255" spans="1:2">
      <c r="A255" s="100">
        <v>45545</v>
      </c>
      <c r="B255" s="101" t="s">
        <v>167</v>
      </c>
    </row>
    <row r="256" spans="1:2">
      <c r="A256" s="100">
        <v>45546</v>
      </c>
      <c r="B256" s="101" t="s">
        <v>167</v>
      </c>
    </row>
    <row r="257" spans="1:2">
      <c r="A257" s="100">
        <v>45547</v>
      </c>
      <c r="B257" s="101" t="s">
        <v>166</v>
      </c>
    </row>
    <row r="258" spans="1:2">
      <c r="A258" s="100">
        <v>45548</v>
      </c>
      <c r="B258" s="101" t="s">
        <v>166</v>
      </c>
    </row>
    <row r="259" spans="1:2">
      <c r="A259" s="100">
        <v>45549</v>
      </c>
      <c r="B259" s="101" t="s">
        <v>166</v>
      </c>
    </row>
    <row r="260" spans="1:2">
      <c r="A260" s="100">
        <v>45550</v>
      </c>
      <c r="B260" s="101" t="s">
        <v>166</v>
      </c>
    </row>
    <row r="261" spans="1:2">
      <c r="A261" s="100">
        <v>45551</v>
      </c>
      <c r="B261" s="101" t="s">
        <v>166</v>
      </c>
    </row>
    <row r="262" spans="1:2">
      <c r="A262" s="100">
        <v>45552</v>
      </c>
      <c r="B262" s="101" t="s">
        <v>166</v>
      </c>
    </row>
    <row r="263" spans="1:2">
      <c r="A263" s="100">
        <v>45553</v>
      </c>
      <c r="B263" s="101" t="s">
        <v>167</v>
      </c>
    </row>
    <row r="264" spans="1:2">
      <c r="A264" s="100">
        <v>45554</v>
      </c>
      <c r="B264" s="101" t="s">
        <v>167</v>
      </c>
    </row>
    <row r="265" spans="1:2">
      <c r="A265" s="100">
        <v>45555</v>
      </c>
      <c r="B265" s="101" t="s">
        <v>167</v>
      </c>
    </row>
    <row r="266" spans="1:2">
      <c r="A266" s="100">
        <v>45556</v>
      </c>
      <c r="B266" s="101" t="s">
        <v>167</v>
      </c>
    </row>
    <row r="267" spans="1:2">
      <c r="A267" s="100">
        <v>45557</v>
      </c>
      <c r="B267" s="101" t="s">
        <v>167</v>
      </c>
    </row>
    <row r="268" spans="1:2">
      <c r="A268" s="100">
        <v>45558</v>
      </c>
      <c r="B268" s="101" t="s">
        <v>167</v>
      </c>
    </row>
    <row r="269" spans="1:2">
      <c r="A269" s="100">
        <v>45559</v>
      </c>
      <c r="B269" s="101" t="s">
        <v>167</v>
      </c>
    </row>
    <row r="270" spans="1:2">
      <c r="A270" s="100">
        <v>45560</v>
      </c>
      <c r="B270" s="101" t="s">
        <v>167</v>
      </c>
    </row>
    <row r="271" spans="1:2">
      <c r="A271" s="100">
        <v>45561</v>
      </c>
      <c r="B271" s="101" t="s">
        <v>167</v>
      </c>
    </row>
    <row r="272" spans="1:2">
      <c r="A272" s="100">
        <v>45562</v>
      </c>
      <c r="B272" s="101" t="s">
        <v>166</v>
      </c>
    </row>
    <row r="273" spans="1:2">
      <c r="A273" s="100">
        <v>45563</v>
      </c>
      <c r="B273" s="101" t="s">
        <v>166</v>
      </c>
    </row>
    <row r="274" spans="1:2">
      <c r="A274" s="100">
        <v>45564</v>
      </c>
      <c r="B274" s="101" t="s">
        <v>166</v>
      </c>
    </row>
    <row r="275" spans="1:2">
      <c r="A275" s="100">
        <v>45565</v>
      </c>
      <c r="B275" s="101" t="s">
        <v>166</v>
      </c>
    </row>
    <row r="276" spans="1:2">
      <c r="A276" s="100">
        <v>45566</v>
      </c>
      <c r="B276" s="101" t="s">
        <v>166</v>
      </c>
    </row>
    <row r="277" spans="1:2">
      <c r="A277" s="100">
        <v>45567</v>
      </c>
      <c r="B277" s="101" t="s">
        <v>166</v>
      </c>
    </row>
    <row r="278" spans="1:2">
      <c r="A278" s="100">
        <v>45568</v>
      </c>
      <c r="B278" s="101" t="s">
        <v>167</v>
      </c>
    </row>
    <row r="279" spans="1:2">
      <c r="A279" s="100">
        <v>45569</v>
      </c>
      <c r="B279" s="101" t="s">
        <v>167</v>
      </c>
    </row>
    <row r="280" spans="1:2">
      <c r="A280" s="100">
        <v>45570</v>
      </c>
      <c r="B280" s="101" t="s">
        <v>167</v>
      </c>
    </row>
    <row r="281" spans="1:2">
      <c r="A281" s="100">
        <v>45571</v>
      </c>
      <c r="B281" s="101" t="s">
        <v>167</v>
      </c>
    </row>
    <row r="282" spans="1:2">
      <c r="A282" s="100">
        <v>45572</v>
      </c>
      <c r="B282" s="101" t="s">
        <v>167</v>
      </c>
    </row>
    <row r="283" spans="1:2">
      <c r="A283" s="100">
        <v>45573</v>
      </c>
      <c r="B283" s="101" t="s">
        <v>167</v>
      </c>
    </row>
    <row r="284" spans="1:2">
      <c r="A284" s="100">
        <v>45574</v>
      </c>
      <c r="B284" s="101" t="s">
        <v>167</v>
      </c>
    </row>
    <row r="285" spans="1:2">
      <c r="A285" s="100">
        <v>45575</v>
      </c>
      <c r="B285" s="101" t="s">
        <v>167</v>
      </c>
    </row>
    <row r="286" spans="1:2">
      <c r="A286" s="100">
        <v>45576</v>
      </c>
      <c r="B286" s="101" t="s">
        <v>167</v>
      </c>
    </row>
    <row r="287" spans="1:2">
      <c r="A287" s="100">
        <v>45577</v>
      </c>
      <c r="B287" s="101" t="s">
        <v>166</v>
      </c>
    </row>
    <row r="288" spans="1:2">
      <c r="A288" s="100">
        <v>45578</v>
      </c>
      <c r="B288" s="101" t="s">
        <v>166</v>
      </c>
    </row>
    <row r="289" spans="1:2">
      <c r="A289" s="100">
        <v>45579</v>
      </c>
      <c r="B289" s="101" t="s">
        <v>166</v>
      </c>
    </row>
    <row r="290" spans="1:2">
      <c r="A290" s="100">
        <v>45580</v>
      </c>
      <c r="B290" s="101" t="s">
        <v>166</v>
      </c>
    </row>
    <row r="291" spans="1:2">
      <c r="A291" s="100">
        <v>45581</v>
      </c>
      <c r="B291" s="101" t="s">
        <v>166</v>
      </c>
    </row>
    <row r="292" spans="1:2">
      <c r="A292" s="100">
        <v>45582</v>
      </c>
      <c r="B292" s="101" t="s">
        <v>166</v>
      </c>
    </row>
    <row r="293" spans="1:2">
      <c r="A293" s="100">
        <v>45583</v>
      </c>
      <c r="B293" s="101" t="s">
        <v>167</v>
      </c>
    </row>
    <row r="294" spans="1:2">
      <c r="A294" s="100">
        <v>45584</v>
      </c>
      <c r="B294" s="101" t="s">
        <v>167</v>
      </c>
    </row>
    <row r="295" spans="1:2">
      <c r="A295" s="100">
        <v>45585</v>
      </c>
      <c r="B295" s="101" t="s">
        <v>167</v>
      </c>
    </row>
    <row r="296" spans="1:2">
      <c r="A296" s="100">
        <v>45586</v>
      </c>
      <c r="B296" s="101" t="s">
        <v>167</v>
      </c>
    </row>
    <row r="297" spans="1:2">
      <c r="A297" s="100">
        <v>45587</v>
      </c>
      <c r="B297" s="101" t="s">
        <v>167</v>
      </c>
    </row>
    <row r="298" spans="1:2">
      <c r="A298" s="100">
        <v>45588</v>
      </c>
      <c r="B298" s="101" t="s">
        <v>167</v>
      </c>
    </row>
    <row r="299" spans="1:2">
      <c r="A299" s="100">
        <v>45589</v>
      </c>
      <c r="B299" s="101" t="s">
        <v>167</v>
      </c>
    </row>
    <row r="300" spans="1:2">
      <c r="A300" s="100">
        <v>45590</v>
      </c>
      <c r="B300" s="101" t="s">
        <v>167</v>
      </c>
    </row>
    <row r="301" spans="1:2">
      <c r="A301" s="100">
        <v>45591</v>
      </c>
      <c r="B301" s="101" t="s">
        <v>167</v>
      </c>
    </row>
    <row r="302" spans="1:2">
      <c r="A302" s="100">
        <v>45592</v>
      </c>
      <c r="B302" s="101" t="s">
        <v>166</v>
      </c>
    </row>
    <row r="303" spans="1:2">
      <c r="A303" s="100">
        <v>45593</v>
      </c>
      <c r="B303" s="101" t="s">
        <v>166</v>
      </c>
    </row>
    <row r="304" spans="1:2">
      <c r="A304" s="100">
        <v>45594</v>
      </c>
      <c r="B304" s="101" t="s">
        <v>166</v>
      </c>
    </row>
    <row r="305" spans="1:2">
      <c r="A305" s="100">
        <v>45595</v>
      </c>
      <c r="B305" s="101" t="s">
        <v>166</v>
      </c>
    </row>
    <row r="306" spans="1:2">
      <c r="A306" s="100">
        <v>45596</v>
      </c>
      <c r="B306" s="101" t="s">
        <v>166</v>
      </c>
    </row>
    <row r="307" spans="1:2">
      <c r="A307" s="100">
        <v>45597</v>
      </c>
      <c r="B307" s="101" t="s">
        <v>166</v>
      </c>
    </row>
    <row r="308" spans="1:2">
      <c r="A308" s="100">
        <v>45598</v>
      </c>
      <c r="B308" s="101" t="s">
        <v>167</v>
      </c>
    </row>
    <row r="309" spans="1:2">
      <c r="A309" s="100">
        <v>45599</v>
      </c>
      <c r="B309" s="101" t="s">
        <v>167</v>
      </c>
    </row>
    <row r="310" spans="1:2">
      <c r="A310" s="100">
        <v>45600</v>
      </c>
      <c r="B310" s="101" t="s">
        <v>167</v>
      </c>
    </row>
    <row r="311" spans="1:2">
      <c r="A311" s="100">
        <v>45601</v>
      </c>
      <c r="B311" s="101" t="s">
        <v>167</v>
      </c>
    </row>
    <row r="312" spans="1:2">
      <c r="A312" s="100">
        <v>45602</v>
      </c>
      <c r="B312" s="101" t="s">
        <v>167</v>
      </c>
    </row>
    <row r="313" spans="1:2">
      <c r="A313" s="100">
        <v>45603</v>
      </c>
      <c r="B313" s="101" t="s">
        <v>167</v>
      </c>
    </row>
    <row r="314" spans="1:2">
      <c r="A314" s="100">
        <v>45604</v>
      </c>
      <c r="B314" s="101" t="s">
        <v>167</v>
      </c>
    </row>
    <row r="315" spans="1:2">
      <c r="A315" s="100">
        <v>45605</v>
      </c>
      <c r="B315" s="101" t="s">
        <v>167</v>
      </c>
    </row>
    <row r="316" spans="1:2">
      <c r="A316" s="100">
        <v>45606</v>
      </c>
      <c r="B316" s="101" t="s">
        <v>167</v>
      </c>
    </row>
    <row r="317" spans="1:2">
      <c r="A317" s="100">
        <v>45607</v>
      </c>
      <c r="B317" s="101" t="s">
        <v>166</v>
      </c>
    </row>
    <row r="318" spans="1:2">
      <c r="A318" s="100">
        <v>45608</v>
      </c>
      <c r="B318" s="101" t="s">
        <v>166</v>
      </c>
    </row>
    <row r="319" spans="1:2">
      <c r="A319" s="100">
        <v>45609</v>
      </c>
      <c r="B319" s="101" t="s">
        <v>166</v>
      </c>
    </row>
    <row r="320" spans="1:2">
      <c r="A320" s="100">
        <v>45610</v>
      </c>
      <c r="B320" s="101" t="s">
        <v>166</v>
      </c>
    </row>
    <row r="321" spans="1:2">
      <c r="A321" s="100">
        <v>45611</v>
      </c>
      <c r="B321" s="101" t="s">
        <v>166</v>
      </c>
    </row>
    <row r="322" spans="1:2">
      <c r="A322" s="100">
        <v>45612</v>
      </c>
      <c r="B322" s="101" t="s">
        <v>166</v>
      </c>
    </row>
    <row r="323" spans="1:2">
      <c r="A323" s="100">
        <v>45613</v>
      </c>
      <c r="B323" s="101" t="s">
        <v>167</v>
      </c>
    </row>
    <row r="324" spans="1:2">
      <c r="A324" s="100">
        <v>45614</v>
      </c>
      <c r="B324" s="101" t="s">
        <v>167</v>
      </c>
    </row>
    <row r="325" spans="1:2">
      <c r="A325" s="100">
        <v>45615</v>
      </c>
      <c r="B325" s="101" t="s">
        <v>167</v>
      </c>
    </row>
    <row r="326" spans="1:2">
      <c r="A326" s="100">
        <v>45616</v>
      </c>
      <c r="B326" s="101" t="s">
        <v>167</v>
      </c>
    </row>
    <row r="327" spans="1:2">
      <c r="A327" s="100">
        <v>45617</v>
      </c>
      <c r="B327" s="101" t="s">
        <v>167</v>
      </c>
    </row>
    <row r="328" spans="1:2">
      <c r="A328" s="100">
        <v>45618</v>
      </c>
      <c r="B328" s="101" t="s">
        <v>167</v>
      </c>
    </row>
    <row r="329" spans="1:2">
      <c r="A329" s="100">
        <v>45619</v>
      </c>
      <c r="B329" s="101" t="s">
        <v>167</v>
      </c>
    </row>
    <row r="330" spans="1:2">
      <c r="A330" s="100">
        <v>45620</v>
      </c>
      <c r="B330" s="101" t="s">
        <v>167</v>
      </c>
    </row>
    <row r="331" spans="1:2">
      <c r="A331" s="100">
        <v>45621</v>
      </c>
      <c r="B331" s="101" t="s">
        <v>167</v>
      </c>
    </row>
    <row r="332" spans="1:2">
      <c r="A332" s="100">
        <v>45622</v>
      </c>
      <c r="B332" s="101" t="s">
        <v>166</v>
      </c>
    </row>
    <row r="333" spans="1:2">
      <c r="A333" s="100">
        <v>45623</v>
      </c>
      <c r="B333" s="101" t="s">
        <v>166</v>
      </c>
    </row>
    <row r="334" spans="1:2">
      <c r="A334" s="100">
        <v>45624</v>
      </c>
      <c r="B334" s="101" t="s">
        <v>166</v>
      </c>
    </row>
    <row r="335" spans="1:2">
      <c r="A335" s="100">
        <v>45625</v>
      </c>
      <c r="B335" s="101" t="s">
        <v>166</v>
      </c>
    </row>
    <row r="336" spans="1:2">
      <c r="A336" s="100">
        <v>45626</v>
      </c>
      <c r="B336" s="101" t="s">
        <v>166</v>
      </c>
    </row>
    <row r="337" spans="1:2">
      <c r="A337" s="100">
        <v>45627</v>
      </c>
      <c r="B337" s="101" t="s">
        <v>166</v>
      </c>
    </row>
    <row r="338" spans="1:2">
      <c r="A338" s="100">
        <v>45628</v>
      </c>
      <c r="B338" s="101" t="s">
        <v>167</v>
      </c>
    </row>
    <row r="339" spans="1:2">
      <c r="A339" s="100">
        <v>45629</v>
      </c>
      <c r="B339" s="101" t="s">
        <v>167</v>
      </c>
    </row>
    <row r="340" spans="1:2">
      <c r="A340" s="100">
        <v>45630</v>
      </c>
      <c r="B340" s="101" t="s">
        <v>167</v>
      </c>
    </row>
    <row r="341" spans="1:2">
      <c r="A341" s="100">
        <v>45631</v>
      </c>
      <c r="B341" s="101" t="s">
        <v>167</v>
      </c>
    </row>
    <row r="342" spans="1:2">
      <c r="A342" s="100">
        <v>45632</v>
      </c>
      <c r="B342" s="101" t="s">
        <v>167</v>
      </c>
    </row>
    <row r="343" spans="1:2">
      <c r="A343" s="100">
        <v>45633</v>
      </c>
      <c r="B343" s="101" t="s">
        <v>167</v>
      </c>
    </row>
    <row r="344" spans="1:2">
      <c r="A344" s="100">
        <v>45634</v>
      </c>
      <c r="B344" s="101" t="s">
        <v>167</v>
      </c>
    </row>
    <row r="345" spans="1:2">
      <c r="A345" s="100">
        <v>45635</v>
      </c>
      <c r="B345" s="101" t="s">
        <v>167</v>
      </c>
    </row>
    <row r="346" spans="1:2">
      <c r="A346" s="100">
        <v>45636</v>
      </c>
      <c r="B346" s="101" t="s">
        <v>167</v>
      </c>
    </row>
    <row r="347" spans="1:2">
      <c r="A347" s="100">
        <v>45637</v>
      </c>
      <c r="B347" s="101" t="s">
        <v>166</v>
      </c>
    </row>
    <row r="348" spans="1:2">
      <c r="A348" s="100">
        <v>45638</v>
      </c>
      <c r="B348" s="101" t="s">
        <v>166</v>
      </c>
    </row>
    <row r="349" spans="1:2">
      <c r="A349" s="100">
        <v>45639</v>
      </c>
      <c r="B349" s="101" t="s">
        <v>166</v>
      </c>
    </row>
    <row r="350" spans="1:2">
      <c r="A350" s="100">
        <v>45640</v>
      </c>
      <c r="B350" s="101" t="s">
        <v>166</v>
      </c>
    </row>
    <row r="351" spans="1:2">
      <c r="A351" s="100">
        <v>45641</v>
      </c>
      <c r="B351" s="101" t="s">
        <v>166</v>
      </c>
    </row>
    <row r="352" spans="1:2">
      <c r="A352" s="100">
        <v>45642</v>
      </c>
      <c r="B352" s="101" t="s">
        <v>166</v>
      </c>
    </row>
    <row r="353" spans="1:2">
      <c r="A353" s="100">
        <v>45643</v>
      </c>
      <c r="B353" s="101" t="s">
        <v>167</v>
      </c>
    </row>
    <row r="354" spans="1:2">
      <c r="A354" s="100">
        <v>45644</v>
      </c>
      <c r="B354" s="101" t="s">
        <v>167</v>
      </c>
    </row>
    <row r="355" spans="1:2">
      <c r="A355" s="100">
        <v>45645</v>
      </c>
      <c r="B355" s="101" t="s">
        <v>167</v>
      </c>
    </row>
    <row r="356" spans="1:2">
      <c r="A356" s="100">
        <v>45646</v>
      </c>
      <c r="B356" s="101" t="s">
        <v>167</v>
      </c>
    </row>
    <row r="357" spans="1:2">
      <c r="A357" s="100">
        <v>45647</v>
      </c>
      <c r="B357" s="101" t="s">
        <v>167</v>
      </c>
    </row>
    <row r="358" spans="1:2">
      <c r="A358" s="100">
        <v>45648</v>
      </c>
      <c r="B358" s="101" t="s">
        <v>167</v>
      </c>
    </row>
    <row r="359" spans="1:2">
      <c r="A359" s="100">
        <v>45649</v>
      </c>
      <c r="B359" s="101" t="s">
        <v>167</v>
      </c>
    </row>
    <row r="360" spans="1:2">
      <c r="A360" s="100">
        <v>45650</v>
      </c>
      <c r="B360" s="101" t="s">
        <v>167</v>
      </c>
    </row>
    <row r="361" spans="1:2">
      <c r="A361" s="100">
        <v>45651</v>
      </c>
      <c r="B361" s="101" t="s">
        <v>167</v>
      </c>
    </row>
    <row r="362" spans="1:2">
      <c r="A362" s="100">
        <v>45652</v>
      </c>
      <c r="B362" s="101" t="s">
        <v>166</v>
      </c>
    </row>
    <row r="363" spans="1:2">
      <c r="A363" s="100">
        <v>45653</v>
      </c>
      <c r="B363" s="101" t="s">
        <v>166</v>
      </c>
    </row>
    <row r="364" spans="1:2">
      <c r="A364" s="100">
        <v>45654</v>
      </c>
      <c r="B364" s="101" t="s">
        <v>166</v>
      </c>
    </row>
    <row r="365" spans="1:2">
      <c r="A365" s="100">
        <v>45655</v>
      </c>
      <c r="B365" s="101" t="s">
        <v>166</v>
      </c>
    </row>
    <row r="366" spans="1:2">
      <c r="A366" s="100">
        <v>45656</v>
      </c>
      <c r="B366" s="101" t="s">
        <v>166</v>
      </c>
    </row>
    <row r="367" spans="1:2">
      <c r="A367" s="100">
        <v>45657</v>
      </c>
      <c r="B367" s="101" t="s">
        <v>166</v>
      </c>
    </row>
    <row r="368" spans="1:2">
      <c r="A368" s="100">
        <v>45658</v>
      </c>
      <c r="B368" s="101" t="s">
        <v>167</v>
      </c>
    </row>
    <row r="369" spans="1:2">
      <c r="A369" s="100">
        <v>45659</v>
      </c>
      <c r="B369" s="101" t="s">
        <v>167</v>
      </c>
    </row>
    <row r="370" spans="1:2">
      <c r="A370" s="100">
        <v>45660</v>
      </c>
      <c r="B370" s="101" t="s">
        <v>167</v>
      </c>
    </row>
    <row r="371" spans="1:2">
      <c r="A371" s="100">
        <v>45661</v>
      </c>
      <c r="B371" s="101" t="s">
        <v>167</v>
      </c>
    </row>
    <row r="372" spans="1:2">
      <c r="A372" s="100">
        <v>45662</v>
      </c>
      <c r="B372" s="101" t="s">
        <v>167</v>
      </c>
    </row>
    <row r="373" spans="1:2">
      <c r="A373" s="100">
        <v>45663</v>
      </c>
      <c r="B373" s="101" t="s">
        <v>167</v>
      </c>
    </row>
    <row r="374" spans="1:2">
      <c r="A374" s="100">
        <v>45664</v>
      </c>
      <c r="B374" s="101" t="s">
        <v>167</v>
      </c>
    </row>
    <row r="375" spans="1:2">
      <c r="A375" s="100">
        <v>45665</v>
      </c>
      <c r="B375" s="101" t="s">
        <v>167</v>
      </c>
    </row>
    <row r="376" spans="1:2">
      <c r="A376" s="100">
        <v>45666</v>
      </c>
      <c r="B376" s="101" t="s">
        <v>167</v>
      </c>
    </row>
    <row r="377" spans="1:2">
      <c r="A377" s="100">
        <v>45667</v>
      </c>
      <c r="B377" s="101" t="s">
        <v>166</v>
      </c>
    </row>
    <row r="378" spans="1:2">
      <c r="A378" s="100">
        <v>45668</v>
      </c>
      <c r="B378" s="101" t="s">
        <v>166</v>
      </c>
    </row>
    <row r="379" spans="1:2">
      <c r="A379" s="100">
        <v>45669</v>
      </c>
      <c r="B379" s="101" t="s">
        <v>166</v>
      </c>
    </row>
    <row r="380" spans="1:2">
      <c r="A380" s="100">
        <v>45670</v>
      </c>
      <c r="B380" s="101" t="s">
        <v>166</v>
      </c>
    </row>
    <row r="381" spans="1:2">
      <c r="A381" s="100">
        <v>45671</v>
      </c>
      <c r="B381" s="101" t="s">
        <v>166</v>
      </c>
    </row>
    <row r="382" spans="1:2">
      <c r="A382" s="100">
        <v>45672</v>
      </c>
      <c r="B382" s="101" t="s">
        <v>166</v>
      </c>
    </row>
    <row r="383" spans="1:2">
      <c r="A383" s="100">
        <v>45673</v>
      </c>
      <c r="B383" s="101" t="s">
        <v>167</v>
      </c>
    </row>
    <row r="384" spans="1:2">
      <c r="A384" s="100">
        <v>45674</v>
      </c>
      <c r="B384" s="101" t="s">
        <v>167</v>
      </c>
    </row>
    <row r="385" spans="1:2">
      <c r="A385" s="100">
        <v>45675</v>
      </c>
      <c r="B385" s="101" t="s">
        <v>167</v>
      </c>
    </row>
    <row r="386" spans="1:2">
      <c r="A386" s="100">
        <v>45676</v>
      </c>
      <c r="B386" s="101" t="s">
        <v>167</v>
      </c>
    </row>
    <row r="387" spans="1:2">
      <c r="A387" s="100">
        <v>45677</v>
      </c>
      <c r="B387" s="101" t="s">
        <v>167</v>
      </c>
    </row>
    <row r="388" spans="1:2">
      <c r="A388" s="100">
        <v>45678</v>
      </c>
      <c r="B388" s="101" t="s">
        <v>167</v>
      </c>
    </row>
    <row r="389" spans="1:2">
      <c r="A389" s="100">
        <v>45679</v>
      </c>
      <c r="B389" s="101" t="s">
        <v>167</v>
      </c>
    </row>
    <row r="390" spans="1:2">
      <c r="A390" s="100">
        <v>45680</v>
      </c>
      <c r="B390" s="101" t="s">
        <v>167</v>
      </c>
    </row>
    <row r="391" spans="1:2">
      <c r="A391" s="100">
        <v>45681</v>
      </c>
      <c r="B391" s="101" t="s">
        <v>167</v>
      </c>
    </row>
    <row r="392" spans="1:2">
      <c r="A392" s="100">
        <v>45682</v>
      </c>
      <c r="B392" s="101" t="s">
        <v>166</v>
      </c>
    </row>
    <row r="393" spans="1:2">
      <c r="A393" s="100">
        <v>45683</v>
      </c>
      <c r="B393" s="101" t="s">
        <v>166</v>
      </c>
    </row>
    <row r="394" spans="1:2">
      <c r="A394" s="100">
        <v>45684</v>
      </c>
      <c r="B394" s="101" t="s">
        <v>166</v>
      </c>
    </row>
    <row r="395" spans="1:2">
      <c r="A395" s="100">
        <v>45685</v>
      </c>
      <c r="B395" s="101" t="s">
        <v>166</v>
      </c>
    </row>
    <row r="396" spans="1:2">
      <c r="A396" s="100">
        <v>45686</v>
      </c>
      <c r="B396" s="101" t="s">
        <v>166</v>
      </c>
    </row>
    <row r="397" spans="1:2">
      <c r="A397" s="100">
        <v>45687</v>
      </c>
      <c r="B397" s="101" t="s">
        <v>166</v>
      </c>
    </row>
    <row r="398" spans="1:2">
      <c r="A398" s="100">
        <v>45688</v>
      </c>
      <c r="B398" s="101" t="s">
        <v>167</v>
      </c>
    </row>
    <row r="399" spans="1:2">
      <c r="A399" s="100">
        <v>45689</v>
      </c>
      <c r="B399" s="101" t="s">
        <v>167</v>
      </c>
    </row>
    <row r="400" spans="1:2">
      <c r="A400" s="100">
        <v>45690</v>
      </c>
      <c r="B400" s="101" t="s">
        <v>167</v>
      </c>
    </row>
    <row r="401" spans="1:2">
      <c r="A401" s="100">
        <v>45691</v>
      </c>
      <c r="B401" s="101" t="s">
        <v>167</v>
      </c>
    </row>
    <row r="402" spans="1:2">
      <c r="A402" s="100">
        <v>45692</v>
      </c>
      <c r="B402" s="101" t="s">
        <v>167</v>
      </c>
    </row>
    <row r="403" spans="1:2">
      <c r="A403" s="100">
        <v>45693</v>
      </c>
      <c r="B403" s="101" t="s">
        <v>167</v>
      </c>
    </row>
    <row r="404" spans="1:2">
      <c r="A404" s="100">
        <v>45694</v>
      </c>
      <c r="B404" s="101" t="s">
        <v>167</v>
      </c>
    </row>
    <row r="405" spans="1:2">
      <c r="A405" s="100">
        <v>45695</v>
      </c>
      <c r="B405" s="101" t="s">
        <v>167</v>
      </c>
    </row>
    <row r="406" spans="1:2">
      <c r="A406" s="100">
        <v>45696</v>
      </c>
      <c r="B406" s="101" t="s">
        <v>167</v>
      </c>
    </row>
    <row r="407" spans="1:2">
      <c r="A407" s="100">
        <v>45697</v>
      </c>
      <c r="B407" s="101" t="s">
        <v>166</v>
      </c>
    </row>
    <row r="408" spans="1:2">
      <c r="A408" s="100">
        <v>45698</v>
      </c>
      <c r="B408" s="101" t="s">
        <v>166</v>
      </c>
    </row>
    <row r="409" spans="1:2">
      <c r="A409" s="100">
        <v>45699</v>
      </c>
      <c r="B409" s="101" t="s">
        <v>166</v>
      </c>
    </row>
    <row r="410" spans="1:2">
      <c r="A410" s="100">
        <v>45700</v>
      </c>
      <c r="B410" s="101" t="s">
        <v>166</v>
      </c>
    </row>
    <row r="411" spans="1:2">
      <c r="A411" s="100">
        <v>45701</v>
      </c>
      <c r="B411" s="101" t="s">
        <v>166</v>
      </c>
    </row>
    <row r="412" spans="1:2">
      <c r="A412" s="100">
        <v>45702</v>
      </c>
      <c r="B412" s="101" t="s">
        <v>166</v>
      </c>
    </row>
    <row r="413" spans="1:2">
      <c r="A413" s="100">
        <v>45703</v>
      </c>
      <c r="B413" s="101" t="s">
        <v>167</v>
      </c>
    </row>
    <row r="414" spans="1:2">
      <c r="A414" s="100">
        <v>45704</v>
      </c>
      <c r="B414" s="101" t="s">
        <v>167</v>
      </c>
    </row>
    <row r="415" spans="1:2">
      <c r="A415" s="100">
        <v>45705</v>
      </c>
      <c r="B415" s="101" t="s">
        <v>167</v>
      </c>
    </row>
    <row r="416" spans="1:2">
      <c r="A416" s="100">
        <v>45706</v>
      </c>
      <c r="B416" s="101" t="s">
        <v>167</v>
      </c>
    </row>
    <row r="417" spans="1:2">
      <c r="A417" s="100">
        <v>45707</v>
      </c>
      <c r="B417" s="101" t="s">
        <v>167</v>
      </c>
    </row>
    <row r="418" spans="1:2">
      <c r="A418" s="100">
        <v>45708</v>
      </c>
      <c r="B418" s="101" t="s">
        <v>167</v>
      </c>
    </row>
    <row r="419" spans="1:2">
      <c r="A419" s="100">
        <v>45709</v>
      </c>
      <c r="B419" s="101" t="s">
        <v>167</v>
      </c>
    </row>
    <row r="420" spans="1:2">
      <c r="A420" s="100">
        <v>45710</v>
      </c>
      <c r="B420" s="101" t="s">
        <v>167</v>
      </c>
    </row>
    <row r="421" spans="1:2">
      <c r="A421" s="100">
        <v>45711</v>
      </c>
      <c r="B421" s="101" t="s">
        <v>167</v>
      </c>
    </row>
    <row r="422" spans="1:2">
      <c r="A422" s="100">
        <v>45712</v>
      </c>
      <c r="B422" s="101" t="s">
        <v>166</v>
      </c>
    </row>
    <row r="423" spans="1:2">
      <c r="A423" s="100">
        <v>45713</v>
      </c>
      <c r="B423" s="101" t="s">
        <v>166</v>
      </c>
    </row>
    <row r="424" spans="1:2">
      <c r="A424" s="100">
        <v>45714</v>
      </c>
      <c r="B424" s="101" t="s">
        <v>166</v>
      </c>
    </row>
    <row r="425" spans="1:2">
      <c r="A425" s="100">
        <v>45715</v>
      </c>
      <c r="B425" s="101" t="s">
        <v>166</v>
      </c>
    </row>
    <row r="426" spans="1:2">
      <c r="A426" s="100">
        <v>45716</v>
      </c>
      <c r="B426" s="101" t="s">
        <v>166</v>
      </c>
    </row>
    <row r="427" spans="1:2">
      <c r="A427" s="100">
        <v>45717</v>
      </c>
      <c r="B427" s="101" t="s">
        <v>166</v>
      </c>
    </row>
    <row r="428" spans="1:2">
      <c r="A428" s="100">
        <v>45718</v>
      </c>
      <c r="B428" s="101" t="s">
        <v>167</v>
      </c>
    </row>
    <row r="429" spans="1:2">
      <c r="A429" s="100">
        <v>45719</v>
      </c>
      <c r="B429" s="101" t="s">
        <v>167</v>
      </c>
    </row>
    <row r="430" spans="1:2">
      <c r="A430" s="100">
        <v>45720</v>
      </c>
      <c r="B430" s="101" t="s">
        <v>167</v>
      </c>
    </row>
    <row r="431" spans="1:2">
      <c r="A431" s="100">
        <v>45721</v>
      </c>
      <c r="B431" s="101" t="s">
        <v>167</v>
      </c>
    </row>
    <row r="432" spans="1:2">
      <c r="A432" s="100">
        <v>45722</v>
      </c>
      <c r="B432" s="101" t="s">
        <v>167</v>
      </c>
    </row>
    <row r="433" spans="1:2">
      <c r="A433" s="100">
        <v>45723</v>
      </c>
      <c r="B433" s="101" t="s">
        <v>167</v>
      </c>
    </row>
    <row r="434" spans="1:2">
      <c r="A434" s="100">
        <v>45724</v>
      </c>
      <c r="B434" s="101" t="s">
        <v>167</v>
      </c>
    </row>
    <row r="435" spans="1:2">
      <c r="A435" s="100">
        <v>45725</v>
      </c>
      <c r="B435" s="101" t="s">
        <v>167</v>
      </c>
    </row>
    <row r="436" spans="1:2">
      <c r="A436" s="100">
        <v>45726</v>
      </c>
      <c r="B436" s="101" t="s">
        <v>167</v>
      </c>
    </row>
    <row r="437" spans="1:2">
      <c r="A437" s="100">
        <v>45727</v>
      </c>
      <c r="B437" s="101" t="s">
        <v>166</v>
      </c>
    </row>
    <row r="438" spans="1:2">
      <c r="A438" s="100">
        <v>45728</v>
      </c>
      <c r="B438" s="101" t="s">
        <v>166</v>
      </c>
    </row>
    <row r="439" spans="1:2">
      <c r="A439" s="100">
        <v>45729</v>
      </c>
      <c r="B439" s="101" t="s">
        <v>166</v>
      </c>
    </row>
    <row r="440" spans="1:2">
      <c r="A440" s="100">
        <v>45730</v>
      </c>
      <c r="B440" s="101" t="s">
        <v>166</v>
      </c>
    </row>
    <row r="441" spans="1:2">
      <c r="A441" s="100">
        <v>45731</v>
      </c>
      <c r="B441" s="101" t="s">
        <v>166</v>
      </c>
    </row>
    <row r="442" spans="1:2">
      <c r="A442" s="100">
        <v>45732</v>
      </c>
      <c r="B442" s="101" t="s">
        <v>166</v>
      </c>
    </row>
    <row r="443" spans="1:2">
      <c r="A443" s="100">
        <v>45733</v>
      </c>
      <c r="B443" s="101" t="s">
        <v>167</v>
      </c>
    </row>
    <row r="444" spans="1:2">
      <c r="A444" s="100">
        <v>45734</v>
      </c>
      <c r="B444" s="101" t="s">
        <v>167</v>
      </c>
    </row>
    <row r="445" spans="1:2">
      <c r="A445" s="100">
        <v>45735</v>
      </c>
      <c r="B445" s="101" t="s">
        <v>167</v>
      </c>
    </row>
    <row r="446" spans="1:2">
      <c r="A446" s="100">
        <v>45736</v>
      </c>
      <c r="B446" s="101" t="s">
        <v>167</v>
      </c>
    </row>
    <row r="447" spans="1:2">
      <c r="A447" s="100">
        <v>45737</v>
      </c>
      <c r="B447" s="101" t="s">
        <v>167</v>
      </c>
    </row>
    <row r="448" spans="1:2">
      <c r="A448" s="100">
        <v>45738</v>
      </c>
      <c r="B448" s="101" t="s">
        <v>167</v>
      </c>
    </row>
    <row r="449" spans="1:2">
      <c r="A449" s="100">
        <v>45739</v>
      </c>
      <c r="B449" s="101" t="s">
        <v>167</v>
      </c>
    </row>
    <row r="450" spans="1:2">
      <c r="A450" s="100">
        <v>45740</v>
      </c>
      <c r="B450" s="101" t="s">
        <v>167</v>
      </c>
    </row>
    <row r="451" spans="1:2">
      <c r="A451" s="100">
        <v>45741</v>
      </c>
      <c r="B451" s="101" t="s">
        <v>167</v>
      </c>
    </row>
    <row r="452" spans="1:2">
      <c r="A452" s="100">
        <v>45742</v>
      </c>
      <c r="B452" s="101" t="s">
        <v>166</v>
      </c>
    </row>
    <row r="453" spans="1:2">
      <c r="A453" s="100">
        <v>45743</v>
      </c>
      <c r="B453" s="101" t="s">
        <v>166</v>
      </c>
    </row>
    <row r="454" spans="1:2">
      <c r="A454" s="100">
        <v>45744</v>
      </c>
      <c r="B454" s="101" t="s">
        <v>166</v>
      </c>
    </row>
    <row r="455" spans="1:2">
      <c r="A455" s="100">
        <v>45745</v>
      </c>
      <c r="B455" s="101" t="s">
        <v>166</v>
      </c>
    </row>
    <row r="456" spans="1:2">
      <c r="A456" s="100">
        <v>45746</v>
      </c>
      <c r="B456" s="101" t="s">
        <v>166</v>
      </c>
    </row>
    <row r="457" spans="1:2">
      <c r="A457" s="100">
        <v>45747</v>
      </c>
      <c r="B457" s="101" t="s">
        <v>166</v>
      </c>
    </row>
    <row r="458" spans="1:2">
      <c r="A458" s="100">
        <v>45748</v>
      </c>
      <c r="B458" s="101" t="s">
        <v>167</v>
      </c>
    </row>
    <row r="459" spans="1:2">
      <c r="A459" s="100">
        <v>45749</v>
      </c>
      <c r="B459" s="101" t="s">
        <v>167</v>
      </c>
    </row>
    <row r="460" spans="1:2">
      <c r="A460" s="100">
        <v>45750</v>
      </c>
      <c r="B460" s="101" t="s">
        <v>167</v>
      </c>
    </row>
    <row r="461" spans="1:2">
      <c r="A461" s="100">
        <v>45751</v>
      </c>
      <c r="B461" s="101" t="s">
        <v>167</v>
      </c>
    </row>
    <row r="462" spans="1:2">
      <c r="A462" s="100">
        <v>45752</v>
      </c>
      <c r="B462" s="101" t="s">
        <v>167</v>
      </c>
    </row>
    <row r="463" spans="1:2">
      <c r="A463" s="100">
        <v>45753</v>
      </c>
      <c r="B463" s="101" t="s">
        <v>167</v>
      </c>
    </row>
    <row r="464" spans="1:2">
      <c r="A464" s="100">
        <v>45754</v>
      </c>
      <c r="B464" s="101" t="s">
        <v>167</v>
      </c>
    </row>
    <row r="465" spans="1:2">
      <c r="A465" s="100">
        <v>45755</v>
      </c>
      <c r="B465" s="101" t="s">
        <v>167</v>
      </c>
    </row>
    <row r="466" spans="1:2">
      <c r="A466" s="100">
        <v>45756</v>
      </c>
      <c r="B466" s="101" t="s">
        <v>167</v>
      </c>
    </row>
    <row r="467" spans="1:2">
      <c r="A467" s="100">
        <v>45757</v>
      </c>
      <c r="B467" s="101" t="s">
        <v>166</v>
      </c>
    </row>
    <row r="468" spans="1:2">
      <c r="A468" s="100">
        <v>45758</v>
      </c>
      <c r="B468" s="101" t="s">
        <v>166</v>
      </c>
    </row>
    <row r="469" spans="1:2">
      <c r="A469" s="100">
        <v>45759</v>
      </c>
      <c r="B469" s="101" t="s">
        <v>166</v>
      </c>
    </row>
    <row r="470" spans="1:2">
      <c r="A470" s="100">
        <v>45760</v>
      </c>
      <c r="B470" s="101" t="s">
        <v>166</v>
      </c>
    </row>
    <row r="471" spans="1:2">
      <c r="A471" s="100">
        <v>45761</v>
      </c>
      <c r="B471" s="101" t="s">
        <v>166</v>
      </c>
    </row>
    <row r="472" spans="1:2">
      <c r="A472" s="100">
        <v>45762</v>
      </c>
      <c r="B472" s="101" t="s">
        <v>166</v>
      </c>
    </row>
    <row r="473" spans="1:2">
      <c r="A473" s="100">
        <v>45763</v>
      </c>
      <c r="B473" s="101" t="s">
        <v>167</v>
      </c>
    </row>
    <row r="474" spans="1:2">
      <c r="A474" s="100">
        <v>45764</v>
      </c>
      <c r="B474" s="101" t="s">
        <v>167</v>
      </c>
    </row>
    <row r="475" spans="1:2">
      <c r="A475" s="100">
        <v>45765</v>
      </c>
      <c r="B475" s="101" t="s">
        <v>167</v>
      </c>
    </row>
    <row r="476" spans="1:2">
      <c r="A476" s="100">
        <v>45766</v>
      </c>
      <c r="B476" s="101" t="s">
        <v>167</v>
      </c>
    </row>
    <row r="477" spans="1:2">
      <c r="A477" s="100">
        <v>45767</v>
      </c>
      <c r="B477" s="101" t="s">
        <v>167</v>
      </c>
    </row>
    <row r="478" spans="1:2">
      <c r="A478" s="100">
        <v>45768</v>
      </c>
      <c r="B478" s="101" t="s">
        <v>167</v>
      </c>
    </row>
    <row r="479" spans="1:2">
      <c r="A479" s="100">
        <v>45769</v>
      </c>
      <c r="B479" s="101" t="s">
        <v>167</v>
      </c>
    </row>
    <row r="480" spans="1:2">
      <c r="A480" s="100">
        <v>45770</v>
      </c>
      <c r="B480" s="101" t="s">
        <v>167</v>
      </c>
    </row>
    <row r="481" spans="1:2">
      <c r="A481" s="100">
        <v>45771</v>
      </c>
      <c r="B481" s="101" t="s">
        <v>167</v>
      </c>
    </row>
    <row r="482" spans="1:2">
      <c r="A482" s="100">
        <v>45772</v>
      </c>
      <c r="B482" s="101" t="s">
        <v>166</v>
      </c>
    </row>
    <row r="483" spans="1:2">
      <c r="A483" s="100">
        <v>45773</v>
      </c>
      <c r="B483" s="101" t="s">
        <v>166</v>
      </c>
    </row>
    <row r="484" spans="1:2">
      <c r="A484" s="100">
        <v>45774</v>
      </c>
      <c r="B484" s="101" t="s">
        <v>166</v>
      </c>
    </row>
    <row r="485" spans="1:2">
      <c r="A485" s="100">
        <v>45775</v>
      </c>
      <c r="B485" s="101" t="s">
        <v>166</v>
      </c>
    </row>
    <row r="486" spans="1:2">
      <c r="A486" s="100">
        <v>45776</v>
      </c>
      <c r="B486" s="101" t="s">
        <v>166</v>
      </c>
    </row>
    <row r="487" spans="1:2">
      <c r="A487" s="100">
        <v>45777</v>
      </c>
      <c r="B487" s="101" t="s">
        <v>166</v>
      </c>
    </row>
    <row r="488" spans="1:2">
      <c r="A488" s="100">
        <v>45778</v>
      </c>
      <c r="B488" s="101" t="s">
        <v>167</v>
      </c>
    </row>
    <row r="489" spans="1:2">
      <c r="A489" s="100">
        <v>45779</v>
      </c>
      <c r="B489" s="101" t="s">
        <v>167</v>
      </c>
    </row>
    <row r="490" spans="1:2">
      <c r="A490" s="100">
        <v>45780</v>
      </c>
      <c r="B490" s="101" t="s">
        <v>167</v>
      </c>
    </row>
    <row r="491" spans="1:2">
      <c r="A491" s="100">
        <v>45781</v>
      </c>
      <c r="B491" s="101" t="s">
        <v>167</v>
      </c>
    </row>
    <row r="492" spans="1:2">
      <c r="A492" s="100">
        <v>45782</v>
      </c>
      <c r="B492" s="101" t="s">
        <v>167</v>
      </c>
    </row>
    <row r="493" spans="1:2">
      <c r="A493" s="100">
        <v>45783</v>
      </c>
      <c r="B493" s="101" t="s">
        <v>167</v>
      </c>
    </row>
    <row r="494" spans="1:2">
      <c r="A494" s="100">
        <v>45784</v>
      </c>
      <c r="B494" s="101" t="s">
        <v>167</v>
      </c>
    </row>
    <row r="495" spans="1:2">
      <c r="A495" s="100">
        <v>45785</v>
      </c>
      <c r="B495" s="101" t="s">
        <v>167</v>
      </c>
    </row>
    <row r="496" spans="1:2">
      <c r="A496" s="100">
        <v>45786</v>
      </c>
      <c r="B496" s="101" t="s">
        <v>167</v>
      </c>
    </row>
    <row r="497" spans="1:2">
      <c r="A497" s="100">
        <v>45787</v>
      </c>
      <c r="B497" s="101" t="s">
        <v>166</v>
      </c>
    </row>
    <row r="498" spans="1:2">
      <c r="A498" s="100">
        <v>45788</v>
      </c>
      <c r="B498" s="101" t="s">
        <v>166</v>
      </c>
    </row>
    <row r="499" spans="1:2">
      <c r="A499" s="100">
        <v>45789</v>
      </c>
      <c r="B499" s="101" t="s">
        <v>166</v>
      </c>
    </row>
    <row r="500" spans="1:2">
      <c r="A500" s="100">
        <v>45790</v>
      </c>
      <c r="B500" s="101" t="s">
        <v>166</v>
      </c>
    </row>
    <row r="501" spans="1:2">
      <c r="A501" s="100">
        <v>45791</v>
      </c>
      <c r="B501" s="101" t="s">
        <v>166</v>
      </c>
    </row>
    <row r="502" spans="1:2">
      <c r="A502" s="100">
        <v>45792</v>
      </c>
      <c r="B502" s="101" t="s">
        <v>166</v>
      </c>
    </row>
    <row r="503" spans="1:2">
      <c r="A503" s="100">
        <v>45793</v>
      </c>
      <c r="B503" s="101" t="s">
        <v>167</v>
      </c>
    </row>
    <row r="504" spans="1:2">
      <c r="A504" s="100">
        <v>45794</v>
      </c>
      <c r="B504" s="101" t="s">
        <v>167</v>
      </c>
    </row>
    <row r="505" spans="1:2">
      <c r="A505" s="100">
        <v>45795</v>
      </c>
      <c r="B505" s="101" t="s">
        <v>167</v>
      </c>
    </row>
    <row r="506" spans="1:2">
      <c r="A506" s="100">
        <v>45796</v>
      </c>
      <c r="B506" s="101" t="s">
        <v>167</v>
      </c>
    </row>
    <row r="507" spans="1:2">
      <c r="A507" s="100">
        <v>45797</v>
      </c>
      <c r="B507" s="101" t="s">
        <v>167</v>
      </c>
    </row>
    <row r="508" spans="1:2">
      <c r="A508" s="100">
        <v>45798</v>
      </c>
      <c r="B508" s="101" t="s">
        <v>167</v>
      </c>
    </row>
    <row r="509" spans="1:2">
      <c r="A509" s="100">
        <v>45799</v>
      </c>
      <c r="B509" s="101" t="s">
        <v>167</v>
      </c>
    </row>
    <row r="510" spans="1:2">
      <c r="A510" s="100">
        <v>45800</v>
      </c>
      <c r="B510" s="101" t="s">
        <v>167</v>
      </c>
    </row>
    <row r="511" spans="1:2">
      <c r="A511" s="100">
        <v>45801</v>
      </c>
      <c r="B511" s="101" t="s">
        <v>167</v>
      </c>
    </row>
    <row r="512" spans="1:2">
      <c r="A512" s="100">
        <v>45802</v>
      </c>
      <c r="B512" s="101" t="s">
        <v>166</v>
      </c>
    </row>
    <row r="513" spans="1:2">
      <c r="A513" s="100">
        <v>45803</v>
      </c>
      <c r="B513" s="101" t="s">
        <v>166</v>
      </c>
    </row>
    <row r="514" spans="1:2">
      <c r="A514" s="100">
        <v>45804</v>
      </c>
      <c r="B514" s="101" t="s">
        <v>166</v>
      </c>
    </row>
    <row r="515" spans="1:2">
      <c r="A515" s="100">
        <v>45805</v>
      </c>
      <c r="B515" s="101" t="s">
        <v>166</v>
      </c>
    </row>
    <row r="516" spans="1:2">
      <c r="A516" s="100">
        <v>45806</v>
      </c>
      <c r="B516" s="101" t="s">
        <v>166</v>
      </c>
    </row>
    <row r="517" spans="1:2">
      <c r="A517" s="100">
        <v>45807</v>
      </c>
      <c r="B517" s="101" t="s">
        <v>166</v>
      </c>
    </row>
    <row r="518" spans="1:2">
      <c r="A518" s="100">
        <v>45808</v>
      </c>
      <c r="B518" s="101" t="s">
        <v>167</v>
      </c>
    </row>
    <row r="519" spans="1:2">
      <c r="A519" s="100">
        <v>45809</v>
      </c>
      <c r="B519" s="101" t="s">
        <v>167</v>
      </c>
    </row>
    <row r="520" spans="1:2">
      <c r="A520" s="100">
        <v>45810</v>
      </c>
      <c r="B520" s="101" t="s">
        <v>167</v>
      </c>
    </row>
    <row r="521" spans="1:2">
      <c r="A521" s="100">
        <v>45811</v>
      </c>
      <c r="B521" s="101" t="s">
        <v>167</v>
      </c>
    </row>
    <row r="522" spans="1:2">
      <c r="A522" s="100">
        <v>45812</v>
      </c>
      <c r="B522" s="101" t="s">
        <v>167</v>
      </c>
    </row>
    <row r="523" spans="1:2">
      <c r="A523" s="100">
        <v>45813</v>
      </c>
      <c r="B523" s="101" t="s">
        <v>167</v>
      </c>
    </row>
    <row r="524" spans="1:2">
      <c r="A524" s="100">
        <v>45814</v>
      </c>
      <c r="B524" s="101" t="s">
        <v>167</v>
      </c>
    </row>
    <row r="525" spans="1:2">
      <c r="A525" s="100">
        <v>45815</v>
      </c>
      <c r="B525" s="101" t="s">
        <v>167</v>
      </c>
    </row>
    <row r="526" spans="1:2">
      <c r="A526" s="100">
        <v>45816</v>
      </c>
      <c r="B526" s="101" t="s">
        <v>167</v>
      </c>
    </row>
    <row r="527" spans="1:2">
      <c r="A527" s="100">
        <v>45817</v>
      </c>
      <c r="B527" s="101" t="s">
        <v>166</v>
      </c>
    </row>
    <row r="528" spans="1:2">
      <c r="A528" s="100">
        <v>45818</v>
      </c>
      <c r="B528" s="101" t="s">
        <v>166</v>
      </c>
    </row>
    <row r="529" spans="1:2">
      <c r="A529" s="100">
        <v>45819</v>
      </c>
      <c r="B529" s="101" t="s">
        <v>166</v>
      </c>
    </row>
    <row r="530" spans="1:2">
      <c r="A530" s="100">
        <v>45820</v>
      </c>
      <c r="B530" s="101" t="s">
        <v>166</v>
      </c>
    </row>
    <row r="531" spans="1:2">
      <c r="A531" s="100">
        <v>45821</v>
      </c>
      <c r="B531" s="101" t="s">
        <v>166</v>
      </c>
    </row>
    <row r="532" spans="1:2">
      <c r="A532" s="100">
        <v>45822</v>
      </c>
      <c r="B532" s="101" t="s">
        <v>166</v>
      </c>
    </row>
    <row r="533" spans="1:2">
      <c r="A533" s="100">
        <v>45823</v>
      </c>
      <c r="B533" s="101" t="s">
        <v>167</v>
      </c>
    </row>
    <row r="534" spans="1:2">
      <c r="A534" s="100">
        <v>45824</v>
      </c>
      <c r="B534" s="101" t="s">
        <v>167</v>
      </c>
    </row>
    <row r="535" spans="1:2">
      <c r="A535" s="100">
        <v>45825</v>
      </c>
      <c r="B535" s="101" t="s">
        <v>167</v>
      </c>
    </row>
    <row r="536" spans="1:2">
      <c r="A536" s="100">
        <v>45826</v>
      </c>
      <c r="B536" s="101" t="s">
        <v>167</v>
      </c>
    </row>
    <row r="537" spans="1:2">
      <c r="A537" s="100">
        <v>45827</v>
      </c>
      <c r="B537" s="101" t="s">
        <v>167</v>
      </c>
    </row>
    <row r="538" spans="1:2">
      <c r="A538" s="100">
        <v>45828</v>
      </c>
      <c r="B538" s="101" t="s">
        <v>167</v>
      </c>
    </row>
    <row r="539" spans="1:2">
      <c r="A539" s="100">
        <v>45829</v>
      </c>
      <c r="B539" s="101" t="s">
        <v>167</v>
      </c>
    </row>
    <row r="540" spans="1:2">
      <c r="A540" s="100">
        <v>45830</v>
      </c>
      <c r="B540" s="101" t="s">
        <v>167</v>
      </c>
    </row>
    <row r="541" spans="1:2">
      <c r="A541" s="100">
        <v>45831</v>
      </c>
      <c r="B541" s="101" t="s">
        <v>167</v>
      </c>
    </row>
    <row r="542" spans="1:2">
      <c r="A542" s="100">
        <v>45832</v>
      </c>
      <c r="B542" s="101" t="s">
        <v>166</v>
      </c>
    </row>
    <row r="543" spans="1:2">
      <c r="A543" s="100">
        <v>45833</v>
      </c>
      <c r="B543" s="101" t="s">
        <v>166</v>
      </c>
    </row>
    <row r="544" spans="1:2">
      <c r="A544" s="100">
        <v>45834</v>
      </c>
      <c r="B544" s="101" t="s">
        <v>166</v>
      </c>
    </row>
    <row r="545" spans="1:2">
      <c r="A545" s="100">
        <v>45835</v>
      </c>
      <c r="B545" s="101" t="s">
        <v>166</v>
      </c>
    </row>
    <row r="546" spans="1:2">
      <c r="A546" s="100">
        <v>45836</v>
      </c>
      <c r="B546" s="101" t="s">
        <v>166</v>
      </c>
    </row>
    <row r="547" spans="1:2">
      <c r="A547" s="100">
        <v>45837</v>
      </c>
      <c r="B547" s="101" t="s">
        <v>166</v>
      </c>
    </row>
    <row r="548" spans="1:2">
      <c r="A548" s="100">
        <v>45838</v>
      </c>
      <c r="B548" s="101" t="s">
        <v>167</v>
      </c>
    </row>
    <row r="549" spans="1:2">
      <c r="A549" s="100">
        <v>45839</v>
      </c>
      <c r="B549" s="101" t="s">
        <v>167</v>
      </c>
    </row>
    <row r="550" spans="1:2">
      <c r="A550" s="100">
        <v>45840</v>
      </c>
      <c r="B550" s="101" t="s">
        <v>167</v>
      </c>
    </row>
    <row r="551" spans="1:2">
      <c r="A551" s="100">
        <v>45841</v>
      </c>
      <c r="B551" s="101" t="s">
        <v>167</v>
      </c>
    </row>
    <row r="552" spans="1:2">
      <c r="A552" s="100">
        <v>45842</v>
      </c>
      <c r="B552" s="101" t="s">
        <v>167</v>
      </c>
    </row>
    <row r="553" spans="1:2">
      <c r="A553" s="100">
        <v>45843</v>
      </c>
      <c r="B553" s="101" t="s">
        <v>167</v>
      </c>
    </row>
    <row r="554" spans="1:2">
      <c r="A554" s="100">
        <v>45844</v>
      </c>
      <c r="B554" s="101" t="s">
        <v>167</v>
      </c>
    </row>
    <row r="555" spans="1:2">
      <c r="A555" s="100">
        <v>45845</v>
      </c>
      <c r="B555" s="101" t="s">
        <v>167</v>
      </c>
    </row>
    <row r="556" spans="1:2">
      <c r="A556" s="100">
        <v>45846</v>
      </c>
      <c r="B556" s="101" t="s">
        <v>167</v>
      </c>
    </row>
    <row r="557" spans="1:2">
      <c r="A557" s="100">
        <v>45847</v>
      </c>
      <c r="B557" s="101" t="s">
        <v>166</v>
      </c>
    </row>
    <row r="558" spans="1:2">
      <c r="A558" s="100">
        <v>45848</v>
      </c>
      <c r="B558" s="101" t="s">
        <v>166</v>
      </c>
    </row>
    <row r="559" spans="1:2">
      <c r="A559" s="100">
        <v>45849</v>
      </c>
      <c r="B559" s="101" t="s">
        <v>166</v>
      </c>
    </row>
    <row r="560" spans="1:2">
      <c r="A560" s="100">
        <v>45850</v>
      </c>
      <c r="B560" s="101" t="s">
        <v>166</v>
      </c>
    </row>
    <row r="561" spans="1:2">
      <c r="A561" s="100">
        <v>45851</v>
      </c>
      <c r="B561" s="101" t="s">
        <v>166</v>
      </c>
    </row>
    <row r="562" spans="1:2">
      <c r="A562" s="100">
        <v>45852</v>
      </c>
      <c r="B562" s="101" t="s">
        <v>166</v>
      </c>
    </row>
    <row r="563" spans="1:2">
      <c r="A563" s="100">
        <v>45853</v>
      </c>
      <c r="B563" s="101" t="s">
        <v>167</v>
      </c>
    </row>
    <row r="564" spans="1:2">
      <c r="A564" s="100">
        <v>45854</v>
      </c>
      <c r="B564" s="101" t="s">
        <v>167</v>
      </c>
    </row>
    <row r="565" spans="1:2">
      <c r="A565" s="100">
        <v>45855</v>
      </c>
      <c r="B565" s="101" t="s">
        <v>167</v>
      </c>
    </row>
    <row r="566" spans="1:2">
      <c r="A566" s="100">
        <v>45856</v>
      </c>
      <c r="B566" s="101" t="s">
        <v>167</v>
      </c>
    </row>
    <row r="567" spans="1:2">
      <c r="A567" s="100">
        <v>45857</v>
      </c>
      <c r="B567" s="101" t="s">
        <v>167</v>
      </c>
    </row>
    <row r="568" spans="1:2">
      <c r="A568" s="100">
        <v>45858</v>
      </c>
      <c r="B568" s="101" t="s">
        <v>167</v>
      </c>
    </row>
    <row r="569" spans="1:2">
      <c r="A569" s="100">
        <v>45859</v>
      </c>
      <c r="B569" s="101" t="s">
        <v>167</v>
      </c>
    </row>
    <row r="570" spans="1:2">
      <c r="A570" s="100">
        <v>45860</v>
      </c>
      <c r="B570" s="101" t="s">
        <v>167</v>
      </c>
    </row>
    <row r="571" spans="1:2">
      <c r="A571" s="100">
        <v>45861</v>
      </c>
      <c r="B571" s="101" t="s">
        <v>167</v>
      </c>
    </row>
    <row r="572" spans="1:2">
      <c r="A572" s="100">
        <v>45862</v>
      </c>
      <c r="B572" s="101" t="s">
        <v>166</v>
      </c>
    </row>
    <row r="573" spans="1:2">
      <c r="A573" s="100">
        <v>45863</v>
      </c>
      <c r="B573" s="101" t="s">
        <v>166</v>
      </c>
    </row>
    <row r="574" spans="1:2">
      <c r="A574" s="100">
        <v>45864</v>
      </c>
      <c r="B574" s="101" t="s">
        <v>166</v>
      </c>
    </row>
    <row r="575" spans="1:2">
      <c r="A575" s="100">
        <v>45865</v>
      </c>
      <c r="B575" s="101" t="s">
        <v>166</v>
      </c>
    </row>
    <row r="576" spans="1:2">
      <c r="A576" s="100">
        <v>45866</v>
      </c>
      <c r="B576" s="101" t="s">
        <v>166</v>
      </c>
    </row>
    <row r="577" spans="1:2">
      <c r="A577" s="100">
        <v>45867</v>
      </c>
      <c r="B577" s="101" t="s">
        <v>166</v>
      </c>
    </row>
    <row r="578" spans="1:2">
      <c r="A578" s="100">
        <v>45868</v>
      </c>
      <c r="B578" s="101" t="s">
        <v>167</v>
      </c>
    </row>
    <row r="579" spans="1:2">
      <c r="A579" s="100">
        <v>45869</v>
      </c>
      <c r="B579" s="101" t="s">
        <v>167</v>
      </c>
    </row>
    <row r="580" spans="1:2">
      <c r="A580" s="100">
        <v>45870</v>
      </c>
      <c r="B580" s="101" t="s">
        <v>167</v>
      </c>
    </row>
    <row r="581" spans="1:2">
      <c r="A581" s="100">
        <v>45871</v>
      </c>
      <c r="B581" s="101" t="s">
        <v>167</v>
      </c>
    </row>
    <row r="582" spans="1:2">
      <c r="A582" s="100">
        <v>45872</v>
      </c>
      <c r="B582" s="101" t="s">
        <v>167</v>
      </c>
    </row>
    <row r="583" spans="1:2">
      <c r="A583" s="100">
        <v>45873</v>
      </c>
      <c r="B583" s="101" t="s">
        <v>167</v>
      </c>
    </row>
    <row r="584" spans="1:2">
      <c r="A584" s="100">
        <v>45874</v>
      </c>
      <c r="B584" s="101" t="s">
        <v>167</v>
      </c>
    </row>
    <row r="585" spans="1:2">
      <c r="A585" s="100">
        <v>45875</v>
      </c>
      <c r="B585" s="101" t="s">
        <v>167</v>
      </c>
    </row>
    <row r="586" spans="1:2">
      <c r="A586" s="100">
        <v>45876</v>
      </c>
      <c r="B586" s="101" t="s">
        <v>167</v>
      </c>
    </row>
    <row r="587" spans="1:2">
      <c r="A587" s="100">
        <v>45877</v>
      </c>
      <c r="B587" s="101" t="s">
        <v>166</v>
      </c>
    </row>
    <row r="588" spans="1:2">
      <c r="A588" s="100">
        <v>45878</v>
      </c>
      <c r="B588" s="101" t="s">
        <v>166</v>
      </c>
    </row>
    <row r="589" spans="1:2">
      <c r="A589" s="100">
        <v>45879</v>
      </c>
      <c r="B589" s="101" t="s">
        <v>166</v>
      </c>
    </row>
    <row r="590" spans="1:2">
      <c r="A590" s="100">
        <v>45880</v>
      </c>
      <c r="B590" s="101" t="s">
        <v>166</v>
      </c>
    </row>
    <row r="591" spans="1:2">
      <c r="A591" s="100">
        <v>45881</v>
      </c>
      <c r="B591" s="101" t="s">
        <v>166</v>
      </c>
    </row>
    <row r="592" spans="1:2">
      <c r="A592" s="100">
        <v>45882</v>
      </c>
      <c r="B592" s="101" t="s">
        <v>166</v>
      </c>
    </row>
    <row r="593" spans="1:2">
      <c r="A593" s="100">
        <v>45883</v>
      </c>
      <c r="B593" s="101" t="s">
        <v>167</v>
      </c>
    </row>
    <row r="594" spans="1:2">
      <c r="A594" s="100">
        <v>45884</v>
      </c>
      <c r="B594" s="101" t="s">
        <v>167</v>
      </c>
    </row>
    <row r="595" spans="1:2">
      <c r="A595" s="100">
        <v>45885</v>
      </c>
      <c r="B595" s="101" t="s">
        <v>167</v>
      </c>
    </row>
    <row r="596" spans="1:2">
      <c r="A596" s="100">
        <v>45886</v>
      </c>
      <c r="B596" s="101" t="s">
        <v>167</v>
      </c>
    </row>
    <row r="597" spans="1:2">
      <c r="A597" s="100">
        <v>45887</v>
      </c>
      <c r="B597" s="101" t="s">
        <v>167</v>
      </c>
    </row>
    <row r="598" spans="1:2">
      <c r="A598" s="100">
        <v>45888</v>
      </c>
      <c r="B598" s="101" t="s">
        <v>167</v>
      </c>
    </row>
    <row r="599" spans="1:2">
      <c r="A599" s="100">
        <v>45889</v>
      </c>
      <c r="B599" s="101" t="s">
        <v>167</v>
      </c>
    </row>
    <row r="600" spans="1:2">
      <c r="A600" s="100">
        <v>45890</v>
      </c>
      <c r="B600" s="101" t="s">
        <v>167</v>
      </c>
    </row>
    <row r="601" spans="1:2">
      <c r="A601" s="100">
        <v>45891</v>
      </c>
      <c r="B601" s="101" t="s">
        <v>167</v>
      </c>
    </row>
    <row r="602" spans="1:2">
      <c r="A602" s="100">
        <v>45892</v>
      </c>
      <c r="B602" s="101" t="s">
        <v>166</v>
      </c>
    </row>
    <row r="603" spans="1:2">
      <c r="A603" s="100">
        <v>45893</v>
      </c>
      <c r="B603" s="101" t="s">
        <v>166</v>
      </c>
    </row>
    <row r="604" spans="1:2">
      <c r="A604" s="100">
        <v>45894</v>
      </c>
      <c r="B604" s="101" t="s">
        <v>166</v>
      </c>
    </row>
    <row r="605" spans="1:2">
      <c r="A605" s="100">
        <v>45895</v>
      </c>
      <c r="B605" s="101" t="s">
        <v>166</v>
      </c>
    </row>
    <row r="606" spans="1:2">
      <c r="A606" s="100">
        <v>45896</v>
      </c>
      <c r="B606" s="101" t="s">
        <v>166</v>
      </c>
    </row>
    <row r="607" spans="1:2">
      <c r="A607" s="100">
        <v>45897</v>
      </c>
      <c r="B607" s="101" t="s">
        <v>166</v>
      </c>
    </row>
    <row r="608" spans="1:2">
      <c r="A608" s="100">
        <v>45898</v>
      </c>
      <c r="B608" s="101" t="s">
        <v>167</v>
      </c>
    </row>
    <row r="609" spans="1:2">
      <c r="A609" s="100">
        <v>45899</v>
      </c>
      <c r="B609" s="101" t="s">
        <v>167</v>
      </c>
    </row>
    <row r="610" spans="1:2">
      <c r="A610" s="100">
        <v>45900</v>
      </c>
      <c r="B610" s="101" t="s">
        <v>167</v>
      </c>
    </row>
    <row r="611" spans="1:2">
      <c r="A611" s="100">
        <v>45901</v>
      </c>
      <c r="B611" s="101" t="s">
        <v>167</v>
      </c>
    </row>
    <row r="612" spans="1:2">
      <c r="A612" s="100">
        <v>45902</v>
      </c>
      <c r="B612" s="101" t="s">
        <v>167</v>
      </c>
    </row>
    <row r="613" spans="1:2">
      <c r="A613" s="100">
        <v>45903</v>
      </c>
      <c r="B613" s="101" t="s">
        <v>167</v>
      </c>
    </row>
    <row r="614" spans="1:2">
      <c r="A614" s="100">
        <v>45904</v>
      </c>
      <c r="B614" s="101" t="s">
        <v>167</v>
      </c>
    </row>
    <row r="615" spans="1:2">
      <c r="A615" s="100">
        <v>45905</v>
      </c>
      <c r="B615" s="101" t="s">
        <v>167</v>
      </c>
    </row>
    <row r="616" spans="1:2">
      <c r="A616" s="100">
        <v>45906</v>
      </c>
      <c r="B616" s="101" t="s">
        <v>167</v>
      </c>
    </row>
    <row r="617" spans="1:2">
      <c r="A617" s="100">
        <v>45907</v>
      </c>
      <c r="B617" s="101" t="s">
        <v>166</v>
      </c>
    </row>
    <row r="618" spans="1:2">
      <c r="A618" s="100">
        <v>45908</v>
      </c>
      <c r="B618" s="101" t="s">
        <v>166</v>
      </c>
    </row>
    <row r="619" spans="1:2">
      <c r="A619" s="100">
        <v>45909</v>
      </c>
      <c r="B619" s="101" t="s">
        <v>166</v>
      </c>
    </row>
    <row r="620" spans="1:2">
      <c r="A620" s="100">
        <v>45910</v>
      </c>
      <c r="B620" s="101" t="s">
        <v>166</v>
      </c>
    </row>
    <row r="621" spans="1:2">
      <c r="A621" s="100">
        <v>45911</v>
      </c>
      <c r="B621" s="101" t="s">
        <v>166</v>
      </c>
    </row>
    <row r="622" spans="1:2">
      <c r="A622" s="100">
        <v>45912</v>
      </c>
      <c r="B622" s="101" t="s">
        <v>166</v>
      </c>
    </row>
    <row r="623" spans="1:2">
      <c r="A623" s="100">
        <v>45913</v>
      </c>
      <c r="B623" s="101" t="s">
        <v>167</v>
      </c>
    </row>
    <row r="624" spans="1:2">
      <c r="A624" s="100">
        <v>45914</v>
      </c>
      <c r="B624" s="101" t="s">
        <v>167</v>
      </c>
    </row>
    <row r="625" spans="1:2">
      <c r="A625" s="100">
        <v>45915</v>
      </c>
      <c r="B625" s="101" t="s">
        <v>167</v>
      </c>
    </row>
    <row r="626" spans="1:2">
      <c r="A626" s="100">
        <v>45916</v>
      </c>
      <c r="B626" s="101" t="s">
        <v>167</v>
      </c>
    </row>
    <row r="627" spans="1:2">
      <c r="A627" s="100">
        <v>45917</v>
      </c>
      <c r="B627" s="101" t="s">
        <v>167</v>
      </c>
    </row>
    <row r="628" spans="1:2">
      <c r="A628" s="100">
        <v>45918</v>
      </c>
      <c r="B628" s="101" t="s">
        <v>167</v>
      </c>
    </row>
    <row r="629" spans="1:2">
      <c r="A629" s="100">
        <v>45919</v>
      </c>
      <c r="B629" s="101" t="s">
        <v>167</v>
      </c>
    </row>
    <row r="630" spans="1:2">
      <c r="A630" s="100">
        <v>45920</v>
      </c>
      <c r="B630" s="101" t="s">
        <v>167</v>
      </c>
    </row>
    <row r="631" spans="1:2">
      <c r="A631" s="100">
        <v>45921</v>
      </c>
      <c r="B631" s="101" t="s">
        <v>167</v>
      </c>
    </row>
    <row r="632" spans="1:2">
      <c r="A632" s="100">
        <v>45922</v>
      </c>
      <c r="B632" s="101" t="s">
        <v>166</v>
      </c>
    </row>
    <row r="633" spans="1:2">
      <c r="A633" s="100">
        <v>45923</v>
      </c>
      <c r="B633" s="101" t="s">
        <v>166</v>
      </c>
    </row>
    <row r="634" spans="1:2">
      <c r="A634" s="100">
        <v>45924</v>
      </c>
      <c r="B634" s="101" t="s">
        <v>166</v>
      </c>
    </row>
    <row r="635" spans="1:2">
      <c r="A635" s="100">
        <v>45925</v>
      </c>
      <c r="B635" s="101" t="s">
        <v>166</v>
      </c>
    </row>
    <row r="636" spans="1:2">
      <c r="A636" s="100">
        <v>45926</v>
      </c>
      <c r="B636" s="101" t="s">
        <v>166</v>
      </c>
    </row>
    <row r="637" spans="1:2">
      <c r="A637" s="100">
        <v>45927</v>
      </c>
      <c r="B637" s="101" t="s">
        <v>166</v>
      </c>
    </row>
    <row r="638" spans="1:2">
      <c r="A638" s="100">
        <v>45928</v>
      </c>
      <c r="B638" s="101" t="s">
        <v>167</v>
      </c>
    </row>
    <row r="639" spans="1:2">
      <c r="A639" s="100">
        <v>45929</v>
      </c>
      <c r="B639" s="101" t="s">
        <v>167</v>
      </c>
    </row>
    <row r="640" spans="1:2">
      <c r="A640" s="100">
        <v>45930</v>
      </c>
      <c r="B640" s="101" t="s">
        <v>167</v>
      </c>
    </row>
    <row r="641" spans="1:2">
      <c r="A641" s="100">
        <v>45931</v>
      </c>
      <c r="B641" s="101" t="s">
        <v>167</v>
      </c>
    </row>
    <row r="642" spans="1:2">
      <c r="A642" s="100">
        <v>45932</v>
      </c>
      <c r="B642" s="101" t="s">
        <v>167</v>
      </c>
    </row>
    <row r="643" spans="1:2">
      <c r="A643" s="100">
        <v>45933</v>
      </c>
      <c r="B643" s="101" t="s">
        <v>167</v>
      </c>
    </row>
    <row r="644" spans="1:2">
      <c r="A644" s="100">
        <v>45934</v>
      </c>
      <c r="B644" s="101" t="s">
        <v>167</v>
      </c>
    </row>
    <row r="645" spans="1:2">
      <c r="A645" s="100">
        <v>45935</v>
      </c>
      <c r="B645" s="101" t="s">
        <v>167</v>
      </c>
    </row>
    <row r="646" spans="1:2">
      <c r="A646" s="100">
        <v>45936</v>
      </c>
      <c r="B646" s="101" t="s">
        <v>167</v>
      </c>
    </row>
    <row r="647" spans="1:2">
      <c r="A647" s="100">
        <v>45937</v>
      </c>
      <c r="B647" s="101" t="s">
        <v>166</v>
      </c>
    </row>
    <row r="648" spans="1:2">
      <c r="A648" s="100">
        <v>45938</v>
      </c>
      <c r="B648" s="101" t="s">
        <v>166</v>
      </c>
    </row>
    <row r="649" spans="1:2">
      <c r="A649" s="100">
        <v>45939</v>
      </c>
      <c r="B649" s="101" t="s">
        <v>166</v>
      </c>
    </row>
    <row r="650" spans="1:2">
      <c r="A650" s="100">
        <v>45940</v>
      </c>
      <c r="B650" s="101" t="s">
        <v>166</v>
      </c>
    </row>
    <row r="651" spans="1:2">
      <c r="A651" s="100">
        <v>45941</v>
      </c>
      <c r="B651" s="101" t="s">
        <v>166</v>
      </c>
    </row>
    <row r="652" spans="1:2">
      <c r="A652" s="100">
        <v>45942</v>
      </c>
      <c r="B652" s="101" t="s">
        <v>166</v>
      </c>
    </row>
    <row r="653" spans="1:2">
      <c r="A653" s="100">
        <v>45943</v>
      </c>
      <c r="B653" s="101" t="s">
        <v>167</v>
      </c>
    </row>
    <row r="654" spans="1:2">
      <c r="A654" s="100">
        <v>45944</v>
      </c>
      <c r="B654" s="101" t="s">
        <v>167</v>
      </c>
    </row>
    <row r="655" spans="1:2">
      <c r="A655" s="100">
        <v>45945</v>
      </c>
      <c r="B655" s="101" t="s">
        <v>167</v>
      </c>
    </row>
    <row r="656" spans="1:2">
      <c r="A656" s="100">
        <v>45946</v>
      </c>
      <c r="B656" s="101" t="s">
        <v>167</v>
      </c>
    </row>
    <row r="657" spans="1:2">
      <c r="A657" s="100">
        <v>45947</v>
      </c>
      <c r="B657" s="101" t="s">
        <v>167</v>
      </c>
    </row>
    <row r="658" spans="1:2">
      <c r="A658" s="100">
        <v>45948</v>
      </c>
      <c r="B658" s="101" t="s">
        <v>167</v>
      </c>
    </row>
    <row r="659" spans="1:2">
      <c r="A659" s="100">
        <v>45949</v>
      </c>
      <c r="B659" s="101" t="s">
        <v>167</v>
      </c>
    </row>
    <row r="660" spans="1:2">
      <c r="A660" s="100">
        <v>45950</v>
      </c>
      <c r="B660" s="101" t="s">
        <v>167</v>
      </c>
    </row>
    <row r="661" spans="1:2">
      <c r="A661" s="100">
        <v>45951</v>
      </c>
      <c r="B661" s="101" t="s">
        <v>167</v>
      </c>
    </row>
    <row r="662" spans="1:2">
      <c r="A662" s="100">
        <v>45952</v>
      </c>
      <c r="B662" s="101" t="s">
        <v>166</v>
      </c>
    </row>
    <row r="663" spans="1:2">
      <c r="A663" s="100">
        <v>45953</v>
      </c>
      <c r="B663" s="101" t="s">
        <v>166</v>
      </c>
    </row>
    <row r="664" spans="1:2">
      <c r="A664" s="100">
        <v>45954</v>
      </c>
      <c r="B664" s="101" t="s">
        <v>166</v>
      </c>
    </row>
    <row r="665" spans="1:2">
      <c r="A665" s="100">
        <v>45955</v>
      </c>
      <c r="B665" s="101" t="s">
        <v>166</v>
      </c>
    </row>
    <row r="666" spans="1:2">
      <c r="A666" s="100">
        <v>45956</v>
      </c>
      <c r="B666" s="101" t="s">
        <v>166</v>
      </c>
    </row>
    <row r="667" spans="1:2">
      <c r="A667" s="100">
        <v>45957</v>
      </c>
      <c r="B667" s="101" t="s">
        <v>166</v>
      </c>
    </row>
    <row r="668" spans="1:2">
      <c r="A668" s="100">
        <v>45958</v>
      </c>
      <c r="B668" s="101" t="s">
        <v>167</v>
      </c>
    </row>
    <row r="669" spans="1:2">
      <c r="A669" s="100">
        <v>45959</v>
      </c>
      <c r="B669" s="101" t="s">
        <v>167</v>
      </c>
    </row>
    <row r="670" spans="1:2">
      <c r="A670" s="100">
        <v>45960</v>
      </c>
      <c r="B670" s="101" t="s">
        <v>167</v>
      </c>
    </row>
    <row r="671" spans="1:2">
      <c r="A671" s="100">
        <v>45961</v>
      </c>
      <c r="B671" s="101" t="s">
        <v>167</v>
      </c>
    </row>
    <row r="672" spans="1:2">
      <c r="A672" s="100">
        <v>45962</v>
      </c>
      <c r="B672" s="101" t="s">
        <v>167</v>
      </c>
    </row>
    <row r="673" spans="1:2">
      <c r="A673" s="100">
        <v>45963</v>
      </c>
      <c r="B673" s="101" t="s">
        <v>167</v>
      </c>
    </row>
    <row r="674" spans="1:2">
      <c r="A674" s="100">
        <v>45964</v>
      </c>
      <c r="B674" s="101" t="s">
        <v>167</v>
      </c>
    </row>
    <row r="675" spans="1:2">
      <c r="A675" s="100">
        <v>45965</v>
      </c>
      <c r="B675" s="101" t="s">
        <v>167</v>
      </c>
    </row>
    <row r="676" spans="1:2">
      <c r="A676" s="100">
        <v>45966</v>
      </c>
      <c r="B676" s="101" t="s">
        <v>167</v>
      </c>
    </row>
    <row r="677" spans="1:2">
      <c r="A677" s="100">
        <v>45967</v>
      </c>
      <c r="B677" s="101" t="s">
        <v>166</v>
      </c>
    </row>
    <row r="678" spans="1:2">
      <c r="A678" s="100">
        <v>45968</v>
      </c>
      <c r="B678" s="101" t="s">
        <v>166</v>
      </c>
    </row>
    <row r="679" spans="1:2">
      <c r="A679" s="100">
        <v>45969</v>
      </c>
      <c r="B679" s="101" t="s">
        <v>166</v>
      </c>
    </row>
    <row r="680" spans="1:2">
      <c r="A680" s="100">
        <v>45970</v>
      </c>
      <c r="B680" s="101" t="s">
        <v>166</v>
      </c>
    </row>
    <row r="681" spans="1:2">
      <c r="A681" s="100">
        <v>45971</v>
      </c>
      <c r="B681" s="101" t="s">
        <v>166</v>
      </c>
    </row>
    <row r="682" spans="1:2">
      <c r="A682" s="100">
        <v>45972</v>
      </c>
      <c r="B682" s="101" t="s">
        <v>166</v>
      </c>
    </row>
    <row r="683" spans="1:2">
      <c r="A683" s="100">
        <v>45973</v>
      </c>
      <c r="B683" s="101" t="s">
        <v>167</v>
      </c>
    </row>
    <row r="684" spans="1:2">
      <c r="A684" s="100">
        <v>45974</v>
      </c>
      <c r="B684" s="101" t="s">
        <v>167</v>
      </c>
    </row>
    <row r="685" spans="1:2">
      <c r="A685" s="100">
        <v>45975</v>
      </c>
      <c r="B685" s="101" t="s">
        <v>167</v>
      </c>
    </row>
    <row r="686" spans="1:2">
      <c r="A686" s="100">
        <v>45976</v>
      </c>
      <c r="B686" s="101" t="s">
        <v>167</v>
      </c>
    </row>
    <row r="687" spans="1:2">
      <c r="A687" s="100">
        <v>45977</v>
      </c>
      <c r="B687" s="101" t="s">
        <v>167</v>
      </c>
    </row>
    <row r="688" spans="1:2">
      <c r="A688" s="100">
        <v>45978</v>
      </c>
      <c r="B688" s="101" t="s">
        <v>167</v>
      </c>
    </row>
    <row r="689" spans="1:2">
      <c r="A689" s="100">
        <v>45979</v>
      </c>
      <c r="B689" s="101" t="s">
        <v>167</v>
      </c>
    </row>
    <row r="690" spans="1:2">
      <c r="A690" s="100">
        <v>45980</v>
      </c>
      <c r="B690" s="101" t="s">
        <v>167</v>
      </c>
    </row>
    <row r="691" spans="1:2">
      <c r="A691" s="100">
        <v>45981</v>
      </c>
      <c r="B691" s="101" t="s">
        <v>167</v>
      </c>
    </row>
    <row r="692" spans="1:2">
      <c r="A692" s="100">
        <v>45982</v>
      </c>
      <c r="B692" s="101" t="s">
        <v>166</v>
      </c>
    </row>
    <row r="693" spans="1:2">
      <c r="A693" s="100">
        <v>45983</v>
      </c>
      <c r="B693" s="101" t="s">
        <v>166</v>
      </c>
    </row>
    <row r="694" spans="1:2">
      <c r="A694" s="100">
        <v>45984</v>
      </c>
      <c r="B694" s="101" t="s">
        <v>166</v>
      </c>
    </row>
    <row r="695" spans="1:2">
      <c r="A695" s="100">
        <v>45985</v>
      </c>
      <c r="B695" s="101" t="s">
        <v>166</v>
      </c>
    </row>
    <row r="696" spans="1:2">
      <c r="A696" s="100">
        <v>45986</v>
      </c>
      <c r="B696" s="101" t="s">
        <v>166</v>
      </c>
    </row>
    <row r="697" spans="1:2">
      <c r="A697" s="100">
        <v>45987</v>
      </c>
      <c r="B697" s="101" t="s">
        <v>166</v>
      </c>
    </row>
    <row r="698" spans="1:2">
      <c r="A698" s="100">
        <v>45988</v>
      </c>
      <c r="B698" s="101" t="s">
        <v>167</v>
      </c>
    </row>
    <row r="699" spans="1:2">
      <c r="A699" s="100">
        <v>45989</v>
      </c>
      <c r="B699" s="101" t="s">
        <v>167</v>
      </c>
    </row>
    <row r="700" spans="1:2">
      <c r="A700" s="100">
        <v>45990</v>
      </c>
      <c r="B700" s="101" t="s">
        <v>167</v>
      </c>
    </row>
    <row r="701" spans="1:2">
      <c r="A701" s="100">
        <v>45991</v>
      </c>
      <c r="B701" s="101" t="s">
        <v>167</v>
      </c>
    </row>
    <row r="702" spans="1:2">
      <c r="A702" s="100">
        <v>45992</v>
      </c>
      <c r="B702" s="101" t="s">
        <v>167</v>
      </c>
    </row>
    <row r="703" spans="1:2">
      <c r="A703" s="100">
        <v>45993</v>
      </c>
      <c r="B703" s="101" t="s">
        <v>167</v>
      </c>
    </row>
    <row r="704" spans="1:2">
      <c r="A704" s="100">
        <v>45994</v>
      </c>
      <c r="B704" s="101" t="s">
        <v>167</v>
      </c>
    </row>
    <row r="705" spans="1:2">
      <c r="A705" s="100">
        <v>45995</v>
      </c>
      <c r="B705" s="101" t="s">
        <v>167</v>
      </c>
    </row>
    <row r="706" spans="1:2">
      <c r="A706" s="100">
        <v>45996</v>
      </c>
      <c r="B706" s="101" t="s">
        <v>167</v>
      </c>
    </row>
    <row r="707" spans="1:2">
      <c r="A707" s="100">
        <v>45997</v>
      </c>
      <c r="B707" s="101" t="s">
        <v>166</v>
      </c>
    </row>
    <row r="708" spans="1:2">
      <c r="A708" s="100">
        <v>45998</v>
      </c>
      <c r="B708" s="101" t="s">
        <v>166</v>
      </c>
    </row>
    <row r="709" spans="1:2">
      <c r="A709" s="100">
        <v>45999</v>
      </c>
      <c r="B709" s="101" t="s">
        <v>166</v>
      </c>
    </row>
    <row r="710" spans="1:2">
      <c r="A710" s="100">
        <v>46000</v>
      </c>
      <c r="B710" s="101" t="s">
        <v>166</v>
      </c>
    </row>
    <row r="711" spans="1:2">
      <c r="A711" s="100">
        <v>46001</v>
      </c>
      <c r="B711" s="101" t="s">
        <v>166</v>
      </c>
    </row>
    <row r="712" spans="1:2">
      <c r="A712" s="100">
        <v>46002</v>
      </c>
      <c r="B712" s="101" t="s">
        <v>166</v>
      </c>
    </row>
    <row r="713" spans="1:2">
      <c r="A713" s="100">
        <v>46003</v>
      </c>
      <c r="B713" s="101" t="s">
        <v>167</v>
      </c>
    </row>
    <row r="714" spans="1:2">
      <c r="A714" s="100">
        <v>46004</v>
      </c>
      <c r="B714" s="101" t="s">
        <v>167</v>
      </c>
    </row>
    <row r="715" spans="1:2">
      <c r="A715" s="100">
        <v>46005</v>
      </c>
      <c r="B715" s="101" t="s">
        <v>167</v>
      </c>
    </row>
    <row r="716" spans="1:2">
      <c r="A716" s="100">
        <v>46006</v>
      </c>
      <c r="B716" s="101" t="s">
        <v>167</v>
      </c>
    </row>
    <row r="717" spans="1:2">
      <c r="A717" s="100">
        <v>46007</v>
      </c>
      <c r="B717" s="101" t="s">
        <v>167</v>
      </c>
    </row>
    <row r="718" spans="1:2">
      <c r="A718" s="100">
        <v>46008</v>
      </c>
      <c r="B718" s="101" t="s">
        <v>167</v>
      </c>
    </row>
    <row r="719" spans="1:2">
      <c r="A719" s="100">
        <v>46009</v>
      </c>
      <c r="B719" s="101" t="s">
        <v>167</v>
      </c>
    </row>
    <row r="720" spans="1:2">
      <c r="A720" s="100">
        <v>46010</v>
      </c>
      <c r="B720" s="101" t="s">
        <v>167</v>
      </c>
    </row>
    <row r="721" spans="1:2">
      <c r="A721" s="100">
        <v>46011</v>
      </c>
      <c r="B721" s="101" t="s">
        <v>167</v>
      </c>
    </row>
    <row r="722" spans="1:2">
      <c r="A722" s="100">
        <v>46012</v>
      </c>
      <c r="B722" s="101" t="s">
        <v>166</v>
      </c>
    </row>
    <row r="723" spans="1:2">
      <c r="A723" s="100">
        <v>46013</v>
      </c>
      <c r="B723" s="101" t="s">
        <v>166</v>
      </c>
    </row>
    <row r="724" spans="1:2">
      <c r="A724" s="100">
        <v>46014</v>
      </c>
      <c r="B724" s="101" t="s">
        <v>166</v>
      </c>
    </row>
    <row r="725" spans="1:2">
      <c r="A725" s="100">
        <v>46015</v>
      </c>
      <c r="B725" s="101" t="s">
        <v>166</v>
      </c>
    </row>
    <row r="726" spans="1:2">
      <c r="A726" s="100">
        <v>46016</v>
      </c>
      <c r="B726" s="101" t="s">
        <v>166</v>
      </c>
    </row>
    <row r="727" spans="1:2">
      <c r="A727" s="100">
        <v>46017</v>
      </c>
      <c r="B727" s="101" t="s">
        <v>166</v>
      </c>
    </row>
    <row r="728" spans="1:2">
      <c r="A728" s="100">
        <v>46018</v>
      </c>
      <c r="B728" s="101" t="s">
        <v>167</v>
      </c>
    </row>
    <row r="729" spans="1:2">
      <c r="A729" s="100">
        <v>46019</v>
      </c>
      <c r="B729" s="101" t="s">
        <v>167</v>
      </c>
    </row>
    <row r="730" spans="1:2">
      <c r="A730" s="100">
        <v>46020</v>
      </c>
      <c r="B730" s="101" t="s">
        <v>167</v>
      </c>
    </row>
    <row r="731" spans="1:2">
      <c r="A731" s="100">
        <v>46021</v>
      </c>
      <c r="B731" s="101" t="s">
        <v>167</v>
      </c>
    </row>
    <row r="732" spans="1:2">
      <c r="A732" s="100">
        <v>46022</v>
      </c>
      <c r="B732" s="101" t="s">
        <v>167</v>
      </c>
    </row>
    <row r="733" spans="1:2">
      <c r="A733" s="100">
        <v>46023</v>
      </c>
      <c r="B733" s="101" t="s">
        <v>167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opcao_c</vt:lpstr>
      <vt:lpstr>operacao</vt:lpstr>
      <vt:lpstr>IR</vt:lpstr>
      <vt:lpstr>bv2</vt:lpstr>
      <vt:lpstr>mat const</vt:lpstr>
      <vt:lpstr>Planilha2</vt:lpstr>
      <vt:lpstr>escala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dc:creator>
  <cp:lastModifiedBy>Vinicius Dantas</cp:lastModifiedBy>
  <cp:lastPrinted>2023-08-10T01:18:00Z</cp:lastPrinted>
  <dcterms:created xsi:type="dcterms:W3CDTF">2023-03-30T17:17:00Z</dcterms:created>
  <dcterms:modified xsi:type="dcterms:W3CDTF">2024-01-13T20:13:51Z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5D704F7F92234C21BFC4A4C51109F7D8_12</vt:lpwstr>
  </property>
  <property fmtid="{D5CDD505-2E9C-101B-9397-08002B2CF9AE}" pid="3" name="KSOProductBuildVer">
    <vt:lpwstr>1046-12.2.0.13306</vt:lpwstr>
  </property>
</Properties>
</file>