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urazoh\Documents\Visual Studio 2013\Projects\HourlyProductionDisplay1\ReporteProduccion\"/>
    </mc:Choice>
  </mc:AlternateContent>
  <bookViews>
    <workbookView xWindow="0" yWindow="0" windowWidth="28800" windowHeight="13020" tabRatio="324" activeTab="4"/>
  </bookViews>
  <sheets>
    <sheet name="Datos" sheetId="2" r:id="rId1"/>
    <sheet name="Datos2" sheetId="1" r:id="rId2"/>
    <sheet name="Linea" sheetId="3" r:id="rId3"/>
    <sheet name="Cliente" sheetId="6" r:id="rId4"/>
    <sheet name="MTTO" sheetId="7" r:id="rId5"/>
    <sheet name="MTTO CLIENTE" sheetId="8" r:id="rId6"/>
  </sheets>
  <definedNames>
    <definedName name="Query_from_Reporte" localSheetId="0" hidden="1">Datos!$A$1:$B$20</definedName>
    <definedName name="Query_from_Reporte" localSheetId="1" hidden="1">Datos2!$A$1:$U$26</definedName>
    <definedName name="Query_from_Reporte_1" localSheetId="0" hidden="1">Datos!$E$1:$U$246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7" l="1"/>
  <c r="F2" i="7"/>
  <c r="F1" i="7"/>
  <c r="J1" i="7"/>
  <c r="H1" i="7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G5" i="7" l="1"/>
  <c r="K5" i="7" l="1"/>
  <c r="O5" i="7" s="1"/>
  <c r="S5" i="7" l="1"/>
  <c r="W5" i="7" l="1"/>
  <c r="E14" i="8"/>
  <c r="D14" i="8"/>
  <c r="E10" i="8"/>
  <c r="D10" i="8"/>
  <c r="E8" i="8"/>
  <c r="D8" i="8"/>
  <c r="C14" i="8"/>
  <c r="C10" i="8"/>
  <c r="C8" i="8"/>
  <c r="E6" i="8"/>
  <c r="D6" i="8"/>
  <c r="AA5" i="7" l="1"/>
  <c r="E7" i="8"/>
  <c r="C7" i="8"/>
  <c r="D7" i="8"/>
  <c r="C6" i="8"/>
  <c r="F14" i="8"/>
  <c r="C2" i="7"/>
  <c r="E7" i="7" s="1"/>
  <c r="AC8" i="7" l="1"/>
  <c r="U8" i="7"/>
  <c r="K11" i="7"/>
  <c r="E15" i="7"/>
  <c r="C8" i="7"/>
  <c r="AB8" i="7"/>
  <c r="T8" i="7"/>
  <c r="E11" i="7"/>
  <c r="S8" i="7"/>
  <c r="D11" i="7"/>
  <c r="E9" i="7"/>
  <c r="X8" i="7"/>
  <c r="C11" i="7"/>
  <c r="D15" i="7"/>
  <c r="AA8" i="7"/>
  <c r="W8" i="7"/>
  <c r="C7" i="7"/>
  <c r="D9" i="7"/>
  <c r="E8" i="7"/>
  <c r="Y8" i="7"/>
  <c r="P8" i="7"/>
  <c r="C9" i="7"/>
  <c r="O8" i="7"/>
  <c r="D8" i="7"/>
  <c r="D7" i="7"/>
  <c r="C15" i="7"/>
  <c r="H15" i="7"/>
  <c r="AB11" i="7"/>
  <c r="W15" i="7"/>
  <c r="S7" i="7"/>
  <c r="U7" i="7"/>
  <c r="O7" i="7"/>
  <c r="I15" i="7"/>
  <c r="I8" i="7"/>
  <c r="M8" i="7"/>
  <c r="M7" i="7"/>
  <c r="U9" i="7"/>
  <c r="H9" i="7"/>
  <c r="K7" i="7"/>
  <c r="AA7" i="7"/>
  <c r="X9" i="7"/>
  <c r="S11" i="7"/>
  <c r="P7" i="7"/>
  <c r="G9" i="7"/>
  <c r="M11" i="7"/>
  <c r="AC9" i="7"/>
  <c r="S15" i="7"/>
  <c r="P9" i="7"/>
  <c r="G7" i="7"/>
  <c r="M15" i="7"/>
  <c r="AC11" i="7"/>
  <c r="T7" i="7"/>
  <c r="P11" i="7"/>
  <c r="H7" i="7"/>
  <c r="AB15" i="7"/>
  <c r="X7" i="7"/>
  <c r="S9" i="7"/>
  <c r="O11" i="7"/>
  <c r="G15" i="7"/>
  <c r="M9" i="7"/>
  <c r="AC7" i="7"/>
  <c r="U11" i="7"/>
  <c r="I9" i="7"/>
  <c r="K9" i="7"/>
  <c r="AA9" i="7"/>
  <c r="X11" i="7"/>
  <c r="Q8" i="7"/>
  <c r="G11" i="7"/>
  <c r="K15" i="7"/>
  <c r="AA11" i="7"/>
  <c r="X15" i="7"/>
  <c r="AA15" i="7"/>
  <c r="W7" i="7"/>
  <c r="Y7" i="7"/>
  <c r="T9" i="7"/>
  <c r="O9" i="7"/>
  <c r="P15" i="7"/>
  <c r="H11" i="7"/>
  <c r="I7" i="7"/>
  <c r="L9" i="7"/>
  <c r="AB7" i="7"/>
  <c r="W9" i="7"/>
  <c r="Y9" i="7"/>
  <c r="T11" i="7"/>
  <c r="O15" i="7"/>
  <c r="Q7" i="7"/>
  <c r="H8" i="7"/>
  <c r="H10" i="7" s="1"/>
  <c r="K8" i="7"/>
  <c r="L11" i="7"/>
  <c r="AB9" i="7"/>
  <c r="W11" i="7"/>
  <c r="Y11" i="7"/>
  <c r="T15" i="7"/>
  <c r="Q11" i="7"/>
  <c r="Q9" i="7"/>
  <c r="I11" i="7"/>
  <c r="L8" i="7"/>
  <c r="L15" i="7"/>
  <c r="G8" i="7"/>
  <c r="L7" i="7"/>
  <c r="Q15" i="7"/>
  <c r="U15" i="7"/>
  <c r="AC15" i="7"/>
  <c r="Y15" i="7"/>
  <c r="D9" i="8"/>
  <c r="F10" i="8"/>
  <c r="C11" i="8"/>
  <c r="C13" i="8"/>
  <c r="F8" i="8"/>
  <c r="E12" i="8"/>
  <c r="F6" i="8"/>
  <c r="C12" i="8"/>
  <c r="E9" i="8"/>
  <c r="E13" i="8"/>
  <c r="E11" i="8"/>
  <c r="D13" i="8"/>
  <c r="D11" i="8"/>
  <c r="C9" i="8"/>
  <c r="D12" i="8"/>
  <c r="F7" i="8"/>
  <c r="R8" i="6"/>
  <c r="R6" i="6"/>
  <c r="R7" i="6"/>
  <c r="AG11" i="7" l="1"/>
  <c r="I13" i="7"/>
  <c r="V15" i="7"/>
  <c r="M10" i="7"/>
  <c r="L10" i="7"/>
  <c r="AF15" i="7"/>
  <c r="AE9" i="7"/>
  <c r="AE11" i="7"/>
  <c r="AE8" i="7"/>
  <c r="AG7" i="7"/>
  <c r="J15" i="7"/>
  <c r="AG15" i="7"/>
  <c r="AG12" i="7" s="1"/>
  <c r="AE15" i="7"/>
  <c r="AG8" i="7"/>
  <c r="AG9" i="7"/>
  <c r="AF7" i="7"/>
  <c r="AF9" i="7"/>
  <c r="AF11" i="7"/>
  <c r="AF8" i="7"/>
  <c r="AE7" i="7"/>
  <c r="H12" i="7"/>
  <c r="H14" i="7"/>
  <c r="U12" i="7"/>
  <c r="U14" i="7"/>
  <c r="H13" i="7"/>
  <c r="S13" i="7"/>
  <c r="V7" i="7"/>
  <c r="AD8" i="7"/>
  <c r="AA10" i="7"/>
  <c r="K12" i="7"/>
  <c r="N15" i="7"/>
  <c r="AC13" i="7"/>
  <c r="P12" i="7"/>
  <c r="P14" i="7"/>
  <c r="M14" i="7"/>
  <c r="M12" i="7"/>
  <c r="Z15" i="7"/>
  <c r="AB10" i="7"/>
  <c r="L13" i="7"/>
  <c r="Y12" i="7"/>
  <c r="Y14" i="7"/>
  <c r="T14" i="7"/>
  <c r="T12" i="7"/>
  <c r="R9" i="7"/>
  <c r="G12" i="7"/>
  <c r="J11" i="7"/>
  <c r="G14" i="7"/>
  <c r="T10" i="7"/>
  <c r="T13" i="7"/>
  <c r="J9" i="7"/>
  <c r="M13" i="7"/>
  <c r="AB12" i="7"/>
  <c r="AB14" i="7"/>
  <c r="P10" i="7"/>
  <c r="N7" i="7"/>
  <c r="K13" i="7"/>
  <c r="U10" i="7"/>
  <c r="U13" i="7"/>
  <c r="R8" i="7"/>
  <c r="O10" i="7"/>
  <c r="Z8" i="7"/>
  <c r="W10" i="7"/>
  <c r="Q12" i="7"/>
  <c r="Q14" i="7"/>
  <c r="Q13" i="7"/>
  <c r="AD11" i="7"/>
  <c r="AA14" i="7"/>
  <c r="AA12" i="7"/>
  <c r="R15" i="7"/>
  <c r="G10" i="7"/>
  <c r="J8" i="7"/>
  <c r="Z11" i="7"/>
  <c r="W14" i="7"/>
  <c r="W12" i="7"/>
  <c r="Q10" i="7"/>
  <c r="V11" i="7"/>
  <c r="S14" i="7"/>
  <c r="S12" i="7"/>
  <c r="I10" i="7"/>
  <c r="N11" i="7"/>
  <c r="K14" i="7"/>
  <c r="AC14" i="7"/>
  <c r="AC12" i="7"/>
  <c r="P13" i="7"/>
  <c r="Z9" i="7"/>
  <c r="Y10" i="7"/>
  <c r="Y13" i="7"/>
  <c r="X12" i="7"/>
  <c r="X14" i="7"/>
  <c r="O12" i="7"/>
  <c r="O14" i="7"/>
  <c r="R11" i="7"/>
  <c r="L14" i="7"/>
  <c r="L12" i="7"/>
  <c r="AB13" i="7"/>
  <c r="Z7" i="7"/>
  <c r="Z13" i="7" s="1"/>
  <c r="W13" i="7"/>
  <c r="AD9" i="7"/>
  <c r="V9" i="7"/>
  <c r="G13" i="7"/>
  <c r="J7" i="7"/>
  <c r="I12" i="7"/>
  <c r="I14" i="7"/>
  <c r="N8" i="7"/>
  <c r="K10" i="7"/>
  <c r="AD15" i="7"/>
  <c r="N9" i="7"/>
  <c r="X10" i="7"/>
  <c r="X13" i="7"/>
  <c r="AA13" i="7"/>
  <c r="AD7" i="7"/>
  <c r="R7" i="7"/>
  <c r="O13" i="7"/>
  <c r="V8" i="7"/>
  <c r="S10" i="7"/>
  <c r="AC10" i="7"/>
  <c r="F12" i="8"/>
  <c r="F9" i="8"/>
  <c r="F13" i="8"/>
  <c r="F11" i="8"/>
  <c r="C14" i="7"/>
  <c r="D14" i="7"/>
  <c r="E14" i="7"/>
  <c r="E10" i="7"/>
  <c r="F15" i="7"/>
  <c r="D13" i="7"/>
  <c r="F7" i="7"/>
  <c r="C13" i="7"/>
  <c r="D12" i="7"/>
  <c r="F9" i="7"/>
  <c r="C12" i="7"/>
  <c r="F11" i="7"/>
  <c r="C10" i="7"/>
  <c r="E12" i="7"/>
  <c r="E13" i="7"/>
  <c r="H8" i="6"/>
  <c r="E8" i="6"/>
  <c r="G8" i="6"/>
  <c r="C8" i="6"/>
  <c r="D8" i="6" s="1"/>
  <c r="M8" i="6"/>
  <c r="J8" i="6"/>
  <c r="I8" i="6"/>
  <c r="K9" i="6"/>
  <c r="F9" i="6"/>
  <c r="AG13" i="7" l="1"/>
  <c r="N10" i="7"/>
  <c r="J10" i="7"/>
  <c r="R10" i="7"/>
  <c r="AF10" i="7"/>
  <c r="AF12" i="7"/>
  <c r="AF14" i="7"/>
  <c r="AH8" i="7"/>
  <c r="AE10" i="7"/>
  <c r="AF13" i="7"/>
  <c r="AH11" i="7"/>
  <c r="AE14" i="7"/>
  <c r="AE12" i="7"/>
  <c r="AH9" i="7"/>
  <c r="AG10" i="7"/>
  <c r="J13" i="7"/>
  <c r="AH15" i="7"/>
  <c r="AG14" i="7"/>
  <c r="AD10" i="7"/>
  <c r="AE13" i="7"/>
  <c r="AH7" i="7"/>
  <c r="R14" i="7"/>
  <c r="R12" i="7"/>
  <c r="V14" i="7"/>
  <c r="V12" i="7"/>
  <c r="V13" i="7"/>
  <c r="AD14" i="7"/>
  <c r="AD12" i="7"/>
  <c r="Z14" i="7"/>
  <c r="Z12" i="7"/>
  <c r="N13" i="7"/>
  <c r="J14" i="7"/>
  <c r="J12" i="7"/>
  <c r="V10" i="7"/>
  <c r="R13" i="7"/>
  <c r="N12" i="7"/>
  <c r="N14" i="7"/>
  <c r="AD13" i="7"/>
  <c r="Z10" i="7"/>
  <c r="F14" i="7"/>
  <c r="F13" i="7"/>
  <c r="F12" i="7"/>
  <c r="N8" i="6"/>
  <c r="L8" i="6"/>
  <c r="P8" i="6"/>
  <c r="S8" i="6"/>
  <c r="M6" i="6"/>
  <c r="C7" i="6"/>
  <c r="D7" i="6" s="1"/>
  <c r="C6" i="6"/>
  <c r="M9" i="6"/>
  <c r="H6" i="6"/>
  <c r="M7" i="6"/>
  <c r="I6" i="6"/>
  <c r="E6" i="6"/>
  <c r="J7" i="6"/>
  <c r="E7" i="6"/>
  <c r="G6" i="6"/>
  <c r="H7" i="6"/>
  <c r="I7" i="6"/>
  <c r="J6" i="6"/>
  <c r="G7" i="6"/>
  <c r="AH13" i="7" l="1"/>
  <c r="AH14" i="7"/>
  <c r="AH12" i="7"/>
  <c r="AH10" i="7"/>
  <c r="O8" i="6"/>
  <c r="J9" i="6"/>
  <c r="P6" i="6"/>
  <c r="L7" i="6"/>
  <c r="S6" i="6"/>
  <c r="I9" i="6"/>
  <c r="E9" i="6"/>
  <c r="L6" i="6"/>
  <c r="G9" i="6"/>
  <c r="R9" i="6"/>
  <c r="H9" i="6"/>
  <c r="S7" i="6"/>
  <c r="N6" i="6"/>
  <c r="P7" i="6"/>
  <c r="N7" i="6"/>
  <c r="D6" i="6"/>
  <c r="C9" i="6"/>
  <c r="P9" i="6" l="1"/>
  <c r="N9" i="6"/>
  <c r="O7" i="6"/>
  <c r="S9" i="6"/>
  <c r="L9" i="6"/>
  <c r="O6" i="6"/>
  <c r="D9" i="6"/>
  <c r="O9" i="6" l="1"/>
  <c r="K11" i="3" l="1"/>
  <c r="C2" i="3"/>
  <c r="U8" i="3" l="1"/>
  <c r="U10" i="3"/>
  <c r="U9" i="3"/>
  <c r="F9" i="3"/>
  <c r="F10" i="3"/>
  <c r="F8" i="3"/>
  <c r="G8" i="3"/>
  <c r="J8" i="3"/>
  <c r="C8" i="3"/>
  <c r="R9" i="3"/>
  <c r="R10" i="3"/>
  <c r="R8" i="3"/>
  <c r="J9" i="3"/>
  <c r="C10" i="3"/>
  <c r="D10" i="3" s="1"/>
  <c r="E9" i="3"/>
  <c r="E10" i="3"/>
  <c r="C9" i="3"/>
  <c r="D9" i="3" s="1"/>
  <c r="G10" i="3"/>
  <c r="G9" i="3"/>
  <c r="H10" i="3"/>
  <c r="H9" i="3"/>
  <c r="I10" i="3"/>
  <c r="I9" i="3"/>
  <c r="J10" i="3"/>
  <c r="H8" i="3"/>
  <c r="E8" i="3"/>
  <c r="I8" i="3"/>
  <c r="X10" i="3" l="1"/>
  <c r="U11" i="3"/>
  <c r="X9" i="3"/>
  <c r="X8" i="3"/>
  <c r="F11" i="3"/>
  <c r="D10" i="7"/>
  <c r="F8" i="7"/>
  <c r="F10" i="7" s="1"/>
  <c r="N9" i="3"/>
  <c r="R11" i="3"/>
  <c r="S8" i="3"/>
  <c r="S10" i="3"/>
  <c r="S9" i="3"/>
  <c r="H11" i="3"/>
  <c r="P9" i="3"/>
  <c r="I11" i="3"/>
  <c r="N10" i="3"/>
  <c r="L9" i="3"/>
  <c r="J11" i="3"/>
  <c r="D8" i="3"/>
  <c r="D11" i="3" s="1"/>
  <c r="C11" i="3"/>
  <c r="L10" i="3"/>
  <c r="E11" i="3"/>
  <c r="G11" i="3"/>
  <c r="M9" i="3"/>
  <c r="P10" i="3"/>
  <c r="M10" i="3"/>
  <c r="L8" i="3"/>
  <c r="P8" i="3"/>
  <c r="N8" i="3"/>
  <c r="X11" i="3" l="1"/>
  <c r="M11" i="3"/>
  <c r="N11" i="3"/>
  <c r="O10" i="3"/>
  <c r="S11" i="3"/>
  <c r="P11" i="3"/>
  <c r="O9" i="3"/>
  <c r="M8" i="3"/>
  <c r="O8" i="3" s="1"/>
  <c r="L11" i="3"/>
  <c r="O11" i="3" l="1"/>
</calcChain>
</file>

<file path=xl/comments1.xml><?xml version="1.0" encoding="utf-8"?>
<comments xmlns="http://schemas.openxmlformats.org/spreadsheetml/2006/main">
  <authors>
    <author>Homero Durazo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Homero Durazo:</t>
        </r>
        <r>
          <rPr>
            <sz val="9"/>
            <color indexed="81"/>
            <rFont val="Tahoma"/>
            <family val="2"/>
          </rPr>
          <t xml:space="preserve">
Seleccionar Línea
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Homero Durazo:</t>
        </r>
        <r>
          <rPr>
            <sz val="9"/>
            <color indexed="81"/>
            <rFont val="Tahoma"/>
            <family val="2"/>
          </rPr>
          <t xml:space="preserve">
Fecha en formato
MM/dd/aaaa
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Homero Durazo:</t>
        </r>
        <r>
          <rPr>
            <sz val="9"/>
            <color indexed="81"/>
            <rFont val="Tahoma"/>
            <family val="2"/>
          </rPr>
          <t xml:space="preserve">
Fecha en formato
MM/dd/aaaa
</t>
        </r>
      </text>
    </comment>
  </commentList>
</comments>
</file>

<file path=xl/comments2.xml><?xml version="1.0" encoding="utf-8"?>
<comments xmlns="http://schemas.openxmlformats.org/spreadsheetml/2006/main">
  <authors>
    <author>Homero Durazo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Homero Durazo:</t>
        </r>
        <r>
          <rPr>
            <sz val="9"/>
            <color indexed="81"/>
            <rFont val="Tahoma"/>
            <family val="2"/>
          </rPr>
          <t xml:space="preserve">
Seleccionar Línea
</t>
        </r>
      </text>
    </comment>
  </commentList>
</comments>
</file>

<file path=xl/comments3.xml><?xml version="1.0" encoding="utf-8"?>
<comments xmlns="http://schemas.openxmlformats.org/spreadsheetml/2006/main">
  <authors>
    <author>Homero Durazo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Homero Durazo:</t>
        </r>
        <r>
          <rPr>
            <sz val="9"/>
            <color indexed="81"/>
            <rFont val="Tahoma"/>
            <family val="2"/>
          </rPr>
          <t xml:space="preserve">
Seleccionar Línea
</t>
        </r>
      </text>
    </comment>
  </commentList>
</comments>
</file>

<file path=xl/comments4.xml><?xml version="1.0" encoding="utf-8"?>
<comments xmlns="http://schemas.openxmlformats.org/spreadsheetml/2006/main">
  <authors>
    <author>Homero Durazo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Homero Durazo:</t>
        </r>
        <r>
          <rPr>
            <sz val="9"/>
            <color indexed="81"/>
            <rFont val="Tahoma"/>
            <family val="2"/>
          </rPr>
          <t xml:space="preserve">
Especifica el Cliente
</t>
        </r>
      </text>
    </comment>
  </commentList>
</comments>
</file>

<file path=xl/connections.xml><?xml version="1.0" encoding="utf-8"?>
<connections xmlns="http://schemas.openxmlformats.org/spreadsheetml/2006/main">
  <connection id="1" name="Assets" type="1" refreshedVersion="5" savePassword="1" background="1" saveData="1">
    <dbPr connection="DSN=Reporte;Description=Reporte Producción;UID=reportes;PWD=martinrea;APP=Microsoft Office 2013;WSID=HOMERO-PC;DATABASE=Reporte" command="SELECT Asset.Name, Asset.ID_x000d__x000a_FROM Reporte.dbo.Asset Asset"/>
  </connection>
  <connection id="2" name="Downtime" type="1" refreshedVersion="5" savePassword="1" background="1" saveData="1">
    <dbPr connection="DSN=Reporte;Description=Reporte Producción;UID=reportes;PWD=martinrea;APP=Microsoft Office 2013;WSID=HOMERO-PC;DATABASE=Reporte" command="SELECT Downtime.ID, Downtime.Asset_ID, Downtime.ProductionDate, Downtime.Shift, Downtime.Hour, Downtime.Equipment, Downtime.DowntimeCode_ID, Downtime.Minutes, Downtime.StartTime, Downtime.EndTime, Downtime.Comments, Downtime.PartNumber, DowntimeCodes.Description, Concepts.Concept, Departments.Department, Stations.Station, Equipment.Equipment_x000d__x000a_FROM Reporte.dbo.Concepts Concepts, Reporte.dbo.Departments Departments, Reporte.dbo.Downtime Downtime, Reporte.dbo.DowntimeCodes DowntimeCodes, Reporte.dbo.Equipment Equipment, Reporte.dbo.Stations Stations_x000d__x000a_WHERE Downtime.DowntimeCode_ID = DowntimeCodes.ID AND DowntimeCodes.Concept_ID = Concepts.ID AND Concepts.Department_ID = Departments.ID AND Downtime.Equipment = Equipment.ID AND Equipment.Station = Stations.ID AND ((Downtime.ProductionDate&gt;=? And Downtime.ProductionDate&lt;=?))"/>
    <parameters count="2">
      <parameter name="Parameter1" sqlType="-9" parameterType="cell" refreshOnChange="1" cell="Linea!$B$3"/>
      <parameter name="Parameter2" sqlType="-9" parameterType="cell" refreshOnChange="1" cell="Linea!$B$4"/>
    </parameters>
  </connection>
  <connection id="3" name="OEE data" type="1" refreshedVersion="5" savePassword="1" background="1" saveData="1">
    <dbPr connection="DSN=Reporte;Description=Reporte Producción;UID=reportes;PWD=martinrea;APP=Microsoft Office 2013;WSID=HOMERO-PC;DATABASE=Reporte" command="SELECT        dbo.Report.ID, dbo.Report.Asset_ID, dbo.Report.ProductionDate, dbo.Report.Shift, dbo.Asset.Name, dbo.ReportDetail.ReportID, dbo.ReportDetail.Part, _x000d__x000a_                         dbo.ReportDetail.JPH, dbo.ReportDetail.TOTAL, dbo.ReportDetail.Start, dbo.ReportDetail.[End], dbo.ReportDetail.Hours, dbo.ReportDetail.PPT, dbo.ReportDetail.OT, _x000d__x000a_                         dbo.ReportDetail.Downtime, dbo.ReportDetail.PlannedDowntime, dbo.ReportDetail.Rejected, dbo.ReportDetail.Availability, dbo.ReportDetail.Performance, _x000d__x000a_                         dbo.ReportDetail.Quality, dbo.ReportDetail.OEE_x000d__x000a_FROM            dbo.Report INNER JOIN_x000d__x000a_                         dbo.ReportDetail ON dbo.Report.ID = dbo.ReportDetail.ReportID INNER JOIN_x000d__x000a_                         dbo.Asset ON dbo.Report.Asset_ID = dbo.Asset.ID_x000d__x000a_WHERE dbo.Report.ProductionDate&gt;=?_x000d__x000a_AND dbo.Report.ProductionDate&lt;=?"/>
    <parameters count="2">
      <parameter name="Parameter1" parameterType="cell" refreshOnChange="1" cell="Linea!$B$3"/>
      <parameter name="Parameter2" parameterType="cell" refreshOnChange="1" cell="Linea!$B$4"/>
    </parameters>
  </connection>
</connections>
</file>

<file path=xl/sharedStrings.xml><?xml version="1.0" encoding="utf-8"?>
<sst xmlns="http://schemas.openxmlformats.org/spreadsheetml/2006/main" count="2514" uniqueCount="278">
  <si>
    <t>ID</t>
  </si>
  <si>
    <t>Asset_ID</t>
  </si>
  <si>
    <t>ProductionDate</t>
  </si>
  <si>
    <t>Shift</t>
  </si>
  <si>
    <t>Name</t>
  </si>
  <si>
    <t>ReportID</t>
  </si>
  <si>
    <t>Part</t>
  </si>
  <si>
    <t>JPH</t>
  </si>
  <si>
    <t>TOTAL</t>
  </si>
  <si>
    <t>Start</t>
  </si>
  <si>
    <t>End</t>
  </si>
  <si>
    <t>Hours</t>
  </si>
  <si>
    <t>PPT</t>
  </si>
  <si>
    <t>OT</t>
  </si>
  <si>
    <t>Downtime</t>
  </si>
  <si>
    <t>PlannedDowntime</t>
  </si>
  <si>
    <t>Rejected</t>
  </si>
  <si>
    <t>Availability</t>
  </si>
  <si>
    <t>Performance</t>
  </si>
  <si>
    <t>Quality</t>
  </si>
  <si>
    <t>OEE</t>
  </si>
  <si>
    <t>2</t>
  </si>
  <si>
    <t>REAR SOLDADO</t>
  </si>
  <si>
    <t>WHG9C-5K067-AD</t>
  </si>
  <si>
    <t>1</t>
  </si>
  <si>
    <t>FRONTAL SOLDADO</t>
  </si>
  <si>
    <t>3</t>
  </si>
  <si>
    <t>BRP</t>
  </si>
  <si>
    <t>BATTERY WINGS LH WELDED</t>
  </si>
  <si>
    <t>TOYOTA SOLDADO</t>
  </si>
  <si>
    <t>BUSHING REAR</t>
  </si>
  <si>
    <t>BUSHING FRONT</t>
  </si>
  <si>
    <t>INTEGRAL LINK</t>
  </si>
  <si>
    <t>TOE LINK</t>
  </si>
  <si>
    <t>CAMBER LINK</t>
  </si>
  <si>
    <t>BATTERY REAR</t>
  </si>
  <si>
    <t>BATTERY GUSSET LH WELDED</t>
  </si>
  <si>
    <t>BATTERY GUSSET RH WELDED</t>
  </si>
  <si>
    <t>BATTERY WINGS RH WELDED</t>
  </si>
  <si>
    <t>Linea:</t>
  </si>
  <si>
    <t>Fecha Del</t>
  </si>
  <si>
    <t>Fecha Al</t>
  </si>
  <si>
    <t>OBJ JPH</t>
  </si>
  <si>
    <t>CT</t>
  </si>
  <si>
    <t>TOTAL PROD</t>
  </si>
  <si>
    <t>TP</t>
  </si>
  <si>
    <t>TO</t>
  </si>
  <si>
    <t>TM</t>
  </si>
  <si>
    <t>RWK</t>
  </si>
  <si>
    <t>SCRAP</t>
  </si>
  <si>
    <t>DISP</t>
  </si>
  <si>
    <t>EFF</t>
  </si>
  <si>
    <t>FTT</t>
  </si>
  <si>
    <t>HOURS</t>
  </si>
  <si>
    <t>T1</t>
  </si>
  <si>
    <t>T2</t>
  </si>
  <si>
    <t>T3</t>
  </si>
  <si>
    <t>Turno</t>
  </si>
  <si>
    <t>Hour</t>
  </si>
  <si>
    <t>Equipment</t>
  </si>
  <si>
    <t>DowntimeCode_ID</t>
  </si>
  <si>
    <t>Minutes</t>
  </si>
  <si>
    <t>StartTime</t>
  </si>
  <si>
    <t>EndTime</t>
  </si>
  <si>
    <t>Comments</t>
  </si>
  <si>
    <t>PartNumber</t>
  </si>
  <si>
    <t/>
  </si>
  <si>
    <t>TIEMPO MUERTO</t>
  </si>
  <si>
    <t>MINUTOS</t>
  </si>
  <si>
    <t>%</t>
  </si>
  <si>
    <t>TOYOTA</t>
  </si>
  <si>
    <t>FORD</t>
  </si>
  <si>
    <t>BUSHING</t>
  </si>
  <si>
    <t>GRUPO</t>
  </si>
  <si>
    <t>BUSHING INTEGRAL LINK</t>
  </si>
  <si>
    <t>BUSHING TOE LINK</t>
  </si>
  <si>
    <t>BUSHING CAMBER LINK</t>
  </si>
  <si>
    <t>DAIMLER</t>
  </si>
  <si>
    <t>BUSHING DAIMLER</t>
  </si>
  <si>
    <t>Description</t>
  </si>
  <si>
    <t>Concept</t>
  </si>
  <si>
    <t>Department</t>
  </si>
  <si>
    <t>MANTENIMIENTO</t>
  </si>
  <si>
    <t>Cambio de barril</t>
  </si>
  <si>
    <t>PRODUCCION</t>
  </si>
  <si>
    <t>TOOLING</t>
  </si>
  <si>
    <t>Cambio de puntas</t>
  </si>
  <si>
    <t>OTROS</t>
  </si>
  <si>
    <t>Perdida de ciclo porque sensor no detecta la píeza</t>
  </si>
  <si>
    <t>SENSOR</t>
  </si>
  <si>
    <t>AJUSTE</t>
  </si>
  <si>
    <t>Exceso de retrabajo</t>
  </si>
  <si>
    <t>EQUIPO</t>
  </si>
  <si>
    <t>Ajuste de herramental</t>
  </si>
  <si>
    <t>Falla de arco por punta pegada</t>
  </si>
  <si>
    <t>FALLA ARCO</t>
  </si>
  <si>
    <t>Ajuste de cordon por defecto de soldadura</t>
  </si>
  <si>
    <t>Limpieza de herramental</t>
  </si>
  <si>
    <t>Pin atorado</t>
  </si>
  <si>
    <t>Ajuste de sensor/ajuste de limit switch</t>
  </si>
  <si>
    <t>Falla de clamp</t>
  </si>
  <si>
    <t>OPERACIÓN</t>
  </si>
  <si>
    <t>Falla en posicion de mesa</t>
  </si>
  <si>
    <t>CONTROLES</t>
  </si>
  <si>
    <t>CALIDAD</t>
  </si>
  <si>
    <t>Falta de huella (weldlist)</t>
  </si>
  <si>
    <t>TURNO 1</t>
  </si>
  <si>
    <t>TURNO 2</t>
  </si>
  <si>
    <t>TURNO 3</t>
  </si>
  <si>
    <t>Horas Programadas</t>
  </si>
  <si>
    <t>Unidades Producidas</t>
  </si>
  <si>
    <t>Tiempo Muerto Mtto</t>
  </si>
  <si>
    <t>Tiempo Muerto</t>
  </si>
  <si>
    <t>MTTR</t>
  </si>
  <si>
    <t>MTBF</t>
  </si>
  <si>
    <t>% TIEMPO MUERTO MTTO</t>
  </si>
  <si>
    <t>CANTIDAD DE PAROS MTTO</t>
  </si>
  <si>
    <t>Total</t>
  </si>
  <si>
    <t>Station</t>
  </si>
  <si>
    <t>OP 100</t>
  </si>
  <si>
    <t>100</t>
  </si>
  <si>
    <t>OP 105</t>
  </si>
  <si>
    <t>105</t>
  </si>
  <si>
    <t>OP 110</t>
  </si>
  <si>
    <t>110</t>
  </si>
  <si>
    <t>OP 120</t>
  </si>
  <si>
    <t>120</t>
  </si>
  <si>
    <t>OP 140</t>
  </si>
  <si>
    <t>140</t>
  </si>
  <si>
    <t>OP 170</t>
  </si>
  <si>
    <t>170</t>
  </si>
  <si>
    <t>OP 40</t>
  </si>
  <si>
    <t>40</t>
  </si>
  <si>
    <t>OP10R</t>
  </si>
  <si>
    <t>10R</t>
  </si>
  <si>
    <t>OP100</t>
  </si>
  <si>
    <t>OP110</t>
  </si>
  <si>
    <t>OP120</t>
  </si>
  <si>
    <t>OP140</t>
  </si>
  <si>
    <t>OP152</t>
  </si>
  <si>
    <t>152</t>
  </si>
  <si>
    <t>OP30</t>
  </si>
  <si>
    <t>Equipment2</t>
  </si>
  <si>
    <t>CLIENTE:</t>
  </si>
  <si>
    <t>Herramental dañado</t>
  </si>
  <si>
    <t>Paro de emergencia</t>
  </si>
  <si>
    <t>OP 175</t>
  </si>
  <si>
    <t>175</t>
  </si>
  <si>
    <t>Falla de cortina roll up</t>
  </si>
  <si>
    <t>W65240-04181</t>
  </si>
  <si>
    <t>20 BLH</t>
  </si>
  <si>
    <t>R6</t>
  </si>
  <si>
    <t>PEDESTALES/PISTOLA</t>
  </si>
  <si>
    <t>OP50</t>
  </si>
  <si>
    <t>Cambio de caps</t>
  </si>
  <si>
    <t>OP 10B/C</t>
  </si>
  <si>
    <t>Falla de controlador MEDAR</t>
  </si>
  <si>
    <t>Perdida de ciclo /secuencia</t>
  </si>
  <si>
    <t>Pedestal A</t>
  </si>
  <si>
    <t>Pedestal B</t>
  </si>
  <si>
    <t>Corridas negativas/Validación de pokayoke</t>
  </si>
  <si>
    <t>Falla de camara cognex</t>
  </si>
  <si>
    <t>Ajuste de names</t>
  </si>
  <si>
    <t>OP10</t>
  </si>
  <si>
    <t>10 LH</t>
  </si>
  <si>
    <t>WHG9C-5C145-CF</t>
  </si>
  <si>
    <t>RETRABAJOS (Y)</t>
  </si>
  <si>
    <t>TURNO</t>
  </si>
  <si>
    <t>Colision de robot por variacion de material</t>
  </si>
  <si>
    <t>ROBOT</t>
  </si>
  <si>
    <t>Ajuste por CMM</t>
  </si>
  <si>
    <t>OP 80</t>
  </si>
  <si>
    <t>80</t>
  </si>
  <si>
    <t>OP 178</t>
  </si>
  <si>
    <t>178</t>
  </si>
  <si>
    <t>OP 20</t>
  </si>
  <si>
    <t>OP 108</t>
  </si>
  <si>
    <t>108</t>
  </si>
  <si>
    <t>PERCEPTRON</t>
  </si>
  <si>
    <t>PERF</t>
  </si>
  <si>
    <t>130</t>
  </si>
  <si>
    <t>Robot alarmado</t>
  </si>
  <si>
    <t>ESTAMPADOS</t>
  </si>
  <si>
    <t>Rechazo de Perceptron</t>
  </si>
  <si>
    <t>OP105</t>
  </si>
  <si>
    <t>OP150</t>
  </si>
  <si>
    <t>150</t>
  </si>
  <si>
    <t>Cambio de sensor/limit switch</t>
  </si>
  <si>
    <t>CONVEYOR</t>
  </si>
  <si>
    <t>OP147</t>
  </si>
  <si>
    <t>MH147</t>
  </si>
  <si>
    <t>10A</t>
  </si>
  <si>
    <t>falla de sensor</t>
  </si>
  <si>
    <t>Falla de comunicación</t>
  </si>
  <si>
    <t>Carrier no llega a posicion</t>
  </si>
  <si>
    <t>PAROS PLANEADOS</t>
  </si>
  <si>
    <t>LUNES</t>
  </si>
  <si>
    <t>TURNO1</t>
  </si>
  <si>
    <t>TURNO2</t>
  </si>
  <si>
    <t>TURNO3</t>
  </si>
  <si>
    <t>SEMANAL</t>
  </si>
  <si>
    <t>MARTES</t>
  </si>
  <si>
    <t>MIERCOLES</t>
  </si>
  <si>
    <t>JUEVES</t>
  </si>
  <si>
    <t>VIERNES</t>
  </si>
  <si>
    <t>SABADO</t>
  </si>
  <si>
    <t>DOMINGO</t>
  </si>
  <si>
    <t>10/30/2018</t>
  </si>
  <si>
    <t>2018-10-30</t>
  </si>
  <si>
    <t>HG9C-5C145-BG</t>
  </si>
  <si>
    <t>FRONTAL</t>
  </si>
  <si>
    <t>CARGA</t>
  </si>
  <si>
    <t>Falla de alimentador</t>
  </si>
  <si>
    <t>ALIMEN</t>
  </si>
  <si>
    <t>HG9C-5C145-CF</t>
  </si>
  <si>
    <t>Falla de adquisicion de datos</t>
  </si>
  <si>
    <t>Ajuste de cordon por material fuera de especif.</t>
  </si>
  <si>
    <t>pia 7 mal estampado</t>
  </si>
  <si>
    <t>OP 50RH</t>
  </si>
  <si>
    <t>50RH</t>
  </si>
  <si>
    <t>body entra ajustado</t>
  </si>
  <si>
    <t>MH140</t>
  </si>
  <si>
    <t>MH180</t>
  </si>
  <si>
    <t>zona #4</t>
  </si>
  <si>
    <t>CON153</t>
  </si>
  <si>
    <t>mal prensado traser lh</t>
  </si>
  <si>
    <t>HG9C-5K067-AD</t>
  </si>
  <si>
    <t>REAR</t>
  </si>
  <si>
    <t>RFWD</t>
  </si>
  <si>
    <t>mal prensado trasero lh</t>
  </si>
  <si>
    <t>bushing mal prensado</t>
  </si>
  <si>
    <t>AL FWD</t>
  </si>
  <si>
    <t>OP27</t>
  </si>
  <si>
    <t>WDG9C-5A972-AXD</t>
  </si>
  <si>
    <t>OP 10</t>
  </si>
  <si>
    <t>10 RH</t>
  </si>
  <si>
    <t>WDG9C-5K898-AXE</t>
  </si>
  <si>
    <t>Procesos Fuera de Estandar</t>
  </si>
  <si>
    <t>INGENIERIA</t>
  </si>
  <si>
    <t>WDG9C-5500-AXB</t>
  </si>
  <si>
    <t>10</t>
  </si>
  <si>
    <t>20 RH</t>
  </si>
  <si>
    <t>DG9C-5A972-AXD</t>
  </si>
  <si>
    <t>DG9C-5K898-AXE</t>
  </si>
  <si>
    <t>se cambia condicon de bushing</t>
  </si>
  <si>
    <t>Cambios de Ingenieria</t>
  </si>
  <si>
    <t>bovina</t>
  </si>
  <si>
    <t>Tornillo capado</t>
  </si>
  <si>
    <t>Herramental Flojo</t>
  </si>
  <si>
    <t>bushing nuevo</t>
  </si>
  <si>
    <t>DG9C-5500-AXB</t>
  </si>
  <si>
    <t>OP 30</t>
  </si>
  <si>
    <t>cambio de condicion de  bushing</t>
  </si>
  <si>
    <t>ALIM RH</t>
  </si>
  <si>
    <t>falla de adquisicion de datos</t>
  </si>
  <si>
    <t>cambio de bushing</t>
  </si>
  <si>
    <t>Corridas prototipos</t>
  </si>
  <si>
    <t>Limpieza de herramental/sensor</t>
  </si>
  <si>
    <t>Caps pegados</t>
  </si>
  <si>
    <t>R2</t>
  </si>
  <si>
    <t>actuador atorado</t>
  </si>
  <si>
    <t>slide</t>
  </si>
  <si>
    <t>R4</t>
  </si>
  <si>
    <t>R3 (MH)</t>
  </si>
  <si>
    <t>Falla de chiller</t>
  </si>
  <si>
    <t>se cae caps</t>
  </si>
  <si>
    <t>se cae cap</t>
  </si>
  <si>
    <t>Operador interrumpe cortina</t>
  </si>
  <si>
    <t>Ajuste de cortina de luz</t>
  </si>
  <si>
    <t>red rabbit</t>
  </si>
  <si>
    <t>camara RH</t>
  </si>
  <si>
    <t>A167350250004</t>
  </si>
  <si>
    <t>Station1</t>
  </si>
  <si>
    <t>Station 1</t>
  </si>
  <si>
    <t>DIA</t>
  </si>
  <si>
    <t>MES</t>
  </si>
  <si>
    <t>AÑO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</si>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</sst>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83">
    <xf numFmtId="0" fontId="0" fillId="0" borderId="0" xfId="0"/>
    <xf numFmtId="22" fontId="0" fillId="0" borderId="0" xfId="0" applyNumberFormat="1"/>
    <xf numFmtId="0" fontId="0" fillId="2" borderId="0" xfId="0" applyFill="1"/>
    <xf numFmtId="49" fontId="0" fillId="2" borderId="0" xfId="0" applyNumberFormat="1" applyFill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0" fillId="0" borderId="1" xfId="0" applyBorder="1"/>
    <xf numFmtId="10" fontId="0" fillId="0" borderId="1" xfId="1" applyNumberFormat="1" applyFont="1" applyBorder="1"/>
    <xf numFmtId="1" fontId="0" fillId="0" borderId="1" xfId="1" applyNumberFormat="1" applyFont="1" applyBorder="1"/>
    <xf numFmtId="0" fontId="3" fillId="0" borderId="1" xfId="0" applyFont="1" applyBorder="1"/>
    <xf numFmtId="0" fontId="2" fillId="3" borderId="2" xfId="0" applyFont="1" applyFill="1" applyBorder="1" applyAlignment="1">
      <alignment horizontal="left" vertical="center"/>
    </xf>
    <xf numFmtId="9" fontId="0" fillId="0" borderId="1" xfId="1" applyFont="1" applyBorder="1"/>
    <xf numFmtId="164" fontId="0" fillId="0" borderId="0" xfId="1" applyNumberFormat="1" applyFont="1"/>
    <xf numFmtId="9" fontId="0" fillId="0" borderId="1" xfId="1" applyNumberFormat="1" applyFont="1" applyBorder="1"/>
    <xf numFmtId="0" fontId="0" fillId="0" borderId="0" xfId="0" applyNumberFormat="1"/>
    <xf numFmtId="0" fontId="1" fillId="5" borderId="6" xfId="2" applyFill="1" applyBorder="1"/>
    <xf numFmtId="0" fontId="1" fillId="5" borderId="7" xfId="2" applyFill="1" applyBorder="1"/>
    <xf numFmtId="0" fontId="1" fillId="5" borderId="8" xfId="2" applyFill="1" applyBorder="1"/>
    <xf numFmtId="0" fontId="1" fillId="5" borderId="9" xfId="2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9" fontId="0" fillId="0" borderId="10" xfId="1" applyFont="1" applyBorder="1"/>
    <xf numFmtId="9" fontId="0" fillId="0" borderId="11" xfId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left"/>
    </xf>
    <xf numFmtId="0" fontId="0" fillId="6" borderId="6" xfId="0" applyFill="1" applyBorder="1"/>
    <xf numFmtId="0" fontId="0" fillId="4" borderId="1" xfId="0" applyFill="1" applyBorder="1" applyAlignment="1"/>
    <xf numFmtId="0" fontId="2" fillId="3" borderId="0" xfId="0" applyFont="1" applyFill="1" applyBorder="1" applyAlignment="1">
      <alignment horizontal="left" vertical="center"/>
    </xf>
    <xf numFmtId="0" fontId="1" fillId="5" borderId="16" xfId="2" applyFill="1" applyBorder="1"/>
    <xf numFmtId="0" fontId="3" fillId="7" borderId="19" xfId="2" applyFont="1" applyFill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10" xfId="0" applyNumberFormat="1" applyBorder="1"/>
    <xf numFmtId="2" fontId="0" fillId="0" borderId="1" xfId="0" applyNumberFormat="1" applyBorder="1"/>
    <xf numFmtId="2" fontId="0" fillId="0" borderId="11" xfId="0" applyNumberFormat="1" applyBorder="1"/>
    <xf numFmtId="0" fontId="1" fillId="5" borderId="24" xfId="2" applyFill="1" applyBorder="1"/>
    <xf numFmtId="0" fontId="1" fillId="5" borderId="25" xfId="2" applyFill="1" applyBorder="1"/>
    <xf numFmtId="0" fontId="1" fillId="5" borderId="26" xfId="2" applyFill="1" applyBorder="1"/>
    <xf numFmtId="2" fontId="0" fillId="0" borderId="27" xfId="0" applyNumberFormat="1" applyBorder="1"/>
    <xf numFmtId="0" fontId="0" fillId="0" borderId="17" xfId="0" applyBorder="1"/>
    <xf numFmtId="2" fontId="0" fillId="0" borderId="17" xfId="0" applyNumberFormat="1" applyBorder="1"/>
    <xf numFmtId="9" fontId="0" fillId="0" borderId="17" xfId="1" applyFont="1" applyBorder="1"/>
    <xf numFmtId="0" fontId="0" fillId="0" borderId="28" xfId="0" applyBorder="1"/>
    <xf numFmtId="0" fontId="3" fillId="7" borderId="22" xfId="2" applyFont="1" applyFill="1" applyBorder="1"/>
    <xf numFmtId="0" fontId="0" fillId="4" borderId="1" xfId="0" applyFill="1" applyBorder="1" applyAlignment="1">
      <alignment horizontal="center"/>
    </xf>
    <xf numFmtId="0" fontId="2" fillId="9" borderId="22" xfId="2" applyFont="1" applyFill="1" applyBorder="1" applyAlignment="1">
      <alignment horizontal="center" vertical="center"/>
    </xf>
    <xf numFmtId="0" fontId="2" fillId="9" borderId="18" xfId="2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0" fontId="3" fillId="12" borderId="5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0" fontId="3" fillId="14" borderId="4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  <xf numFmtId="14" fontId="0" fillId="8" borderId="23" xfId="0" applyNumberFormat="1" applyFill="1" applyBorder="1" applyAlignment="1">
      <alignment horizontal="center"/>
    </xf>
    <xf numFmtId="14" fontId="0" fillId="8" borderId="15" xfId="0" applyNumberFormat="1" applyFill="1" applyBorder="1" applyAlignment="1">
      <alignment horizontal="center"/>
    </xf>
    <xf numFmtId="14" fontId="0" fillId="8" borderId="18" xfId="0" applyNumberForma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7" borderId="20" xfId="0" applyFont="1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3" fillId="15" borderId="1" xfId="0" applyFont="1" applyFill="1" applyBorder="1"/>
    <xf numFmtId="0" fontId="0" fillId="6" borderId="1" xfId="0" applyFill="1" applyBorder="1"/>
    <xf numFmtId="14" fontId="0" fillId="6" borderId="1" xfId="0" applyNumberFormat="1" applyFill="1" applyBorder="1"/>
    <xf numFmtId="0" fontId="0" fillId="6" borderId="29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17" xfId="0" applyFill="1" applyBorder="1" applyAlignment="1">
      <alignment horizontal="center"/>
    </xf>
  </cellXfs>
  <cellStyles count="3">
    <cellStyle name="Normal" xfId="0" builtinId="0"/>
    <cellStyle name="Normal 3" xfId="2"/>
    <cellStyle name="Percent" xfId="1" builtinId="5"/>
  </cellStyles>
  <dxfs count="5">
    <dxf>
      <numFmt numFmtId="27" formatCode="mm/dd/yyyy\ hh:mm"/>
    </dxf>
    <dxf>
      <numFmt numFmtId="27" formatCode="mm/dd/yyyy\ hh:mm"/>
    </dxf>
    <dxf>
      <numFmt numFmtId="27" formatCode="mm/dd/yyyy\ hh:mm"/>
    </dxf>
    <dxf>
      <numFmt numFmtId="27" formatCode="mm/dd/yyyy\ hh:mm"/>
    </dxf>
    <dxf>
      <numFmt numFmtId="27" formatCode="mm/dd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Query from Reporte" connectionId="1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Name" tableColumnId="1"/>
      <queryTableField id="2" name="ID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name="Query from Reporte_1" connectionId="2" autoFormatId="16" applyNumberFormats="0" applyBorderFormats="0" applyFontFormats="0" applyPatternFormats="0" applyAlignmentFormats="0" applyWidthHeightFormats="0">
  <queryTableRefresh nextId="19" unboundColumnsRight="1">
    <queryTableFields count="18">
      <queryTableField id="1" name="ID" tableColumnId="1"/>
      <queryTableField id="2" name="Asset_ID" tableColumnId="2"/>
      <queryTableField id="3" name="ProductionDate" tableColumnId="3"/>
      <queryTableField id="4" name="Shift" tableColumnId="4"/>
      <queryTableField id="5" name="Hour" tableColumnId="5"/>
      <queryTableField id="6" name="Equipment" tableColumnId="6"/>
      <queryTableField id="7" name="DowntimeCode_ID" tableColumnId="7"/>
      <queryTableField id="8" name="Minutes" tableColumnId="8"/>
      <queryTableField id="9" name="StartTime" tableColumnId="9"/>
      <queryTableField id="10" name="EndTime" tableColumnId="10"/>
      <queryTableField id="11" name="Comments" tableColumnId="11"/>
      <queryTableField id="12" name="PartNumber" tableColumnId="12"/>
      <queryTableField id="14" name="Description" tableColumnId="14"/>
      <queryTableField id="15" name="Concept" tableColumnId="15"/>
      <queryTableField id="16" name="Department" tableColumnId="16"/>
      <queryTableField id="17" name="Station" tableColumnId="17"/>
      <queryTableField id="18" name="Equipment" tableColumnId="18"/>
      <queryTableField id="13" dataBound="0" tableColumnId="13"/>
    </queryTableFields>
  </queryTableRefresh>
</queryTable>
</file>

<file path=xl/queryTables/queryTable3.xml><?xml version="1.0" encoding="utf-8"?>
<queryTable xmlns="http://schemas.openxmlformats.org/spreadsheetml/2006/main" name="Query from Reporte" connectionId="3" autoFormatId="16" applyNumberFormats="0" applyBorderFormats="0" applyFontFormats="0" applyPatternFormats="0" applyAlignmentFormats="0" applyWidthHeightFormats="0">
  <queryTableRefresh nextId="23" unboundColumnsRight="1">
    <queryTableFields count="22">
      <queryTableField id="1" name="ID" tableColumnId="1"/>
      <queryTableField id="2" name="Asset_ID" tableColumnId="2"/>
      <queryTableField id="3" name="ProductionDate" tableColumnId="3"/>
      <queryTableField id="4" name="Shift" tableColumnId="4"/>
      <queryTableField id="5" name="Name" tableColumnId="5"/>
      <queryTableField id="6" name="ReportID" tableColumnId="6"/>
      <queryTableField id="7" name="Part" tableColumnId="7"/>
      <queryTableField id="8" name="JPH" tableColumnId="8"/>
      <queryTableField id="9" name="TOTAL" tableColumnId="9"/>
      <queryTableField id="10" name="Start" tableColumnId="10"/>
      <queryTableField id="11" name="End" tableColumnId="11"/>
      <queryTableField id="12" name="Hours" tableColumnId="12"/>
      <queryTableField id="13" name="PPT" tableColumnId="13"/>
      <queryTableField id="14" name="OT" tableColumnId="14"/>
      <queryTableField id="15" name="Downtime" tableColumnId="15"/>
      <queryTableField id="16" name="PlannedDowntime" tableColumnId="16"/>
      <queryTableField id="17" name="Rejected" tableColumnId="17"/>
      <queryTableField id="18" name="Availability" tableColumnId="18"/>
      <queryTableField id="19" name="Performance" tableColumnId="19"/>
      <queryTableField id="20" name="Quality" tableColumnId="20"/>
      <queryTableField id="21" name="OEE" tableColumnId="21"/>
      <queryTableField id="22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Table_Query_from_Reporte3" displayName="Table_Query_from_Reporte3" ref="A1:C20" tableType="queryTable" totalsRowShown="0">
  <autoFilter ref="A1:C20"/>
  <tableColumns count="3">
    <tableColumn id="1" uniqueName="1" name="Name" queryTableFieldId="1"/>
    <tableColumn id="2" uniqueName="2" name="ID" queryTableFieldId="2"/>
    <tableColumn id="3" uniqueName="3" name="GRUPO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_Query_from_Reporte_1" displayName="Table_Query_from_Reporte_1" ref="E1:V246" tableType="queryTable" totalsRowShown="0">
  <autoFilter ref="E1:V246"/>
  <tableColumns count="18">
    <tableColumn id="1" uniqueName="1" name="ID" queryTableFieldId="1"/>
    <tableColumn id="2" uniqueName="2" name="Asset_ID" queryTableFieldId="2"/>
    <tableColumn id="3" uniqueName="3" name="ProductionDate" queryTableFieldId="3"/>
    <tableColumn id="4" uniqueName="4" name="Shift" queryTableFieldId="4"/>
    <tableColumn id="5" uniqueName="5" name="Hour" queryTableFieldId="5" dataDxfId="4"/>
    <tableColumn id="6" uniqueName="6" name="Equipment" queryTableFieldId="6"/>
    <tableColumn id="7" uniqueName="7" name="DowntimeCode_ID" queryTableFieldId="7"/>
    <tableColumn id="8" uniqueName="8" name="Minutes" queryTableFieldId="8"/>
    <tableColumn id="9" uniqueName="9" name="StartTime" queryTableFieldId="9" dataDxfId="3"/>
    <tableColumn id="10" uniqueName="10" name="EndTime" queryTableFieldId="10" dataDxfId="2"/>
    <tableColumn id="11" uniqueName="11" name="Comments" queryTableFieldId="11"/>
    <tableColumn id="12" uniqueName="12" name="PartNumber" queryTableFieldId="12"/>
    <tableColumn id="14" uniqueName="14" name="Description" queryTableFieldId="14"/>
    <tableColumn id="15" uniqueName="15" name="Concept" queryTableFieldId="15"/>
    <tableColumn id="16" uniqueName="16" name="Department" queryTableFieldId="16"/>
    <tableColumn id="17" uniqueName="17" name="Station" queryTableFieldId="17"/>
    <tableColumn id="18" uniqueName="18" name="Equipment2" queryTableFieldId="18"/>
    <tableColumn id="13" uniqueName="13" name="GRUPO" queryTableFieldId="13">
      <calculatedColumnFormula>VLOOKUP(Table_Query_from_Reporte_1[[#This Row],[Asset_ID]],B:C,2,TRUE)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_Query_from_Reporte" displayName="Table_Query_from_Reporte" ref="A1:V26" tableType="queryTable" totalsRowShown="0">
  <autoFilter ref="A1:V26"/>
  <tableColumns count="22">
    <tableColumn id="1" uniqueName="1" name="ID" queryTableFieldId="1"/>
    <tableColumn id="2" uniqueName="2" name="Asset_ID" queryTableFieldId="2"/>
    <tableColumn id="3" uniqueName="3" name="ProductionDate" queryTableFieldId="3"/>
    <tableColumn id="4" uniqueName="4" name="Shift" queryTableFieldId="4"/>
    <tableColumn id="5" uniqueName="5" name="Name" queryTableFieldId="5"/>
    <tableColumn id="6" uniqueName="6" name="ReportID" queryTableFieldId="6"/>
    <tableColumn id="7" uniqueName="7" name="Part" queryTableFieldId="7"/>
    <tableColumn id="8" uniqueName="8" name="JPH" queryTableFieldId="8"/>
    <tableColumn id="9" uniqueName="9" name="TOTAL" queryTableFieldId="9"/>
    <tableColumn id="10" uniqueName="10" name="Start" queryTableFieldId="10" dataDxfId="1"/>
    <tableColumn id="11" uniqueName="11" name="End" queryTableFieldId="11" dataDxfId="0"/>
    <tableColumn id="12" uniqueName="12" name="Hours" queryTableFieldId="12"/>
    <tableColumn id="13" uniqueName="13" name="PPT" queryTableFieldId="13"/>
    <tableColumn id="14" uniqueName="14" name="OT" queryTableFieldId="14"/>
    <tableColumn id="15" uniqueName="15" name="Downtime" queryTableFieldId="15"/>
    <tableColumn id="16" uniqueName="16" name="PlannedDowntime" queryTableFieldId="16"/>
    <tableColumn id="17" uniqueName="17" name="Rejected" queryTableFieldId="17"/>
    <tableColumn id="18" uniqueName="18" name="Availability" queryTableFieldId="18"/>
    <tableColumn id="19" uniqueName="19" name="Performance" queryTableFieldId="19"/>
    <tableColumn id="20" uniqueName="20" name="Quality" queryTableFieldId="20"/>
    <tableColumn id="21" uniqueName="21" name="OEE" queryTableFieldId="21"/>
    <tableColumn id="22" uniqueName="22" name="GRUPO" queryTableFieldId="22">
      <calculatedColumnFormula>VLOOKUP(Table_Query_from_Reporte[[#This Row],[Asset_ID]],Datos!B:C,2,TRUE)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46"/>
  <sheetViews>
    <sheetView workbookViewId="0">
      <selection activeCell="H24" sqref="H24"/>
    </sheetView>
  </sheetViews>
  <sheetFormatPr defaultRowHeight="15" x14ac:dyDescent="0.25"/>
  <cols>
    <col min="1" max="1" width="26.85546875" customWidth="1"/>
    <col min="2" max="2" width="5.140625" customWidth="1"/>
    <col min="3" max="4" width="9.85546875" customWidth="1"/>
    <col min="5" max="5" width="5.140625" customWidth="1"/>
    <col min="6" max="6" width="11" customWidth="1"/>
    <col min="7" max="7" width="17.28515625" customWidth="1"/>
    <col min="8" max="8" width="7.42578125" customWidth="1"/>
    <col min="9" max="9" width="16" customWidth="1"/>
    <col min="10" max="10" width="13" customWidth="1"/>
    <col min="11" max="11" width="20.28515625" customWidth="1"/>
    <col min="12" max="12" width="10.7109375" customWidth="1"/>
    <col min="13" max="13" width="11.85546875" customWidth="1"/>
    <col min="14" max="14" width="11" customWidth="1"/>
    <col min="15" max="15" width="30.5703125" customWidth="1"/>
    <col min="16" max="16" width="18.42578125" customWidth="1"/>
    <col min="17" max="17" width="46.42578125" customWidth="1"/>
    <col min="18" max="18" width="20.140625" customWidth="1"/>
    <col min="19" max="19" width="16.85546875" customWidth="1"/>
    <col min="20" max="20" width="12.7109375" customWidth="1"/>
    <col min="21" max="21" width="14" customWidth="1"/>
    <col min="22" max="22" width="9.85546875" customWidth="1"/>
  </cols>
  <sheetData>
    <row r="1" spans="1:22" x14ac:dyDescent="0.25">
      <c r="A1" t="s">
        <v>4</v>
      </c>
      <c r="B1" t="s">
        <v>0</v>
      </c>
      <c r="C1" t="s">
        <v>73</v>
      </c>
      <c r="E1" t="s">
        <v>0</v>
      </c>
      <c r="F1" t="s">
        <v>1</v>
      </c>
      <c r="G1" t="s">
        <v>2</v>
      </c>
      <c r="H1" t="s">
        <v>3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79</v>
      </c>
      <c r="R1" t="s">
        <v>80</v>
      </c>
      <c r="S1" t="s">
        <v>81</v>
      </c>
      <c r="T1" t="s">
        <v>118</v>
      </c>
      <c r="U1" t="s">
        <v>142</v>
      </c>
      <c r="V1" t="s">
        <v>73</v>
      </c>
    </row>
    <row r="2" spans="1:22" x14ac:dyDescent="0.25">
      <c r="A2" t="s">
        <v>31</v>
      </c>
      <c r="B2">
        <v>18</v>
      </c>
      <c r="C2" t="s">
        <v>72</v>
      </c>
      <c r="E2">
        <v>6048</v>
      </c>
      <c r="F2">
        <v>18</v>
      </c>
      <c r="G2" t="s">
        <v>208</v>
      </c>
      <c r="H2" t="s">
        <v>24</v>
      </c>
      <c r="I2" s="1">
        <v>43403.25</v>
      </c>
      <c r="J2">
        <v>95</v>
      </c>
      <c r="K2">
        <v>98</v>
      </c>
      <c r="L2">
        <v>6</v>
      </c>
      <c r="M2" s="1"/>
      <c r="N2" s="1"/>
      <c r="O2" t="s">
        <v>66</v>
      </c>
      <c r="P2" t="s">
        <v>209</v>
      </c>
      <c r="Q2" t="s">
        <v>161</v>
      </c>
      <c r="R2" t="s">
        <v>103</v>
      </c>
      <c r="S2" t="s">
        <v>82</v>
      </c>
      <c r="T2" t="s">
        <v>210</v>
      </c>
      <c r="U2" t="s">
        <v>211</v>
      </c>
      <c r="V2" t="str">
        <f>VLOOKUP(Table_Query_from_Reporte_1[[#This Row],[Asset_ID]],B:C,2,TRUE)</f>
        <v>BUSHING</v>
      </c>
    </row>
    <row r="3" spans="1:22" x14ac:dyDescent="0.25">
      <c r="A3" t="s">
        <v>22</v>
      </c>
      <c r="B3">
        <v>21</v>
      </c>
      <c r="C3" t="s">
        <v>71</v>
      </c>
      <c r="E3">
        <v>6049</v>
      </c>
      <c r="F3">
        <v>18</v>
      </c>
      <c r="G3" t="s">
        <v>208</v>
      </c>
      <c r="H3" t="s">
        <v>24</v>
      </c>
      <c r="I3" s="1">
        <v>43403.25</v>
      </c>
      <c r="J3">
        <v>97</v>
      </c>
      <c r="K3">
        <v>94</v>
      </c>
      <c r="L3">
        <v>10</v>
      </c>
      <c r="M3" s="1"/>
      <c r="N3" s="1"/>
      <c r="O3" t="s">
        <v>66</v>
      </c>
      <c r="P3" t="s">
        <v>209</v>
      </c>
      <c r="Q3" t="s">
        <v>157</v>
      </c>
      <c r="R3" t="s">
        <v>103</v>
      </c>
      <c r="S3" t="s">
        <v>82</v>
      </c>
      <c r="T3" t="s">
        <v>210</v>
      </c>
      <c r="U3" t="s">
        <v>163</v>
      </c>
      <c r="V3" t="str">
        <f>VLOOKUP(Table_Query_from_Reporte_1[[#This Row],[Asset_ID]],B:C,2,TRUE)</f>
        <v>BUSHING</v>
      </c>
    </row>
    <row r="4" spans="1:22" x14ac:dyDescent="0.25">
      <c r="A4" t="s">
        <v>25</v>
      </c>
      <c r="B4">
        <v>22</v>
      </c>
      <c r="C4" t="s">
        <v>71</v>
      </c>
      <c r="E4">
        <v>6050</v>
      </c>
      <c r="F4">
        <v>18</v>
      </c>
      <c r="G4" t="s">
        <v>208</v>
      </c>
      <c r="H4" t="s">
        <v>24</v>
      </c>
      <c r="I4" s="1">
        <v>43403.25</v>
      </c>
      <c r="J4">
        <v>98</v>
      </c>
      <c r="K4">
        <v>87</v>
      </c>
      <c r="L4">
        <v>9.8000000000000007</v>
      </c>
      <c r="M4" s="1"/>
      <c r="N4" s="1"/>
      <c r="O4" t="s">
        <v>66</v>
      </c>
      <c r="P4" t="s">
        <v>209</v>
      </c>
      <c r="Q4" t="s">
        <v>212</v>
      </c>
      <c r="R4" t="s">
        <v>92</v>
      </c>
      <c r="S4" t="s">
        <v>82</v>
      </c>
      <c r="T4" t="s">
        <v>210</v>
      </c>
      <c r="U4" t="s">
        <v>213</v>
      </c>
      <c r="V4" t="str">
        <f>VLOOKUP(Table_Query_from_Reporte_1[[#This Row],[Asset_ID]],B:C,2,TRUE)</f>
        <v>BUSHING</v>
      </c>
    </row>
    <row r="5" spans="1:22" x14ac:dyDescent="0.25">
      <c r="A5" t="s">
        <v>30</v>
      </c>
      <c r="B5">
        <v>23</v>
      </c>
      <c r="C5" t="s">
        <v>72</v>
      </c>
      <c r="E5">
        <v>6069</v>
      </c>
      <c r="F5">
        <v>18</v>
      </c>
      <c r="G5" t="s">
        <v>208</v>
      </c>
      <c r="H5" t="s">
        <v>24</v>
      </c>
      <c r="I5" s="1">
        <v>43403.333333333336</v>
      </c>
      <c r="J5">
        <v>98</v>
      </c>
      <c r="K5">
        <v>87</v>
      </c>
      <c r="L5">
        <v>6.9</v>
      </c>
      <c r="M5" s="1"/>
      <c r="N5" s="1"/>
      <c r="O5" t="s">
        <v>66</v>
      </c>
      <c r="P5" t="s">
        <v>214</v>
      </c>
      <c r="Q5" t="s">
        <v>212</v>
      </c>
      <c r="R5" t="s">
        <v>92</v>
      </c>
      <c r="S5" t="s">
        <v>82</v>
      </c>
      <c r="T5" t="s">
        <v>210</v>
      </c>
      <c r="U5" t="s">
        <v>213</v>
      </c>
      <c r="V5" t="str">
        <f>VLOOKUP(Table_Query_from_Reporte_1[[#This Row],[Asset_ID]],B:C,2,TRUE)</f>
        <v>BUSHING</v>
      </c>
    </row>
    <row r="6" spans="1:22" x14ac:dyDescent="0.25">
      <c r="A6" t="s">
        <v>32</v>
      </c>
      <c r="B6">
        <v>37</v>
      </c>
      <c r="C6" t="s">
        <v>71</v>
      </c>
      <c r="E6">
        <v>6082</v>
      </c>
      <c r="F6">
        <v>18</v>
      </c>
      <c r="G6" t="s">
        <v>208</v>
      </c>
      <c r="H6" t="s">
        <v>24</v>
      </c>
      <c r="I6" s="1">
        <v>43403.375</v>
      </c>
      <c r="J6">
        <v>98</v>
      </c>
      <c r="K6">
        <v>87</v>
      </c>
      <c r="L6">
        <v>5.3</v>
      </c>
      <c r="M6" s="1"/>
      <c r="N6" s="1"/>
      <c r="O6" t="s">
        <v>66</v>
      </c>
      <c r="P6" t="s">
        <v>214</v>
      </c>
      <c r="Q6" t="s">
        <v>212</v>
      </c>
      <c r="R6" t="s">
        <v>92</v>
      </c>
      <c r="S6" t="s">
        <v>82</v>
      </c>
      <c r="T6" t="s">
        <v>210</v>
      </c>
      <c r="U6" t="s">
        <v>213</v>
      </c>
      <c r="V6" t="str">
        <f>VLOOKUP(Table_Query_from_Reporte_1[[#This Row],[Asset_ID]],B:C,2,TRUE)</f>
        <v>BUSHING</v>
      </c>
    </row>
    <row r="7" spans="1:22" x14ac:dyDescent="0.25">
      <c r="A7" t="s">
        <v>33</v>
      </c>
      <c r="B7">
        <v>42</v>
      </c>
      <c r="C7" t="s">
        <v>71</v>
      </c>
      <c r="E7">
        <v>6097</v>
      </c>
      <c r="F7">
        <v>18</v>
      </c>
      <c r="G7" t="s">
        <v>208</v>
      </c>
      <c r="H7" t="s">
        <v>24</v>
      </c>
      <c r="I7" s="1">
        <v>43403.416666666664</v>
      </c>
      <c r="J7">
        <v>98</v>
      </c>
      <c r="K7">
        <v>87</v>
      </c>
      <c r="L7">
        <v>4.5999999999999996</v>
      </c>
      <c r="M7" s="1"/>
      <c r="N7" s="1"/>
      <c r="O7" t="s">
        <v>66</v>
      </c>
      <c r="P7" t="s">
        <v>214</v>
      </c>
      <c r="Q7" t="s">
        <v>212</v>
      </c>
      <c r="R7" t="s">
        <v>92</v>
      </c>
      <c r="S7" t="s">
        <v>82</v>
      </c>
      <c r="T7" t="s">
        <v>210</v>
      </c>
      <c r="U7" t="s">
        <v>213</v>
      </c>
      <c r="V7" t="str">
        <f>VLOOKUP(Table_Query_from_Reporte_1[[#This Row],[Asset_ID]],B:C,2,TRUE)</f>
        <v>BUSHING</v>
      </c>
    </row>
    <row r="8" spans="1:22" x14ac:dyDescent="0.25">
      <c r="A8" t="s">
        <v>34</v>
      </c>
      <c r="B8">
        <v>43</v>
      </c>
      <c r="C8" t="s">
        <v>71</v>
      </c>
      <c r="E8">
        <v>6119</v>
      </c>
      <c r="F8">
        <v>18</v>
      </c>
      <c r="G8" t="s">
        <v>208</v>
      </c>
      <c r="H8" t="s">
        <v>24</v>
      </c>
      <c r="I8" s="1">
        <v>43403.458333333336</v>
      </c>
      <c r="J8">
        <v>98</v>
      </c>
      <c r="K8">
        <v>87</v>
      </c>
      <c r="L8">
        <v>7.7</v>
      </c>
      <c r="M8" s="1"/>
      <c r="N8" s="1"/>
      <c r="O8" t="s">
        <v>66</v>
      </c>
      <c r="P8" t="s">
        <v>214</v>
      </c>
      <c r="Q8" t="s">
        <v>212</v>
      </c>
      <c r="R8" t="s">
        <v>92</v>
      </c>
      <c r="S8" t="s">
        <v>82</v>
      </c>
      <c r="T8" t="s">
        <v>210</v>
      </c>
      <c r="U8" t="s">
        <v>213</v>
      </c>
      <c r="V8" t="str">
        <f>VLOOKUP(Table_Query_from_Reporte_1[[#This Row],[Asset_ID]],B:C,2,TRUE)</f>
        <v>BUSHING</v>
      </c>
    </row>
    <row r="9" spans="1:22" x14ac:dyDescent="0.25">
      <c r="A9" t="s">
        <v>74</v>
      </c>
      <c r="B9">
        <v>44</v>
      </c>
      <c r="C9" t="s">
        <v>72</v>
      </c>
      <c r="E9">
        <v>6129</v>
      </c>
      <c r="F9">
        <v>18</v>
      </c>
      <c r="G9" t="s">
        <v>208</v>
      </c>
      <c r="H9" t="s">
        <v>24</v>
      </c>
      <c r="I9" s="1">
        <v>43403.5</v>
      </c>
      <c r="J9">
        <v>98</v>
      </c>
      <c r="K9">
        <v>87</v>
      </c>
      <c r="L9">
        <v>7.7</v>
      </c>
      <c r="M9" s="1"/>
      <c r="N9" s="1"/>
      <c r="O9" t="s">
        <v>66</v>
      </c>
      <c r="P9" t="s">
        <v>214</v>
      </c>
      <c r="Q9" t="s">
        <v>212</v>
      </c>
      <c r="R9" t="s">
        <v>92</v>
      </c>
      <c r="S9" t="s">
        <v>82</v>
      </c>
      <c r="T9" t="s">
        <v>210</v>
      </c>
      <c r="U9" t="s">
        <v>213</v>
      </c>
      <c r="V9" t="str">
        <f>VLOOKUP(Table_Query_from_Reporte_1[[#This Row],[Asset_ID]],B:C,2,TRUE)</f>
        <v>BUSHING</v>
      </c>
    </row>
    <row r="10" spans="1:22" x14ac:dyDescent="0.25">
      <c r="A10" t="s">
        <v>75</v>
      </c>
      <c r="B10">
        <v>45</v>
      </c>
      <c r="C10" t="s">
        <v>72</v>
      </c>
      <c r="E10">
        <v>6161</v>
      </c>
      <c r="F10">
        <v>18</v>
      </c>
      <c r="G10" t="s">
        <v>208</v>
      </c>
      <c r="H10" t="s">
        <v>21</v>
      </c>
      <c r="I10" s="1">
        <v>43403.583333333336</v>
      </c>
      <c r="J10">
        <v>95</v>
      </c>
      <c r="K10">
        <v>87</v>
      </c>
      <c r="L10">
        <v>10</v>
      </c>
      <c r="M10" s="1"/>
      <c r="N10" s="1"/>
      <c r="O10" t="s">
        <v>66</v>
      </c>
      <c r="P10" t="s">
        <v>214</v>
      </c>
      <c r="Q10" t="s">
        <v>212</v>
      </c>
      <c r="R10" t="s">
        <v>92</v>
      </c>
      <c r="S10" t="s">
        <v>82</v>
      </c>
      <c r="T10" t="s">
        <v>210</v>
      </c>
      <c r="U10" t="s">
        <v>211</v>
      </c>
      <c r="V10" t="str">
        <f>VLOOKUP(Table_Query_from_Reporte_1[[#This Row],[Asset_ID]],B:C,2,TRUE)</f>
        <v>BUSHING</v>
      </c>
    </row>
    <row r="11" spans="1:22" x14ac:dyDescent="0.25">
      <c r="A11" t="s">
        <v>76</v>
      </c>
      <c r="B11">
        <v>46</v>
      </c>
      <c r="C11" t="s">
        <v>72</v>
      </c>
      <c r="E11">
        <v>6219</v>
      </c>
      <c r="F11">
        <v>18</v>
      </c>
      <c r="G11" t="s">
        <v>208</v>
      </c>
      <c r="H11" t="s">
        <v>21</v>
      </c>
      <c r="I11" s="1">
        <v>43403.75</v>
      </c>
      <c r="J11">
        <v>95</v>
      </c>
      <c r="K11">
        <v>87</v>
      </c>
      <c r="L11">
        <v>6.1</v>
      </c>
      <c r="M11" s="1"/>
      <c r="N11" s="1"/>
      <c r="O11" t="s">
        <v>66</v>
      </c>
      <c r="P11" t="s">
        <v>214</v>
      </c>
      <c r="Q11" t="s">
        <v>212</v>
      </c>
      <c r="R11" t="s">
        <v>92</v>
      </c>
      <c r="S11" t="s">
        <v>82</v>
      </c>
      <c r="T11" t="s">
        <v>210</v>
      </c>
      <c r="U11" t="s">
        <v>211</v>
      </c>
      <c r="V11" t="str">
        <f>VLOOKUP(Table_Query_from_Reporte_1[[#This Row],[Asset_ID]],B:C,2,TRUE)</f>
        <v>BUSHING</v>
      </c>
    </row>
    <row r="12" spans="1:22" x14ac:dyDescent="0.25">
      <c r="A12" t="s">
        <v>29</v>
      </c>
      <c r="B12">
        <v>48</v>
      </c>
      <c r="C12" t="s">
        <v>70</v>
      </c>
      <c r="E12">
        <v>6245</v>
      </c>
      <c r="F12">
        <v>18</v>
      </c>
      <c r="G12" t="s">
        <v>208</v>
      </c>
      <c r="H12" t="s">
        <v>21</v>
      </c>
      <c r="I12" s="1">
        <v>43403.791666666664</v>
      </c>
      <c r="J12">
        <v>95</v>
      </c>
      <c r="K12">
        <v>87</v>
      </c>
      <c r="L12">
        <v>10.7</v>
      </c>
      <c r="M12" s="1"/>
      <c r="N12" s="1"/>
      <c r="O12" t="s">
        <v>66</v>
      </c>
      <c r="P12" t="s">
        <v>214</v>
      </c>
      <c r="Q12" t="s">
        <v>212</v>
      </c>
      <c r="R12" t="s">
        <v>92</v>
      </c>
      <c r="S12" t="s">
        <v>82</v>
      </c>
      <c r="T12" t="s">
        <v>210</v>
      </c>
      <c r="U12" t="s">
        <v>211</v>
      </c>
      <c r="V12" t="str">
        <f>VLOOKUP(Table_Query_from_Reporte_1[[#This Row],[Asset_ID]],B:C,2,TRUE)</f>
        <v>BUSHING</v>
      </c>
    </row>
    <row r="13" spans="1:22" x14ac:dyDescent="0.25">
      <c r="A13" t="s">
        <v>27</v>
      </c>
      <c r="B13">
        <v>69</v>
      </c>
      <c r="C13" t="s">
        <v>27</v>
      </c>
      <c r="E13">
        <v>6250</v>
      </c>
      <c r="F13">
        <v>18</v>
      </c>
      <c r="G13" t="s">
        <v>208</v>
      </c>
      <c r="H13" t="s">
        <v>21</v>
      </c>
      <c r="I13" s="1">
        <v>43403.833333333336</v>
      </c>
      <c r="J13">
        <v>95</v>
      </c>
      <c r="K13">
        <v>94</v>
      </c>
      <c r="L13">
        <v>33</v>
      </c>
      <c r="M13" s="1"/>
      <c r="N13" s="1"/>
      <c r="O13" t="s">
        <v>215</v>
      </c>
      <c r="P13" t="s">
        <v>214</v>
      </c>
      <c r="Q13" t="s">
        <v>157</v>
      </c>
      <c r="R13" t="s">
        <v>103</v>
      </c>
      <c r="S13" t="s">
        <v>82</v>
      </c>
      <c r="T13" t="s">
        <v>210</v>
      </c>
      <c r="U13" t="s">
        <v>211</v>
      </c>
      <c r="V13" t="str">
        <f>VLOOKUP(Table_Query_from_Reporte_1[[#This Row],[Asset_ID]],B:C,2,TRUE)</f>
        <v>BUSHING</v>
      </c>
    </row>
    <row r="14" spans="1:22" x14ac:dyDescent="0.25">
      <c r="A14" t="s">
        <v>35</v>
      </c>
      <c r="B14">
        <v>74</v>
      </c>
      <c r="C14" t="s">
        <v>71</v>
      </c>
      <c r="E14">
        <v>6115</v>
      </c>
      <c r="F14">
        <v>21</v>
      </c>
      <c r="G14" t="s">
        <v>208</v>
      </c>
      <c r="H14" t="s">
        <v>24</v>
      </c>
      <c r="I14" s="1">
        <v>43403.458333333336</v>
      </c>
      <c r="J14">
        <v>1</v>
      </c>
      <c r="K14">
        <v>172</v>
      </c>
      <c r="L14">
        <v>6</v>
      </c>
      <c r="M14" s="1"/>
      <c r="N14" s="1"/>
      <c r="O14" t="s">
        <v>66</v>
      </c>
      <c r="P14" t="s">
        <v>23</v>
      </c>
      <c r="Q14" t="s">
        <v>216</v>
      </c>
      <c r="R14" t="s">
        <v>182</v>
      </c>
      <c r="S14" t="s">
        <v>182</v>
      </c>
      <c r="T14" t="s">
        <v>131</v>
      </c>
      <c r="U14" t="s">
        <v>132</v>
      </c>
      <c r="V14" t="str">
        <f>VLOOKUP(Table_Query_from_Reporte_1[[#This Row],[Asset_ID]],B:C,2,TRUE)</f>
        <v>FORD</v>
      </c>
    </row>
    <row r="15" spans="1:22" x14ac:dyDescent="0.25">
      <c r="A15" t="s">
        <v>36</v>
      </c>
      <c r="B15">
        <v>75</v>
      </c>
      <c r="C15" t="s">
        <v>71</v>
      </c>
      <c r="E15">
        <v>6100</v>
      </c>
      <c r="F15">
        <v>21</v>
      </c>
      <c r="G15" t="s">
        <v>208</v>
      </c>
      <c r="H15" t="s">
        <v>24</v>
      </c>
      <c r="I15" s="1">
        <v>43403.25</v>
      </c>
      <c r="J15">
        <v>11</v>
      </c>
      <c r="K15">
        <v>3</v>
      </c>
      <c r="L15">
        <v>6</v>
      </c>
      <c r="M15" s="1"/>
      <c r="N15" s="1"/>
      <c r="O15" t="s">
        <v>66</v>
      </c>
      <c r="P15" t="s">
        <v>23</v>
      </c>
      <c r="Q15" t="s">
        <v>93</v>
      </c>
      <c r="R15" t="s">
        <v>85</v>
      </c>
      <c r="S15" t="s">
        <v>85</v>
      </c>
      <c r="T15" t="s">
        <v>171</v>
      </c>
      <c r="U15" t="s">
        <v>172</v>
      </c>
      <c r="V15" t="str">
        <f>VLOOKUP(Table_Query_from_Reporte_1[[#This Row],[Asset_ID]],B:C,2,TRUE)</f>
        <v>FORD</v>
      </c>
    </row>
    <row r="16" spans="1:22" x14ac:dyDescent="0.25">
      <c r="A16" t="s">
        <v>37</v>
      </c>
      <c r="B16">
        <v>76</v>
      </c>
      <c r="C16" t="s">
        <v>71</v>
      </c>
      <c r="E16">
        <v>6101</v>
      </c>
      <c r="F16">
        <v>21</v>
      </c>
      <c r="G16" t="s">
        <v>208</v>
      </c>
      <c r="H16" t="s">
        <v>24</v>
      </c>
      <c r="I16" s="1">
        <v>43403.25</v>
      </c>
      <c r="J16">
        <v>35</v>
      </c>
      <c r="K16">
        <v>27</v>
      </c>
      <c r="L16">
        <v>5</v>
      </c>
      <c r="M16" s="1"/>
      <c r="N16" s="1"/>
      <c r="O16" t="s">
        <v>66</v>
      </c>
      <c r="P16" t="s">
        <v>23</v>
      </c>
      <c r="Q16" t="s">
        <v>88</v>
      </c>
      <c r="R16" t="s">
        <v>89</v>
      </c>
      <c r="S16" t="s">
        <v>82</v>
      </c>
      <c r="T16" t="s">
        <v>119</v>
      </c>
      <c r="U16" t="s">
        <v>120</v>
      </c>
      <c r="V16" t="str">
        <f>VLOOKUP(Table_Query_from_Reporte_1[[#This Row],[Asset_ID]],B:C,2,TRUE)</f>
        <v>FORD</v>
      </c>
    </row>
    <row r="17" spans="1:22" x14ac:dyDescent="0.25">
      <c r="A17" t="s">
        <v>38</v>
      </c>
      <c r="B17">
        <v>77</v>
      </c>
      <c r="C17" t="s">
        <v>71</v>
      </c>
      <c r="E17">
        <v>6103</v>
      </c>
      <c r="F17">
        <v>21</v>
      </c>
      <c r="G17" t="s">
        <v>208</v>
      </c>
      <c r="H17" t="s">
        <v>24</v>
      </c>
      <c r="I17" s="1">
        <v>43403.291666666664</v>
      </c>
      <c r="J17">
        <v>35</v>
      </c>
      <c r="K17">
        <v>27</v>
      </c>
      <c r="L17">
        <v>5</v>
      </c>
      <c r="M17" s="1"/>
      <c r="N17" s="1"/>
      <c r="O17" t="s">
        <v>66</v>
      </c>
      <c r="P17" t="s">
        <v>23</v>
      </c>
      <c r="Q17" t="s">
        <v>88</v>
      </c>
      <c r="R17" t="s">
        <v>89</v>
      </c>
      <c r="S17" t="s">
        <v>82</v>
      </c>
      <c r="T17" t="s">
        <v>119</v>
      </c>
      <c r="U17" t="s">
        <v>120</v>
      </c>
      <c r="V17" t="str">
        <f>VLOOKUP(Table_Query_from_Reporte_1[[#This Row],[Asset_ID]],B:C,2,TRUE)</f>
        <v>FORD</v>
      </c>
    </row>
    <row r="18" spans="1:22" x14ac:dyDescent="0.25">
      <c r="A18" t="s">
        <v>28</v>
      </c>
      <c r="B18">
        <v>78</v>
      </c>
      <c r="C18" t="s">
        <v>71</v>
      </c>
      <c r="E18">
        <v>6104</v>
      </c>
      <c r="F18">
        <v>21</v>
      </c>
      <c r="G18" t="s">
        <v>208</v>
      </c>
      <c r="H18" t="s">
        <v>24</v>
      </c>
      <c r="I18" s="1">
        <v>43403.291666666664</v>
      </c>
      <c r="J18">
        <v>35</v>
      </c>
      <c r="K18">
        <v>9</v>
      </c>
      <c r="L18">
        <v>5</v>
      </c>
      <c r="M18" s="1"/>
      <c r="N18" s="1"/>
      <c r="O18" t="s">
        <v>66</v>
      </c>
      <c r="P18" t="s">
        <v>23</v>
      </c>
      <c r="Q18" t="s">
        <v>98</v>
      </c>
      <c r="R18" t="s">
        <v>85</v>
      </c>
      <c r="S18" t="s">
        <v>85</v>
      </c>
      <c r="T18" t="s">
        <v>119</v>
      </c>
      <c r="U18" t="s">
        <v>120</v>
      </c>
      <c r="V18" t="str">
        <f>VLOOKUP(Table_Query_from_Reporte_1[[#This Row],[Asset_ID]],B:C,2,TRUE)</f>
        <v>FORD</v>
      </c>
    </row>
    <row r="19" spans="1:22" x14ac:dyDescent="0.25">
      <c r="A19" t="s">
        <v>77</v>
      </c>
      <c r="B19">
        <v>79</v>
      </c>
      <c r="C19" t="s">
        <v>77</v>
      </c>
      <c r="E19">
        <v>6111</v>
      </c>
      <c r="F19">
        <v>21</v>
      </c>
      <c r="G19" t="s">
        <v>208</v>
      </c>
      <c r="H19" t="s">
        <v>24</v>
      </c>
      <c r="I19" s="1">
        <v>43403.375</v>
      </c>
      <c r="J19">
        <v>35</v>
      </c>
      <c r="K19">
        <v>18</v>
      </c>
      <c r="L19">
        <v>3</v>
      </c>
      <c r="M19" s="1"/>
      <c r="N19" s="1"/>
      <c r="O19" t="s">
        <v>66</v>
      </c>
      <c r="P19" t="s">
        <v>23</v>
      </c>
      <c r="Q19" t="s">
        <v>97</v>
      </c>
      <c r="R19" t="s">
        <v>85</v>
      </c>
      <c r="S19" t="s">
        <v>85</v>
      </c>
      <c r="T19" t="s">
        <v>119</v>
      </c>
      <c r="U19" t="s">
        <v>120</v>
      </c>
      <c r="V19" t="str">
        <f>VLOOKUP(Table_Query_from_Reporte_1[[#This Row],[Asset_ID]],B:C,2,TRUE)</f>
        <v>FORD</v>
      </c>
    </row>
    <row r="20" spans="1:22" x14ac:dyDescent="0.25">
      <c r="A20" t="s">
        <v>78</v>
      </c>
      <c r="B20">
        <v>80</v>
      </c>
      <c r="C20" t="s">
        <v>71</v>
      </c>
      <c r="E20">
        <v>6113</v>
      </c>
      <c r="F20">
        <v>21</v>
      </c>
      <c r="G20" t="s">
        <v>208</v>
      </c>
      <c r="H20" t="s">
        <v>24</v>
      </c>
      <c r="I20" s="1">
        <v>43403.375</v>
      </c>
      <c r="J20">
        <v>35</v>
      </c>
      <c r="K20">
        <v>133</v>
      </c>
      <c r="L20">
        <v>2</v>
      </c>
      <c r="M20" s="1"/>
      <c r="N20" s="1"/>
      <c r="O20" t="s">
        <v>66</v>
      </c>
      <c r="P20" t="s">
        <v>23</v>
      </c>
      <c r="Q20" t="s">
        <v>86</v>
      </c>
      <c r="R20" t="s">
        <v>87</v>
      </c>
      <c r="S20" t="s">
        <v>82</v>
      </c>
      <c r="T20" t="s">
        <v>119</v>
      </c>
      <c r="U20" t="s">
        <v>120</v>
      </c>
      <c r="V20" t="str">
        <f>VLOOKUP(Table_Query_from_Reporte_1[[#This Row],[Asset_ID]],B:C,2,TRUE)</f>
        <v>FORD</v>
      </c>
    </row>
    <row r="21" spans="1:22" x14ac:dyDescent="0.25">
      <c r="E21">
        <v>6149</v>
      </c>
      <c r="F21">
        <v>21</v>
      </c>
      <c r="G21" t="s">
        <v>208</v>
      </c>
      <c r="H21" t="s">
        <v>24</v>
      </c>
      <c r="I21" s="1">
        <v>43403.541666666664</v>
      </c>
      <c r="J21">
        <v>35</v>
      </c>
      <c r="K21">
        <v>133</v>
      </c>
      <c r="L21">
        <v>5</v>
      </c>
      <c r="M21" s="1"/>
      <c r="N21" s="1"/>
      <c r="O21" t="s">
        <v>66</v>
      </c>
      <c r="P21" t="s">
        <v>23</v>
      </c>
      <c r="Q21" t="s">
        <v>86</v>
      </c>
      <c r="R21" t="s">
        <v>87</v>
      </c>
      <c r="S21" t="s">
        <v>82</v>
      </c>
      <c r="T21" t="s">
        <v>119</v>
      </c>
      <c r="U21" t="s">
        <v>120</v>
      </c>
      <c r="V21" t="str">
        <f>VLOOKUP(Table_Query_from_Reporte_1[[#This Row],[Asset_ID]],B:C,2,TRUE)</f>
        <v>FORD</v>
      </c>
    </row>
    <row r="22" spans="1:22" x14ac:dyDescent="0.25">
      <c r="E22">
        <v>6128</v>
      </c>
      <c r="F22">
        <v>21</v>
      </c>
      <c r="G22" t="s">
        <v>208</v>
      </c>
      <c r="H22" t="s">
        <v>24</v>
      </c>
      <c r="I22" s="1">
        <v>43403.5</v>
      </c>
      <c r="J22">
        <v>55</v>
      </c>
      <c r="K22">
        <v>172</v>
      </c>
      <c r="L22">
        <v>4</v>
      </c>
      <c r="M22" s="1"/>
      <c r="N22" s="1"/>
      <c r="O22" t="s">
        <v>217</v>
      </c>
      <c r="P22" t="s">
        <v>23</v>
      </c>
      <c r="Q22" t="s">
        <v>216</v>
      </c>
      <c r="R22" t="s">
        <v>182</v>
      </c>
      <c r="S22" t="s">
        <v>182</v>
      </c>
      <c r="T22" t="s">
        <v>218</v>
      </c>
      <c r="U22" t="s">
        <v>219</v>
      </c>
      <c r="V22" t="str">
        <f>VLOOKUP(Table_Query_from_Reporte_1[[#This Row],[Asset_ID]],B:C,2,TRUE)</f>
        <v>FORD</v>
      </c>
    </row>
    <row r="23" spans="1:22" x14ac:dyDescent="0.25">
      <c r="E23">
        <v>6131</v>
      </c>
      <c r="F23">
        <v>21</v>
      </c>
      <c r="G23" t="s">
        <v>208</v>
      </c>
      <c r="H23" t="s">
        <v>24</v>
      </c>
      <c r="I23" s="1">
        <v>43403.5</v>
      </c>
      <c r="J23">
        <v>60</v>
      </c>
      <c r="K23">
        <v>52</v>
      </c>
      <c r="L23">
        <v>5</v>
      </c>
      <c r="M23" s="1"/>
      <c r="N23" s="1"/>
      <c r="O23" t="s">
        <v>66</v>
      </c>
      <c r="P23" t="s">
        <v>23</v>
      </c>
      <c r="Q23" t="s">
        <v>102</v>
      </c>
      <c r="R23" t="s">
        <v>101</v>
      </c>
      <c r="S23" t="s">
        <v>82</v>
      </c>
      <c r="T23" t="s">
        <v>123</v>
      </c>
      <c r="U23" t="s">
        <v>124</v>
      </c>
      <c r="V23" t="str">
        <f>VLOOKUP(Table_Query_from_Reporte_1[[#This Row],[Asset_ID]],B:C,2,TRUE)</f>
        <v>FORD</v>
      </c>
    </row>
    <row r="24" spans="1:22" x14ac:dyDescent="0.25">
      <c r="E24">
        <v>6105</v>
      </c>
      <c r="F24">
        <v>21</v>
      </c>
      <c r="G24" t="s">
        <v>208</v>
      </c>
      <c r="H24" t="s">
        <v>24</v>
      </c>
      <c r="I24" s="1">
        <v>43403.291666666664</v>
      </c>
      <c r="J24">
        <v>63</v>
      </c>
      <c r="K24">
        <v>133</v>
      </c>
      <c r="L24">
        <v>3</v>
      </c>
      <c r="M24" s="1"/>
      <c r="N24" s="1"/>
      <c r="O24" t="s">
        <v>66</v>
      </c>
      <c r="P24" t="s">
        <v>23</v>
      </c>
      <c r="Q24" t="s">
        <v>86</v>
      </c>
      <c r="R24" t="s">
        <v>87</v>
      </c>
      <c r="S24" t="s">
        <v>82</v>
      </c>
      <c r="T24" t="s">
        <v>125</v>
      </c>
      <c r="U24" t="s">
        <v>126</v>
      </c>
      <c r="V24" t="str">
        <f>VLOOKUP(Table_Query_from_Reporte_1[[#This Row],[Asset_ID]],B:C,2,TRUE)</f>
        <v>FORD</v>
      </c>
    </row>
    <row r="25" spans="1:22" x14ac:dyDescent="0.25">
      <c r="E25">
        <v>6106</v>
      </c>
      <c r="F25">
        <v>21</v>
      </c>
      <c r="G25" t="s">
        <v>208</v>
      </c>
      <c r="H25" t="s">
        <v>24</v>
      </c>
      <c r="I25" s="1">
        <v>43403.333333333336</v>
      </c>
      <c r="J25">
        <v>63</v>
      </c>
      <c r="K25">
        <v>3</v>
      </c>
      <c r="L25">
        <v>5</v>
      </c>
      <c r="M25" s="1"/>
      <c r="N25" s="1"/>
      <c r="O25" t="s">
        <v>66</v>
      </c>
      <c r="P25" t="s">
        <v>23</v>
      </c>
      <c r="Q25" t="s">
        <v>93</v>
      </c>
      <c r="R25" t="s">
        <v>85</v>
      </c>
      <c r="S25" t="s">
        <v>85</v>
      </c>
      <c r="T25" t="s">
        <v>125</v>
      </c>
      <c r="U25" t="s">
        <v>126</v>
      </c>
      <c r="V25" t="str">
        <f>VLOOKUP(Table_Query_from_Reporte_1[[#This Row],[Asset_ID]],B:C,2,TRUE)</f>
        <v>FORD</v>
      </c>
    </row>
    <row r="26" spans="1:22" x14ac:dyDescent="0.25">
      <c r="E26">
        <v>6108</v>
      </c>
      <c r="F26">
        <v>21</v>
      </c>
      <c r="G26" t="s">
        <v>208</v>
      </c>
      <c r="H26" t="s">
        <v>24</v>
      </c>
      <c r="I26" s="1">
        <v>43403.333333333336</v>
      </c>
      <c r="J26">
        <v>63</v>
      </c>
      <c r="K26">
        <v>9</v>
      </c>
      <c r="L26">
        <v>5</v>
      </c>
      <c r="M26" s="1"/>
      <c r="N26" s="1"/>
      <c r="O26" t="s">
        <v>220</v>
      </c>
      <c r="P26" t="s">
        <v>23</v>
      </c>
      <c r="Q26" t="s">
        <v>98</v>
      </c>
      <c r="R26" t="s">
        <v>85</v>
      </c>
      <c r="S26" t="s">
        <v>85</v>
      </c>
      <c r="T26" t="s">
        <v>125</v>
      </c>
      <c r="U26" t="s">
        <v>126</v>
      </c>
      <c r="V26" t="str">
        <f>VLOOKUP(Table_Query_from_Reporte_1[[#This Row],[Asset_ID]],B:C,2,TRUE)</f>
        <v>FORD</v>
      </c>
    </row>
    <row r="27" spans="1:22" x14ac:dyDescent="0.25">
      <c r="E27">
        <v>6102</v>
      </c>
      <c r="F27">
        <v>21</v>
      </c>
      <c r="G27" t="s">
        <v>208</v>
      </c>
      <c r="H27" t="s">
        <v>24</v>
      </c>
      <c r="I27" s="1">
        <v>43403.25</v>
      </c>
      <c r="J27">
        <v>70</v>
      </c>
      <c r="K27">
        <v>103</v>
      </c>
      <c r="L27">
        <v>2</v>
      </c>
      <c r="M27" s="1"/>
      <c r="N27" s="1"/>
      <c r="O27" t="s">
        <v>66</v>
      </c>
      <c r="P27" t="s">
        <v>23</v>
      </c>
      <c r="Q27" t="s">
        <v>145</v>
      </c>
      <c r="R27" t="s">
        <v>103</v>
      </c>
      <c r="S27" t="s">
        <v>82</v>
      </c>
      <c r="T27" t="s">
        <v>127</v>
      </c>
      <c r="U27" t="s">
        <v>128</v>
      </c>
      <c r="V27" t="str">
        <f>VLOOKUP(Table_Query_from_Reporte_1[[#This Row],[Asset_ID]],B:C,2,TRUE)</f>
        <v>FORD</v>
      </c>
    </row>
    <row r="28" spans="1:22" x14ac:dyDescent="0.25">
      <c r="E28">
        <v>6107</v>
      </c>
      <c r="F28">
        <v>21</v>
      </c>
      <c r="G28" t="s">
        <v>208</v>
      </c>
      <c r="H28" t="s">
        <v>24</v>
      </c>
      <c r="I28" s="1">
        <v>43403.333333333336</v>
      </c>
      <c r="J28">
        <v>70</v>
      </c>
      <c r="K28">
        <v>133</v>
      </c>
      <c r="L28">
        <v>2</v>
      </c>
      <c r="M28" s="1"/>
      <c r="N28" s="1"/>
      <c r="O28" t="s">
        <v>66</v>
      </c>
      <c r="P28" t="s">
        <v>23</v>
      </c>
      <c r="Q28" t="s">
        <v>86</v>
      </c>
      <c r="R28" t="s">
        <v>87</v>
      </c>
      <c r="S28" t="s">
        <v>82</v>
      </c>
      <c r="T28" t="s">
        <v>127</v>
      </c>
      <c r="U28" t="s">
        <v>128</v>
      </c>
      <c r="V28" t="str">
        <f>VLOOKUP(Table_Query_from_Reporte_1[[#This Row],[Asset_ID]],B:C,2,TRUE)</f>
        <v>FORD</v>
      </c>
    </row>
    <row r="29" spans="1:22" x14ac:dyDescent="0.25">
      <c r="E29">
        <v>6132</v>
      </c>
      <c r="F29">
        <v>21</v>
      </c>
      <c r="G29" t="s">
        <v>208</v>
      </c>
      <c r="H29" t="s">
        <v>24</v>
      </c>
      <c r="I29" s="1">
        <v>43403.5</v>
      </c>
      <c r="J29">
        <v>74</v>
      </c>
      <c r="K29">
        <v>33</v>
      </c>
      <c r="L29">
        <v>2</v>
      </c>
      <c r="M29" s="1"/>
      <c r="N29" s="1"/>
      <c r="O29" t="s">
        <v>66</v>
      </c>
      <c r="P29" t="s">
        <v>23</v>
      </c>
      <c r="Q29" t="s">
        <v>168</v>
      </c>
      <c r="R29" t="s">
        <v>169</v>
      </c>
      <c r="S29" t="s">
        <v>82</v>
      </c>
      <c r="T29" t="s">
        <v>127</v>
      </c>
      <c r="U29" t="s">
        <v>221</v>
      </c>
      <c r="V29" t="str">
        <f>VLOOKUP(Table_Query_from_Reporte_1[[#This Row],[Asset_ID]],B:C,2,TRUE)</f>
        <v>FORD</v>
      </c>
    </row>
    <row r="30" spans="1:22" x14ac:dyDescent="0.25">
      <c r="E30">
        <v>6200</v>
      </c>
      <c r="F30">
        <v>21</v>
      </c>
      <c r="G30" t="s">
        <v>208</v>
      </c>
      <c r="H30" t="s">
        <v>21</v>
      </c>
      <c r="I30" s="1">
        <v>43403.666666666664</v>
      </c>
      <c r="J30">
        <v>40</v>
      </c>
      <c r="K30">
        <v>124</v>
      </c>
      <c r="L30">
        <v>8</v>
      </c>
      <c r="M30" s="1"/>
      <c r="N30" s="1"/>
      <c r="O30" t="s">
        <v>66</v>
      </c>
      <c r="P30" t="s">
        <v>23</v>
      </c>
      <c r="Q30" t="s">
        <v>96</v>
      </c>
      <c r="R30" t="s">
        <v>90</v>
      </c>
      <c r="S30" t="s">
        <v>82</v>
      </c>
      <c r="T30" t="s">
        <v>121</v>
      </c>
      <c r="U30" t="s">
        <v>122</v>
      </c>
      <c r="V30" t="str">
        <f>VLOOKUP(Table_Query_from_Reporte_1[[#This Row],[Asset_ID]],B:C,2,TRUE)</f>
        <v>FORD</v>
      </c>
    </row>
    <row r="31" spans="1:22" x14ac:dyDescent="0.25">
      <c r="E31">
        <v>6199</v>
      </c>
      <c r="F31">
        <v>21</v>
      </c>
      <c r="G31" t="s">
        <v>208</v>
      </c>
      <c r="H31" t="s">
        <v>21</v>
      </c>
      <c r="I31" s="1">
        <v>43403.666666666664</v>
      </c>
      <c r="J31">
        <v>46</v>
      </c>
      <c r="K31">
        <v>128</v>
      </c>
      <c r="L31">
        <v>5</v>
      </c>
      <c r="M31" s="1"/>
      <c r="N31" s="1"/>
      <c r="O31" t="s">
        <v>66</v>
      </c>
      <c r="P31" t="s">
        <v>23</v>
      </c>
      <c r="Q31" t="s">
        <v>83</v>
      </c>
      <c r="R31" t="s">
        <v>87</v>
      </c>
      <c r="S31" t="s">
        <v>82</v>
      </c>
      <c r="T31" t="s">
        <v>176</v>
      </c>
      <c r="U31" t="s">
        <v>177</v>
      </c>
      <c r="V31" t="str">
        <f>VLOOKUP(Table_Query_from_Reporte_1[[#This Row],[Asset_ID]],B:C,2,TRUE)</f>
        <v>FORD</v>
      </c>
    </row>
    <row r="32" spans="1:22" x14ac:dyDescent="0.25">
      <c r="E32">
        <v>6164</v>
      </c>
      <c r="F32">
        <v>21</v>
      </c>
      <c r="G32" t="s">
        <v>208</v>
      </c>
      <c r="H32" t="s">
        <v>21</v>
      </c>
      <c r="I32" s="1">
        <v>43403.583333333336</v>
      </c>
      <c r="J32">
        <v>63</v>
      </c>
      <c r="K32">
        <v>124</v>
      </c>
      <c r="L32">
        <v>8</v>
      </c>
      <c r="M32" s="1"/>
      <c r="N32" s="1"/>
      <c r="O32" t="s">
        <v>66</v>
      </c>
      <c r="P32" t="s">
        <v>23</v>
      </c>
      <c r="Q32" t="s">
        <v>96</v>
      </c>
      <c r="R32" t="s">
        <v>90</v>
      </c>
      <c r="S32" t="s">
        <v>82</v>
      </c>
      <c r="T32" t="s">
        <v>125</v>
      </c>
      <c r="U32" t="s">
        <v>126</v>
      </c>
      <c r="V32" t="str">
        <f>VLOOKUP(Table_Query_from_Reporte_1[[#This Row],[Asset_ID]],B:C,2,TRUE)</f>
        <v>FORD</v>
      </c>
    </row>
    <row r="33" spans="5:22" x14ac:dyDescent="0.25">
      <c r="E33">
        <v>6188</v>
      </c>
      <c r="F33">
        <v>21</v>
      </c>
      <c r="G33" t="s">
        <v>208</v>
      </c>
      <c r="H33" t="s">
        <v>21</v>
      </c>
      <c r="I33" s="1">
        <v>43403.625</v>
      </c>
      <c r="J33">
        <v>63</v>
      </c>
      <c r="K33">
        <v>18</v>
      </c>
      <c r="L33">
        <v>3</v>
      </c>
      <c r="M33" s="1"/>
      <c r="N33" s="1"/>
      <c r="O33" t="s">
        <v>66</v>
      </c>
      <c r="P33" t="s">
        <v>23</v>
      </c>
      <c r="Q33" t="s">
        <v>97</v>
      </c>
      <c r="R33" t="s">
        <v>85</v>
      </c>
      <c r="S33" t="s">
        <v>85</v>
      </c>
      <c r="T33" t="s">
        <v>125</v>
      </c>
      <c r="U33" t="s">
        <v>126</v>
      </c>
      <c r="V33" t="str">
        <f>VLOOKUP(Table_Query_from_Reporte_1[[#This Row],[Asset_ID]],B:C,2,TRUE)</f>
        <v>FORD</v>
      </c>
    </row>
    <row r="34" spans="5:22" x14ac:dyDescent="0.25">
      <c r="E34">
        <v>6201</v>
      </c>
      <c r="F34">
        <v>21</v>
      </c>
      <c r="G34" t="s">
        <v>208</v>
      </c>
      <c r="H34" t="s">
        <v>21</v>
      </c>
      <c r="I34" s="1">
        <v>43403.666666666664</v>
      </c>
      <c r="J34">
        <v>63</v>
      </c>
      <c r="K34">
        <v>124</v>
      </c>
      <c r="L34">
        <v>10</v>
      </c>
      <c r="M34" s="1"/>
      <c r="N34" s="1"/>
      <c r="O34" t="s">
        <v>66</v>
      </c>
      <c r="P34" t="s">
        <v>23</v>
      </c>
      <c r="Q34" t="s">
        <v>96</v>
      </c>
      <c r="R34" t="s">
        <v>90</v>
      </c>
      <c r="S34" t="s">
        <v>82</v>
      </c>
      <c r="T34" t="s">
        <v>125</v>
      </c>
      <c r="U34" t="s">
        <v>126</v>
      </c>
      <c r="V34" t="str">
        <f>VLOOKUP(Table_Query_from_Reporte_1[[#This Row],[Asset_ID]],B:C,2,TRUE)</f>
        <v>FORD</v>
      </c>
    </row>
    <row r="35" spans="5:22" x14ac:dyDescent="0.25">
      <c r="E35">
        <v>6232</v>
      </c>
      <c r="F35">
        <v>21</v>
      </c>
      <c r="G35" t="s">
        <v>208</v>
      </c>
      <c r="H35" t="s">
        <v>21</v>
      </c>
      <c r="I35" s="1">
        <v>43403.75</v>
      </c>
      <c r="J35">
        <v>63</v>
      </c>
      <c r="K35">
        <v>18</v>
      </c>
      <c r="L35">
        <v>3</v>
      </c>
      <c r="M35" s="1"/>
      <c r="N35" s="1"/>
      <c r="O35" t="s">
        <v>66</v>
      </c>
      <c r="P35" t="s">
        <v>23</v>
      </c>
      <c r="Q35" t="s">
        <v>97</v>
      </c>
      <c r="R35" t="s">
        <v>85</v>
      </c>
      <c r="S35" t="s">
        <v>85</v>
      </c>
      <c r="T35" t="s">
        <v>125</v>
      </c>
      <c r="U35" t="s">
        <v>126</v>
      </c>
      <c r="V35" t="str">
        <f>VLOOKUP(Table_Query_from_Reporte_1[[#This Row],[Asset_ID]],B:C,2,TRUE)</f>
        <v>FORD</v>
      </c>
    </row>
    <row r="36" spans="5:22" x14ac:dyDescent="0.25">
      <c r="E36">
        <v>6240</v>
      </c>
      <c r="F36">
        <v>21</v>
      </c>
      <c r="G36" t="s">
        <v>208</v>
      </c>
      <c r="H36" t="s">
        <v>21</v>
      </c>
      <c r="I36" s="1">
        <v>43403.791666666664</v>
      </c>
      <c r="J36">
        <v>63</v>
      </c>
      <c r="K36">
        <v>9</v>
      </c>
      <c r="L36">
        <v>4</v>
      </c>
      <c r="M36" s="1"/>
      <c r="N36" s="1"/>
      <c r="O36" t="s">
        <v>66</v>
      </c>
      <c r="P36" t="s">
        <v>23</v>
      </c>
      <c r="Q36" t="s">
        <v>98</v>
      </c>
      <c r="R36" t="s">
        <v>85</v>
      </c>
      <c r="S36" t="s">
        <v>85</v>
      </c>
      <c r="T36" t="s">
        <v>125</v>
      </c>
      <c r="U36" t="s">
        <v>126</v>
      </c>
      <c r="V36" t="str">
        <f>VLOOKUP(Table_Query_from_Reporte_1[[#This Row],[Asset_ID]],B:C,2,TRUE)</f>
        <v>FORD</v>
      </c>
    </row>
    <row r="37" spans="5:22" x14ac:dyDescent="0.25">
      <c r="E37">
        <v>6259</v>
      </c>
      <c r="F37">
        <v>21</v>
      </c>
      <c r="G37" t="s">
        <v>208</v>
      </c>
      <c r="H37" t="s">
        <v>21</v>
      </c>
      <c r="I37" s="1">
        <v>43403.833333333336</v>
      </c>
      <c r="J37">
        <v>63</v>
      </c>
      <c r="K37">
        <v>133</v>
      </c>
      <c r="L37">
        <v>3</v>
      </c>
      <c r="M37" s="1"/>
      <c r="N37" s="1"/>
      <c r="O37" t="s">
        <v>66</v>
      </c>
      <c r="P37" t="s">
        <v>23</v>
      </c>
      <c r="Q37" t="s">
        <v>86</v>
      </c>
      <c r="R37" t="s">
        <v>87</v>
      </c>
      <c r="S37" t="s">
        <v>82</v>
      </c>
      <c r="T37" t="s">
        <v>125</v>
      </c>
      <c r="U37" t="s">
        <v>126</v>
      </c>
      <c r="V37" t="str">
        <f>VLOOKUP(Table_Query_from_Reporte_1[[#This Row],[Asset_ID]],B:C,2,TRUE)</f>
        <v>FORD</v>
      </c>
    </row>
    <row r="38" spans="5:22" x14ac:dyDescent="0.25">
      <c r="E38">
        <v>6238</v>
      </c>
      <c r="F38">
        <v>21</v>
      </c>
      <c r="G38" t="s">
        <v>208</v>
      </c>
      <c r="H38" t="s">
        <v>21</v>
      </c>
      <c r="I38" s="1">
        <v>43403.791666666664</v>
      </c>
      <c r="J38">
        <v>74</v>
      </c>
      <c r="K38">
        <v>27</v>
      </c>
      <c r="L38">
        <v>4</v>
      </c>
      <c r="M38" s="1"/>
      <c r="N38" s="1"/>
      <c r="O38" t="s">
        <v>66</v>
      </c>
      <c r="P38" t="s">
        <v>23</v>
      </c>
      <c r="Q38" t="s">
        <v>88</v>
      </c>
      <c r="R38" t="s">
        <v>89</v>
      </c>
      <c r="S38" t="s">
        <v>82</v>
      </c>
      <c r="T38" t="s">
        <v>127</v>
      </c>
      <c r="U38" t="s">
        <v>221</v>
      </c>
      <c r="V38" t="str">
        <f>VLOOKUP(Table_Query_from_Reporte_1[[#This Row],[Asset_ID]],B:C,2,TRUE)</f>
        <v>FORD</v>
      </c>
    </row>
    <row r="39" spans="5:22" x14ac:dyDescent="0.25">
      <c r="E39">
        <v>6165</v>
      </c>
      <c r="F39">
        <v>21</v>
      </c>
      <c r="G39" t="s">
        <v>208</v>
      </c>
      <c r="H39" t="s">
        <v>21</v>
      </c>
      <c r="I39" s="1">
        <v>43403.583333333336</v>
      </c>
      <c r="J39">
        <v>75</v>
      </c>
      <c r="K39">
        <v>29</v>
      </c>
      <c r="L39">
        <v>5</v>
      </c>
      <c r="M39" s="1"/>
      <c r="N39" s="1"/>
      <c r="O39" t="s">
        <v>66</v>
      </c>
      <c r="P39" t="s">
        <v>23</v>
      </c>
      <c r="Q39" t="s">
        <v>94</v>
      </c>
      <c r="R39" t="s">
        <v>95</v>
      </c>
      <c r="S39" t="s">
        <v>82</v>
      </c>
      <c r="T39" t="s">
        <v>129</v>
      </c>
      <c r="U39" t="s">
        <v>130</v>
      </c>
      <c r="V39" t="str">
        <f>VLOOKUP(Table_Query_from_Reporte_1[[#This Row],[Asset_ID]],B:C,2,TRUE)</f>
        <v>FORD</v>
      </c>
    </row>
    <row r="40" spans="5:22" x14ac:dyDescent="0.25">
      <c r="E40">
        <v>6187</v>
      </c>
      <c r="F40">
        <v>21</v>
      </c>
      <c r="G40" t="s">
        <v>208</v>
      </c>
      <c r="H40" t="s">
        <v>21</v>
      </c>
      <c r="I40" s="1">
        <v>43403.625</v>
      </c>
      <c r="J40">
        <v>75</v>
      </c>
      <c r="K40">
        <v>133</v>
      </c>
      <c r="L40">
        <v>2</v>
      </c>
      <c r="M40" s="1"/>
      <c r="N40" s="1"/>
      <c r="O40" t="s">
        <v>66</v>
      </c>
      <c r="P40" t="s">
        <v>23</v>
      </c>
      <c r="Q40" t="s">
        <v>86</v>
      </c>
      <c r="R40" t="s">
        <v>87</v>
      </c>
      <c r="S40" t="s">
        <v>82</v>
      </c>
      <c r="T40" t="s">
        <v>129</v>
      </c>
      <c r="U40" t="s">
        <v>130</v>
      </c>
      <c r="V40" t="str">
        <f>VLOOKUP(Table_Query_from_Reporte_1[[#This Row],[Asset_ID]],B:C,2,TRUE)</f>
        <v>FORD</v>
      </c>
    </row>
    <row r="41" spans="5:22" x14ac:dyDescent="0.25">
      <c r="E41">
        <v>6233</v>
      </c>
      <c r="F41">
        <v>21</v>
      </c>
      <c r="G41" t="s">
        <v>208</v>
      </c>
      <c r="H41" t="s">
        <v>21</v>
      </c>
      <c r="I41" s="1">
        <v>43403.75</v>
      </c>
      <c r="J41">
        <v>75</v>
      </c>
      <c r="K41">
        <v>133</v>
      </c>
      <c r="L41">
        <v>2</v>
      </c>
      <c r="M41" s="1"/>
      <c r="N41" s="1"/>
      <c r="O41" t="s">
        <v>66</v>
      </c>
      <c r="P41" t="s">
        <v>23</v>
      </c>
      <c r="Q41" t="s">
        <v>86</v>
      </c>
      <c r="R41" t="s">
        <v>87</v>
      </c>
      <c r="S41" t="s">
        <v>82</v>
      </c>
      <c r="T41" t="s">
        <v>129</v>
      </c>
      <c r="U41" t="s">
        <v>130</v>
      </c>
      <c r="V41" t="str">
        <f>VLOOKUP(Table_Query_from_Reporte_1[[#This Row],[Asset_ID]],B:C,2,TRUE)</f>
        <v>FORD</v>
      </c>
    </row>
    <row r="42" spans="5:22" x14ac:dyDescent="0.25">
      <c r="E42">
        <v>6234</v>
      </c>
      <c r="F42">
        <v>21</v>
      </c>
      <c r="G42" t="s">
        <v>208</v>
      </c>
      <c r="H42" t="s">
        <v>21</v>
      </c>
      <c r="I42" s="1">
        <v>43403.75</v>
      </c>
      <c r="J42">
        <v>80</v>
      </c>
      <c r="K42">
        <v>133</v>
      </c>
      <c r="L42">
        <v>2</v>
      </c>
      <c r="M42" s="1"/>
      <c r="N42" s="1"/>
      <c r="O42" t="s">
        <v>66</v>
      </c>
      <c r="P42" t="s">
        <v>23</v>
      </c>
      <c r="Q42" t="s">
        <v>86</v>
      </c>
      <c r="R42" t="s">
        <v>87</v>
      </c>
      <c r="S42" t="s">
        <v>82</v>
      </c>
      <c r="T42" t="s">
        <v>146</v>
      </c>
      <c r="U42" t="s">
        <v>147</v>
      </c>
      <c r="V42" t="str">
        <f>VLOOKUP(Table_Query_from_Reporte_1[[#This Row],[Asset_ID]],B:C,2,TRUE)</f>
        <v>FORD</v>
      </c>
    </row>
    <row r="43" spans="5:22" x14ac:dyDescent="0.25">
      <c r="E43">
        <v>6261</v>
      </c>
      <c r="F43">
        <v>21</v>
      </c>
      <c r="G43" t="s">
        <v>208</v>
      </c>
      <c r="H43" t="s">
        <v>21</v>
      </c>
      <c r="I43" s="1">
        <v>43403.833333333336</v>
      </c>
      <c r="J43">
        <v>80</v>
      </c>
      <c r="K43">
        <v>54</v>
      </c>
      <c r="L43">
        <v>8</v>
      </c>
      <c r="M43" s="1"/>
      <c r="N43" s="1"/>
      <c r="O43" t="s">
        <v>66</v>
      </c>
      <c r="P43" t="s">
        <v>23</v>
      </c>
      <c r="Q43" t="s">
        <v>100</v>
      </c>
      <c r="R43" t="s">
        <v>101</v>
      </c>
      <c r="S43" t="s">
        <v>82</v>
      </c>
      <c r="T43" t="s">
        <v>146</v>
      </c>
      <c r="U43" t="s">
        <v>147</v>
      </c>
      <c r="V43" t="str">
        <f>VLOOKUP(Table_Query_from_Reporte_1[[#This Row],[Asset_ID]],B:C,2,TRUE)</f>
        <v>FORD</v>
      </c>
    </row>
    <row r="44" spans="5:22" x14ac:dyDescent="0.25">
      <c r="E44">
        <v>6274</v>
      </c>
      <c r="F44">
        <v>21</v>
      </c>
      <c r="G44" t="s">
        <v>208</v>
      </c>
      <c r="H44" t="s">
        <v>21</v>
      </c>
      <c r="I44" s="1">
        <v>43403.875</v>
      </c>
      <c r="J44">
        <v>80</v>
      </c>
      <c r="K44">
        <v>18</v>
      </c>
      <c r="L44">
        <v>6</v>
      </c>
      <c r="M44" s="1"/>
      <c r="N44" s="1"/>
      <c r="O44" t="s">
        <v>66</v>
      </c>
      <c r="P44" t="s">
        <v>23</v>
      </c>
      <c r="Q44" t="s">
        <v>97</v>
      </c>
      <c r="R44" t="s">
        <v>85</v>
      </c>
      <c r="S44" t="s">
        <v>85</v>
      </c>
      <c r="T44" t="s">
        <v>146</v>
      </c>
      <c r="U44" t="s">
        <v>147</v>
      </c>
      <c r="V44" t="str">
        <f>VLOOKUP(Table_Query_from_Reporte_1[[#This Row],[Asset_ID]],B:C,2,TRUE)</f>
        <v>FORD</v>
      </c>
    </row>
    <row r="45" spans="5:22" x14ac:dyDescent="0.25">
      <c r="E45">
        <v>6190</v>
      </c>
      <c r="F45">
        <v>21</v>
      </c>
      <c r="G45" t="s">
        <v>208</v>
      </c>
      <c r="H45" t="s">
        <v>21</v>
      </c>
      <c r="I45" s="1">
        <v>43403.625</v>
      </c>
      <c r="J45">
        <v>83</v>
      </c>
      <c r="K45">
        <v>133</v>
      </c>
      <c r="L45">
        <v>2</v>
      </c>
      <c r="M45" s="1"/>
      <c r="N45" s="1"/>
      <c r="O45" t="s">
        <v>66</v>
      </c>
      <c r="P45" t="s">
        <v>23</v>
      </c>
      <c r="Q45" t="s">
        <v>86</v>
      </c>
      <c r="R45" t="s">
        <v>87</v>
      </c>
      <c r="S45" t="s">
        <v>82</v>
      </c>
      <c r="T45" t="s">
        <v>173</v>
      </c>
      <c r="U45" t="s">
        <v>174</v>
      </c>
      <c r="V45" t="str">
        <f>VLOOKUP(Table_Query_from_Reporte_1[[#This Row],[Asset_ID]],B:C,2,TRUE)</f>
        <v>FORD</v>
      </c>
    </row>
    <row r="46" spans="5:22" x14ac:dyDescent="0.25">
      <c r="E46">
        <v>6272</v>
      </c>
      <c r="F46">
        <v>21</v>
      </c>
      <c r="G46" t="s">
        <v>208</v>
      </c>
      <c r="H46" t="s">
        <v>21</v>
      </c>
      <c r="I46" s="1">
        <v>43403.875</v>
      </c>
      <c r="J46">
        <v>83</v>
      </c>
      <c r="K46">
        <v>29</v>
      </c>
      <c r="L46">
        <v>3</v>
      </c>
      <c r="M46" s="1"/>
      <c r="N46" s="1"/>
      <c r="O46" t="s">
        <v>66</v>
      </c>
      <c r="P46" t="s">
        <v>23</v>
      </c>
      <c r="Q46" t="s">
        <v>94</v>
      </c>
      <c r="R46" t="s">
        <v>95</v>
      </c>
      <c r="S46" t="s">
        <v>82</v>
      </c>
      <c r="T46" t="s">
        <v>173</v>
      </c>
      <c r="U46" t="s">
        <v>174</v>
      </c>
      <c r="V46" t="str">
        <f>VLOOKUP(Table_Query_from_Reporte_1[[#This Row],[Asset_ID]],B:C,2,TRUE)</f>
        <v>FORD</v>
      </c>
    </row>
    <row r="47" spans="5:22" x14ac:dyDescent="0.25">
      <c r="E47">
        <v>6262</v>
      </c>
      <c r="F47">
        <v>21</v>
      </c>
      <c r="G47" t="s">
        <v>208</v>
      </c>
      <c r="H47" t="s">
        <v>21</v>
      </c>
      <c r="I47" s="1">
        <v>43403.833333333336</v>
      </c>
      <c r="J47">
        <v>89</v>
      </c>
      <c r="K47">
        <v>34</v>
      </c>
      <c r="L47">
        <v>5</v>
      </c>
      <c r="M47" s="1"/>
      <c r="N47" s="1"/>
      <c r="O47" t="s">
        <v>66</v>
      </c>
      <c r="P47" t="s">
        <v>23</v>
      </c>
      <c r="Q47" t="s">
        <v>181</v>
      </c>
      <c r="R47" t="s">
        <v>169</v>
      </c>
      <c r="S47" t="s">
        <v>82</v>
      </c>
      <c r="T47" t="s">
        <v>178</v>
      </c>
      <c r="U47" t="s">
        <v>222</v>
      </c>
      <c r="V47" t="str">
        <f>VLOOKUP(Table_Query_from_Reporte_1[[#This Row],[Asset_ID]],B:C,2,TRUE)</f>
        <v>FORD</v>
      </c>
    </row>
    <row r="48" spans="5:22" x14ac:dyDescent="0.25">
      <c r="E48">
        <v>6095</v>
      </c>
      <c r="F48">
        <v>22</v>
      </c>
      <c r="G48" t="s">
        <v>208</v>
      </c>
      <c r="H48" t="s">
        <v>24</v>
      </c>
      <c r="I48" s="1">
        <v>43403.416666666664</v>
      </c>
      <c r="J48">
        <v>93</v>
      </c>
      <c r="K48">
        <v>94</v>
      </c>
      <c r="L48">
        <v>7</v>
      </c>
      <c r="M48" s="1"/>
      <c r="N48" s="1"/>
      <c r="O48" t="s">
        <v>66</v>
      </c>
      <c r="P48" t="s">
        <v>165</v>
      </c>
      <c r="Q48" t="s">
        <v>157</v>
      </c>
      <c r="R48" t="s">
        <v>103</v>
      </c>
      <c r="S48" t="s">
        <v>82</v>
      </c>
      <c r="T48" t="s">
        <v>133</v>
      </c>
      <c r="U48" t="s">
        <v>134</v>
      </c>
      <c r="V48" t="str">
        <f>VLOOKUP(Table_Query_from_Reporte_1[[#This Row],[Asset_ID]],B:C,2,TRUE)</f>
        <v>FORD</v>
      </c>
    </row>
    <row r="49" spans="5:22" x14ac:dyDescent="0.25">
      <c r="E49">
        <v>6116</v>
      </c>
      <c r="F49">
        <v>22</v>
      </c>
      <c r="G49" t="s">
        <v>208</v>
      </c>
      <c r="H49" t="s">
        <v>24</v>
      </c>
      <c r="I49" s="1">
        <v>43403.458333333336</v>
      </c>
      <c r="J49">
        <v>142</v>
      </c>
      <c r="K49">
        <v>133</v>
      </c>
      <c r="L49">
        <v>4</v>
      </c>
      <c r="M49" s="1"/>
      <c r="N49" s="1"/>
      <c r="O49" t="s">
        <v>66</v>
      </c>
      <c r="P49" t="s">
        <v>165</v>
      </c>
      <c r="Q49" t="s">
        <v>86</v>
      </c>
      <c r="R49" t="s">
        <v>87</v>
      </c>
      <c r="S49" t="s">
        <v>82</v>
      </c>
      <c r="T49" t="s">
        <v>184</v>
      </c>
      <c r="U49" t="s">
        <v>122</v>
      </c>
      <c r="V49" t="str">
        <f>VLOOKUP(Table_Query_from_Reporte_1[[#This Row],[Asset_ID]],B:C,2,TRUE)</f>
        <v>FORD</v>
      </c>
    </row>
    <row r="50" spans="5:22" x14ac:dyDescent="0.25">
      <c r="E50">
        <v>6079</v>
      </c>
      <c r="F50">
        <v>22</v>
      </c>
      <c r="G50" t="s">
        <v>208</v>
      </c>
      <c r="H50" t="s">
        <v>24</v>
      </c>
      <c r="I50" s="1">
        <v>43403.25</v>
      </c>
      <c r="J50">
        <v>148</v>
      </c>
      <c r="K50">
        <v>133</v>
      </c>
      <c r="L50">
        <v>3</v>
      </c>
      <c r="M50" s="1"/>
      <c r="N50" s="1"/>
      <c r="O50" t="s">
        <v>66</v>
      </c>
      <c r="P50" t="s">
        <v>165</v>
      </c>
      <c r="Q50" t="s">
        <v>86</v>
      </c>
      <c r="R50" t="s">
        <v>87</v>
      </c>
      <c r="S50" t="s">
        <v>82</v>
      </c>
      <c r="T50" t="s">
        <v>135</v>
      </c>
      <c r="U50" t="s">
        <v>135</v>
      </c>
      <c r="V50" t="str">
        <f>VLOOKUP(Table_Query_from_Reporte_1[[#This Row],[Asset_ID]],B:C,2,TRUE)</f>
        <v>FORD</v>
      </c>
    </row>
    <row r="51" spans="5:22" x14ac:dyDescent="0.25">
      <c r="E51">
        <v>6081</v>
      </c>
      <c r="F51">
        <v>22</v>
      </c>
      <c r="G51" t="s">
        <v>208</v>
      </c>
      <c r="H51" t="s">
        <v>24</v>
      </c>
      <c r="I51" s="1">
        <v>43403.291666666664</v>
      </c>
      <c r="J51">
        <v>148</v>
      </c>
      <c r="K51">
        <v>3</v>
      </c>
      <c r="L51">
        <v>4</v>
      </c>
      <c r="M51" s="1"/>
      <c r="N51" s="1"/>
      <c r="O51" t="s">
        <v>66</v>
      </c>
      <c r="P51" t="s">
        <v>165</v>
      </c>
      <c r="Q51" t="s">
        <v>93</v>
      </c>
      <c r="R51" t="s">
        <v>85</v>
      </c>
      <c r="S51" t="s">
        <v>85</v>
      </c>
      <c r="T51" t="s">
        <v>135</v>
      </c>
      <c r="U51" t="s">
        <v>135</v>
      </c>
      <c r="V51" t="str">
        <f>VLOOKUP(Table_Query_from_Reporte_1[[#This Row],[Asset_ID]],B:C,2,TRUE)</f>
        <v>FORD</v>
      </c>
    </row>
    <row r="52" spans="5:22" x14ac:dyDescent="0.25">
      <c r="E52">
        <v>6083</v>
      </c>
      <c r="F52">
        <v>22</v>
      </c>
      <c r="G52" t="s">
        <v>208</v>
      </c>
      <c r="H52" t="s">
        <v>24</v>
      </c>
      <c r="I52" s="1">
        <v>43403.291666666664</v>
      </c>
      <c r="J52">
        <v>148</v>
      </c>
      <c r="K52">
        <v>54</v>
      </c>
      <c r="L52">
        <v>4</v>
      </c>
      <c r="M52" s="1"/>
      <c r="N52" s="1"/>
      <c r="O52" t="s">
        <v>66</v>
      </c>
      <c r="P52" t="s">
        <v>165</v>
      </c>
      <c r="Q52" t="s">
        <v>100</v>
      </c>
      <c r="R52" t="s">
        <v>101</v>
      </c>
      <c r="S52" t="s">
        <v>82</v>
      </c>
      <c r="T52" t="s">
        <v>135</v>
      </c>
      <c r="U52" t="s">
        <v>135</v>
      </c>
      <c r="V52" t="str">
        <f>VLOOKUP(Table_Query_from_Reporte_1[[#This Row],[Asset_ID]],B:C,2,TRUE)</f>
        <v>FORD</v>
      </c>
    </row>
    <row r="53" spans="5:22" x14ac:dyDescent="0.25">
      <c r="E53">
        <v>6086</v>
      </c>
      <c r="F53">
        <v>22</v>
      </c>
      <c r="G53" t="s">
        <v>208</v>
      </c>
      <c r="H53" t="s">
        <v>24</v>
      </c>
      <c r="I53" s="1">
        <v>43403.333333333336</v>
      </c>
      <c r="J53">
        <v>148</v>
      </c>
      <c r="K53">
        <v>9</v>
      </c>
      <c r="L53">
        <v>4</v>
      </c>
      <c r="M53" s="1"/>
      <c r="N53" s="1"/>
      <c r="O53" t="s">
        <v>66</v>
      </c>
      <c r="P53" t="s">
        <v>165</v>
      </c>
      <c r="Q53" t="s">
        <v>98</v>
      </c>
      <c r="R53" t="s">
        <v>85</v>
      </c>
      <c r="S53" t="s">
        <v>85</v>
      </c>
      <c r="T53" t="s">
        <v>135</v>
      </c>
      <c r="U53" t="s">
        <v>135</v>
      </c>
      <c r="V53" t="str">
        <f>VLOOKUP(Table_Query_from_Reporte_1[[#This Row],[Asset_ID]],B:C,2,TRUE)</f>
        <v>FORD</v>
      </c>
    </row>
    <row r="54" spans="5:22" x14ac:dyDescent="0.25">
      <c r="E54">
        <v>6123</v>
      </c>
      <c r="F54">
        <v>22</v>
      </c>
      <c r="G54" t="s">
        <v>208</v>
      </c>
      <c r="H54" t="s">
        <v>24</v>
      </c>
      <c r="I54" s="1">
        <v>43403.5</v>
      </c>
      <c r="J54">
        <v>148</v>
      </c>
      <c r="K54">
        <v>133</v>
      </c>
      <c r="L54">
        <v>4</v>
      </c>
      <c r="M54" s="1"/>
      <c r="N54" s="1"/>
      <c r="O54" t="s">
        <v>66</v>
      </c>
      <c r="P54" t="s">
        <v>165</v>
      </c>
      <c r="Q54" t="s">
        <v>86</v>
      </c>
      <c r="R54" t="s">
        <v>87</v>
      </c>
      <c r="S54" t="s">
        <v>82</v>
      </c>
      <c r="T54" t="s">
        <v>135</v>
      </c>
      <c r="U54" t="s">
        <v>135</v>
      </c>
      <c r="V54" t="str">
        <f>VLOOKUP(Table_Query_from_Reporte_1[[#This Row],[Asset_ID]],B:C,2,TRUE)</f>
        <v>FORD</v>
      </c>
    </row>
    <row r="55" spans="5:22" x14ac:dyDescent="0.25">
      <c r="E55">
        <v>6152</v>
      </c>
      <c r="F55">
        <v>22</v>
      </c>
      <c r="G55" t="s">
        <v>208</v>
      </c>
      <c r="H55" t="s">
        <v>24</v>
      </c>
      <c r="I55" s="1">
        <v>43403.541666666664</v>
      </c>
      <c r="J55">
        <v>149</v>
      </c>
      <c r="K55">
        <v>29</v>
      </c>
      <c r="L55">
        <v>4</v>
      </c>
      <c r="M55" s="1"/>
      <c r="N55" s="1"/>
      <c r="O55" t="s">
        <v>66</v>
      </c>
      <c r="P55" t="s">
        <v>165</v>
      </c>
      <c r="Q55" t="s">
        <v>94</v>
      </c>
      <c r="R55" t="s">
        <v>95</v>
      </c>
      <c r="S55" t="s">
        <v>82</v>
      </c>
      <c r="T55" t="s">
        <v>136</v>
      </c>
      <c r="U55" t="s">
        <v>124</v>
      </c>
      <c r="V55" t="str">
        <f>VLOOKUP(Table_Query_from_Reporte_1[[#This Row],[Asset_ID]],B:C,2,TRUE)</f>
        <v>FORD</v>
      </c>
    </row>
    <row r="56" spans="5:22" x14ac:dyDescent="0.25">
      <c r="E56">
        <v>6124</v>
      </c>
      <c r="F56">
        <v>22</v>
      </c>
      <c r="G56" t="s">
        <v>208</v>
      </c>
      <c r="H56" t="s">
        <v>24</v>
      </c>
      <c r="I56" s="1">
        <v>43403.5</v>
      </c>
      <c r="J56">
        <v>155</v>
      </c>
      <c r="K56">
        <v>133</v>
      </c>
      <c r="L56">
        <v>4</v>
      </c>
      <c r="M56" s="1"/>
      <c r="N56" s="1"/>
      <c r="O56" t="s">
        <v>66</v>
      </c>
      <c r="P56" t="s">
        <v>165</v>
      </c>
      <c r="Q56" t="s">
        <v>86</v>
      </c>
      <c r="R56" t="s">
        <v>87</v>
      </c>
      <c r="S56" t="s">
        <v>82</v>
      </c>
      <c r="T56" t="s">
        <v>137</v>
      </c>
      <c r="U56" t="s">
        <v>126</v>
      </c>
      <c r="V56" t="str">
        <f>VLOOKUP(Table_Query_from_Reporte_1[[#This Row],[Asset_ID]],B:C,2,TRUE)</f>
        <v>FORD</v>
      </c>
    </row>
    <row r="57" spans="5:22" x14ac:dyDescent="0.25">
      <c r="E57">
        <v>6126</v>
      </c>
      <c r="F57">
        <v>22</v>
      </c>
      <c r="G57" t="s">
        <v>208</v>
      </c>
      <c r="H57" t="s">
        <v>24</v>
      </c>
      <c r="I57" s="1">
        <v>43403.5</v>
      </c>
      <c r="J57">
        <v>163</v>
      </c>
      <c r="K57">
        <v>18</v>
      </c>
      <c r="L57">
        <v>3</v>
      </c>
      <c r="M57" s="1"/>
      <c r="N57" s="1"/>
      <c r="O57" t="s">
        <v>66</v>
      </c>
      <c r="P57" t="s">
        <v>165</v>
      </c>
      <c r="Q57" t="s">
        <v>97</v>
      </c>
      <c r="R57" t="s">
        <v>85</v>
      </c>
      <c r="S57" t="s">
        <v>85</v>
      </c>
      <c r="T57" t="s">
        <v>179</v>
      </c>
      <c r="U57" t="s">
        <v>180</v>
      </c>
      <c r="V57" t="str">
        <f>VLOOKUP(Table_Query_from_Reporte_1[[#This Row],[Asset_ID]],B:C,2,TRUE)</f>
        <v>FORD</v>
      </c>
    </row>
    <row r="58" spans="5:22" x14ac:dyDescent="0.25">
      <c r="E58">
        <v>6078</v>
      </c>
      <c r="F58">
        <v>22</v>
      </c>
      <c r="G58" t="s">
        <v>208</v>
      </c>
      <c r="H58" t="s">
        <v>24</v>
      </c>
      <c r="I58" s="1">
        <v>43403.25</v>
      </c>
      <c r="J58">
        <v>164</v>
      </c>
      <c r="K58">
        <v>133</v>
      </c>
      <c r="L58">
        <v>4</v>
      </c>
      <c r="M58" s="1"/>
      <c r="N58" s="1"/>
      <c r="O58" t="s">
        <v>66</v>
      </c>
      <c r="P58" t="s">
        <v>165</v>
      </c>
      <c r="Q58" t="s">
        <v>86</v>
      </c>
      <c r="R58" t="s">
        <v>87</v>
      </c>
      <c r="S58" t="s">
        <v>82</v>
      </c>
      <c r="T58" t="s">
        <v>138</v>
      </c>
      <c r="U58" t="s">
        <v>128</v>
      </c>
      <c r="V58" t="str">
        <f>VLOOKUP(Table_Query_from_Reporte_1[[#This Row],[Asset_ID]],B:C,2,TRUE)</f>
        <v>FORD</v>
      </c>
    </row>
    <row r="59" spans="5:22" x14ac:dyDescent="0.25">
      <c r="E59">
        <v>6084</v>
      </c>
      <c r="F59">
        <v>22</v>
      </c>
      <c r="G59" t="s">
        <v>208</v>
      </c>
      <c r="H59" t="s">
        <v>24</v>
      </c>
      <c r="I59" s="1">
        <v>43403.291666666664</v>
      </c>
      <c r="J59">
        <v>164</v>
      </c>
      <c r="K59">
        <v>18</v>
      </c>
      <c r="L59">
        <v>3</v>
      </c>
      <c r="M59" s="1"/>
      <c r="N59" s="1"/>
      <c r="O59" t="s">
        <v>66</v>
      </c>
      <c r="P59" t="s">
        <v>165</v>
      </c>
      <c r="Q59" t="s">
        <v>97</v>
      </c>
      <c r="R59" t="s">
        <v>85</v>
      </c>
      <c r="S59" t="s">
        <v>85</v>
      </c>
      <c r="T59" t="s">
        <v>138</v>
      </c>
      <c r="U59" t="s">
        <v>128</v>
      </c>
      <c r="V59" t="str">
        <f>VLOOKUP(Table_Query_from_Reporte_1[[#This Row],[Asset_ID]],B:C,2,TRUE)</f>
        <v>FORD</v>
      </c>
    </row>
    <row r="60" spans="5:22" x14ac:dyDescent="0.25">
      <c r="E60">
        <v>6087</v>
      </c>
      <c r="F60">
        <v>22</v>
      </c>
      <c r="G60" t="s">
        <v>208</v>
      </c>
      <c r="H60" t="s">
        <v>24</v>
      </c>
      <c r="I60" s="1">
        <v>43403.333333333336</v>
      </c>
      <c r="J60">
        <v>164</v>
      </c>
      <c r="K60">
        <v>3</v>
      </c>
      <c r="L60">
        <v>10</v>
      </c>
      <c r="M60" s="1"/>
      <c r="N60" s="1"/>
      <c r="O60" t="s">
        <v>66</v>
      </c>
      <c r="P60" t="s">
        <v>165</v>
      </c>
      <c r="Q60" t="s">
        <v>93</v>
      </c>
      <c r="R60" t="s">
        <v>85</v>
      </c>
      <c r="S60" t="s">
        <v>85</v>
      </c>
      <c r="T60" t="s">
        <v>138</v>
      </c>
      <c r="U60" t="s">
        <v>128</v>
      </c>
      <c r="V60" t="str">
        <f>VLOOKUP(Table_Query_from_Reporte_1[[#This Row],[Asset_ID]],B:C,2,TRUE)</f>
        <v>FORD</v>
      </c>
    </row>
    <row r="61" spans="5:22" x14ac:dyDescent="0.25">
      <c r="E61">
        <v>6088</v>
      </c>
      <c r="F61">
        <v>22</v>
      </c>
      <c r="G61" t="s">
        <v>208</v>
      </c>
      <c r="H61" t="s">
        <v>24</v>
      </c>
      <c r="I61" s="1">
        <v>43403.375</v>
      </c>
      <c r="J61">
        <v>164</v>
      </c>
      <c r="K61">
        <v>133</v>
      </c>
      <c r="L61">
        <v>3</v>
      </c>
      <c r="M61" s="1"/>
      <c r="N61" s="1"/>
      <c r="O61" t="s">
        <v>66</v>
      </c>
      <c r="P61" t="s">
        <v>165</v>
      </c>
      <c r="Q61" t="s">
        <v>86</v>
      </c>
      <c r="R61" t="s">
        <v>87</v>
      </c>
      <c r="S61" t="s">
        <v>82</v>
      </c>
      <c r="T61" t="s">
        <v>138</v>
      </c>
      <c r="U61" t="s">
        <v>128</v>
      </c>
      <c r="V61" t="str">
        <f>VLOOKUP(Table_Query_from_Reporte_1[[#This Row],[Asset_ID]],B:C,2,TRUE)</f>
        <v>FORD</v>
      </c>
    </row>
    <row r="62" spans="5:22" x14ac:dyDescent="0.25">
      <c r="E62">
        <v>6117</v>
      </c>
      <c r="F62">
        <v>22</v>
      </c>
      <c r="G62" t="s">
        <v>208</v>
      </c>
      <c r="H62" t="s">
        <v>24</v>
      </c>
      <c r="I62" s="1">
        <v>43403.458333333336</v>
      </c>
      <c r="J62">
        <v>164</v>
      </c>
      <c r="K62">
        <v>133</v>
      </c>
      <c r="L62">
        <v>4</v>
      </c>
      <c r="M62" s="1"/>
      <c r="N62" s="1"/>
      <c r="O62" t="s">
        <v>223</v>
      </c>
      <c r="P62" t="s">
        <v>165</v>
      </c>
      <c r="Q62" t="s">
        <v>86</v>
      </c>
      <c r="R62" t="s">
        <v>87</v>
      </c>
      <c r="S62" t="s">
        <v>82</v>
      </c>
      <c r="T62" t="s">
        <v>138</v>
      </c>
      <c r="U62" t="s">
        <v>128</v>
      </c>
      <c r="V62" t="str">
        <f>VLOOKUP(Table_Query_from_Reporte_1[[#This Row],[Asset_ID]],B:C,2,TRUE)</f>
        <v>FORD</v>
      </c>
    </row>
    <row r="63" spans="5:22" x14ac:dyDescent="0.25">
      <c r="E63">
        <v>6125</v>
      </c>
      <c r="F63">
        <v>22</v>
      </c>
      <c r="G63" t="s">
        <v>208</v>
      </c>
      <c r="H63" t="s">
        <v>24</v>
      </c>
      <c r="I63" s="1">
        <v>43403.5</v>
      </c>
      <c r="J63">
        <v>164</v>
      </c>
      <c r="K63">
        <v>29</v>
      </c>
      <c r="L63">
        <v>4</v>
      </c>
      <c r="M63" s="1"/>
      <c r="N63" s="1"/>
      <c r="O63" t="s">
        <v>66</v>
      </c>
      <c r="P63" t="s">
        <v>165</v>
      </c>
      <c r="Q63" t="s">
        <v>94</v>
      </c>
      <c r="R63" t="s">
        <v>95</v>
      </c>
      <c r="S63" t="s">
        <v>82</v>
      </c>
      <c r="T63" t="s">
        <v>138</v>
      </c>
      <c r="U63" t="s">
        <v>128</v>
      </c>
      <c r="V63" t="str">
        <f>VLOOKUP(Table_Query_from_Reporte_1[[#This Row],[Asset_ID]],B:C,2,TRUE)</f>
        <v>FORD</v>
      </c>
    </row>
    <row r="64" spans="5:22" x14ac:dyDescent="0.25">
      <c r="E64">
        <v>6150</v>
      </c>
      <c r="F64">
        <v>22</v>
      </c>
      <c r="G64" t="s">
        <v>208</v>
      </c>
      <c r="H64" t="s">
        <v>24</v>
      </c>
      <c r="I64" s="1">
        <v>43403.541666666664</v>
      </c>
      <c r="J64">
        <v>164</v>
      </c>
      <c r="K64">
        <v>97</v>
      </c>
      <c r="L64">
        <v>12</v>
      </c>
      <c r="M64" s="1"/>
      <c r="N64" s="1"/>
      <c r="O64" t="s">
        <v>66</v>
      </c>
      <c r="P64" t="s">
        <v>165</v>
      </c>
      <c r="Q64" t="s">
        <v>193</v>
      </c>
      <c r="R64" t="s">
        <v>103</v>
      </c>
      <c r="S64" t="s">
        <v>82</v>
      </c>
      <c r="T64" t="s">
        <v>138</v>
      </c>
      <c r="U64" t="s">
        <v>128</v>
      </c>
      <c r="V64" t="str">
        <f>VLOOKUP(Table_Query_from_Reporte_1[[#This Row],[Asset_ID]],B:C,2,TRUE)</f>
        <v>FORD</v>
      </c>
    </row>
    <row r="65" spans="5:22" x14ac:dyDescent="0.25">
      <c r="E65">
        <v>6151</v>
      </c>
      <c r="F65">
        <v>22</v>
      </c>
      <c r="G65" t="s">
        <v>208</v>
      </c>
      <c r="H65" t="s">
        <v>24</v>
      </c>
      <c r="I65" s="1">
        <v>43403.541666666664</v>
      </c>
      <c r="J65">
        <v>164</v>
      </c>
      <c r="K65">
        <v>133</v>
      </c>
      <c r="L65">
        <v>3</v>
      </c>
      <c r="M65" s="1"/>
      <c r="N65" s="1"/>
      <c r="O65" t="s">
        <v>66</v>
      </c>
      <c r="P65" t="s">
        <v>165</v>
      </c>
      <c r="Q65" t="s">
        <v>86</v>
      </c>
      <c r="R65" t="s">
        <v>87</v>
      </c>
      <c r="S65" t="s">
        <v>82</v>
      </c>
      <c r="T65" t="s">
        <v>138</v>
      </c>
      <c r="U65" t="s">
        <v>128</v>
      </c>
      <c r="V65" t="str">
        <f>VLOOKUP(Table_Query_from_Reporte_1[[#This Row],[Asset_ID]],B:C,2,TRUE)</f>
        <v>FORD</v>
      </c>
    </row>
    <row r="66" spans="5:22" x14ac:dyDescent="0.25">
      <c r="E66">
        <v>6118</v>
      </c>
      <c r="F66">
        <v>22</v>
      </c>
      <c r="G66" t="s">
        <v>208</v>
      </c>
      <c r="H66" t="s">
        <v>24</v>
      </c>
      <c r="I66" s="1">
        <v>43403.458333333336</v>
      </c>
      <c r="J66">
        <v>172</v>
      </c>
      <c r="K66">
        <v>133</v>
      </c>
      <c r="L66">
        <v>2</v>
      </c>
      <c r="M66" s="1"/>
      <c r="N66" s="1"/>
      <c r="O66" t="s">
        <v>66</v>
      </c>
      <c r="P66" t="s">
        <v>165</v>
      </c>
      <c r="Q66" t="s">
        <v>86</v>
      </c>
      <c r="R66" t="s">
        <v>87</v>
      </c>
      <c r="S66" t="s">
        <v>82</v>
      </c>
      <c r="T66" t="s">
        <v>139</v>
      </c>
      <c r="U66" t="s">
        <v>140</v>
      </c>
      <c r="V66" t="str">
        <f>VLOOKUP(Table_Query_from_Reporte_1[[#This Row],[Asset_ID]],B:C,2,TRUE)</f>
        <v>FORD</v>
      </c>
    </row>
    <row r="67" spans="5:22" x14ac:dyDescent="0.25">
      <c r="E67">
        <v>6089</v>
      </c>
      <c r="F67">
        <v>22</v>
      </c>
      <c r="G67" t="s">
        <v>208</v>
      </c>
      <c r="H67" t="s">
        <v>24</v>
      </c>
      <c r="I67" s="1">
        <v>43403.375</v>
      </c>
      <c r="J67">
        <v>173</v>
      </c>
      <c r="K67">
        <v>176</v>
      </c>
      <c r="L67">
        <v>2</v>
      </c>
      <c r="M67" s="1"/>
      <c r="N67" s="1"/>
      <c r="O67" t="s">
        <v>66</v>
      </c>
      <c r="P67" t="s">
        <v>165</v>
      </c>
      <c r="Q67" t="s">
        <v>183</v>
      </c>
      <c r="R67" t="s">
        <v>104</v>
      </c>
      <c r="S67" t="s">
        <v>104</v>
      </c>
      <c r="T67" t="s">
        <v>185</v>
      </c>
      <c r="U67" t="s">
        <v>186</v>
      </c>
      <c r="V67" t="str">
        <f>VLOOKUP(Table_Query_from_Reporte_1[[#This Row],[Asset_ID]],B:C,2,TRUE)</f>
        <v>FORD</v>
      </c>
    </row>
    <row r="68" spans="5:22" x14ac:dyDescent="0.25">
      <c r="E68">
        <v>6162</v>
      </c>
      <c r="F68">
        <v>22</v>
      </c>
      <c r="G68" t="s">
        <v>208</v>
      </c>
      <c r="H68" t="s">
        <v>21</v>
      </c>
      <c r="I68" s="1">
        <v>43403.583333333336</v>
      </c>
      <c r="J68">
        <v>155</v>
      </c>
      <c r="K68">
        <v>133</v>
      </c>
      <c r="L68">
        <v>2</v>
      </c>
      <c r="M68" s="1"/>
      <c r="N68" s="1"/>
      <c r="O68" t="s">
        <v>66</v>
      </c>
      <c r="P68" t="s">
        <v>165</v>
      </c>
      <c r="Q68" t="s">
        <v>86</v>
      </c>
      <c r="R68" t="s">
        <v>87</v>
      </c>
      <c r="S68" t="s">
        <v>82</v>
      </c>
      <c r="T68" t="s">
        <v>137</v>
      </c>
      <c r="U68" t="s">
        <v>126</v>
      </c>
      <c r="V68" t="str">
        <f>VLOOKUP(Table_Query_from_Reporte_1[[#This Row],[Asset_ID]],B:C,2,TRUE)</f>
        <v>FORD</v>
      </c>
    </row>
    <row r="69" spans="5:22" x14ac:dyDescent="0.25">
      <c r="E69">
        <v>6202</v>
      </c>
      <c r="F69">
        <v>22</v>
      </c>
      <c r="G69" t="s">
        <v>208</v>
      </c>
      <c r="H69" t="s">
        <v>21</v>
      </c>
      <c r="I69" s="1">
        <v>43403.625</v>
      </c>
      <c r="J69">
        <v>155</v>
      </c>
      <c r="K69">
        <v>128</v>
      </c>
      <c r="L69">
        <v>7</v>
      </c>
      <c r="M69" s="1"/>
      <c r="N69" s="1"/>
      <c r="O69" t="s">
        <v>66</v>
      </c>
      <c r="P69" t="s">
        <v>165</v>
      </c>
      <c r="Q69" t="s">
        <v>83</v>
      </c>
      <c r="R69" t="s">
        <v>87</v>
      </c>
      <c r="S69" t="s">
        <v>82</v>
      </c>
      <c r="T69" t="s">
        <v>137</v>
      </c>
      <c r="U69" t="s">
        <v>126</v>
      </c>
      <c r="V69" t="str">
        <f>VLOOKUP(Table_Query_from_Reporte_1[[#This Row],[Asset_ID]],B:C,2,TRUE)</f>
        <v>FORD</v>
      </c>
    </row>
    <row r="70" spans="5:22" x14ac:dyDescent="0.25">
      <c r="E70">
        <v>6206</v>
      </c>
      <c r="F70">
        <v>22</v>
      </c>
      <c r="G70" t="s">
        <v>208</v>
      </c>
      <c r="H70" t="s">
        <v>21</v>
      </c>
      <c r="I70" s="1">
        <v>43403.666666666664</v>
      </c>
      <c r="J70">
        <v>155</v>
      </c>
      <c r="K70">
        <v>133</v>
      </c>
      <c r="L70">
        <v>2</v>
      </c>
      <c r="M70" s="1"/>
      <c r="N70" s="1"/>
      <c r="O70" t="s">
        <v>66</v>
      </c>
      <c r="P70" t="s">
        <v>165</v>
      </c>
      <c r="Q70" t="s">
        <v>86</v>
      </c>
      <c r="R70" t="s">
        <v>87</v>
      </c>
      <c r="S70" t="s">
        <v>82</v>
      </c>
      <c r="T70" t="s">
        <v>137</v>
      </c>
      <c r="U70" t="s">
        <v>126</v>
      </c>
      <c r="V70" t="str">
        <f>VLOOKUP(Table_Query_from_Reporte_1[[#This Row],[Asset_ID]],B:C,2,TRUE)</f>
        <v>FORD</v>
      </c>
    </row>
    <row r="71" spans="5:22" x14ac:dyDescent="0.25">
      <c r="E71">
        <v>6228</v>
      </c>
      <c r="F71">
        <v>22</v>
      </c>
      <c r="G71" t="s">
        <v>208</v>
      </c>
      <c r="H71" t="s">
        <v>21</v>
      </c>
      <c r="I71" s="1">
        <v>43403.75</v>
      </c>
      <c r="J71">
        <v>155</v>
      </c>
      <c r="K71">
        <v>133</v>
      </c>
      <c r="L71">
        <v>2</v>
      </c>
      <c r="M71" s="1"/>
      <c r="N71" s="1"/>
      <c r="O71" t="s">
        <v>66</v>
      </c>
      <c r="P71" t="s">
        <v>165</v>
      </c>
      <c r="Q71" t="s">
        <v>86</v>
      </c>
      <c r="R71" t="s">
        <v>87</v>
      </c>
      <c r="S71" t="s">
        <v>82</v>
      </c>
      <c r="T71" t="s">
        <v>137</v>
      </c>
      <c r="U71" t="s">
        <v>126</v>
      </c>
      <c r="V71" t="str">
        <f>VLOOKUP(Table_Query_from_Reporte_1[[#This Row],[Asset_ID]],B:C,2,TRUE)</f>
        <v>FORD</v>
      </c>
    </row>
    <row r="72" spans="5:22" x14ac:dyDescent="0.25">
      <c r="E72">
        <v>6163</v>
      </c>
      <c r="F72">
        <v>22</v>
      </c>
      <c r="G72" t="s">
        <v>208</v>
      </c>
      <c r="H72" t="s">
        <v>21</v>
      </c>
      <c r="I72" s="1">
        <v>43403.583333333336</v>
      </c>
      <c r="J72">
        <v>164</v>
      </c>
      <c r="K72">
        <v>133</v>
      </c>
      <c r="L72">
        <v>2</v>
      </c>
      <c r="M72" s="1"/>
      <c r="N72" s="1"/>
      <c r="O72" t="s">
        <v>66</v>
      </c>
      <c r="P72" t="s">
        <v>165</v>
      </c>
      <c r="Q72" t="s">
        <v>86</v>
      </c>
      <c r="R72" t="s">
        <v>87</v>
      </c>
      <c r="S72" t="s">
        <v>82</v>
      </c>
      <c r="T72" t="s">
        <v>138</v>
      </c>
      <c r="U72" t="s">
        <v>128</v>
      </c>
      <c r="V72" t="str">
        <f>VLOOKUP(Table_Query_from_Reporte_1[[#This Row],[Asset_ID]],B:C,2,TRUE)</f>
        <v>FORD</v>
      </c>
    </row>
    <row r="73" spans="5:22" x14ac:dyDescent="0.25">
      <c r="E73">
        <v>6203</v>
      </c>
      <c r="F73">
        <v>22</v>
      </c>
      <c r="G73" t="s">
        <v>208</v>
      </c>
      <c r="H73" t="s">
        <v>21</v>
      </c>
      <c r="I73" s="1">
        <v>43403.625</v>
      </c>
      <c r="J73">
        <v>164</v>
      </c>
      <c r="K73">
        <v>124</v>
      </c>
      <c r="L73">
        <v>5</v>
      </c>
      <c r="M73" s="1"/>
      <c r="N73" s="1"/>
      <c r="O73" t="s">
        <v>66</v>
      </c>
      <c r="P73" t="s">
        <v>165</v>
      </c>
      <c r="Q73" t="s">
        <v>96</v>
      </c>
      <c r="R73" t="s">
        <v>90</v>
      </c>
      <c r="S73" t="s">
        <v>82</v>
      </c>
      <c r="T73" t="s">
        <v>138</v>
      </c>
      <c r="U73" t="s">
        <v>128</v>
      </c>
      <c r="V73" t="str">
        <f>VLOOKUP(Table_Query_from_Reporte_1[[#This Row],[Asset_ID]],B:C,2,TRUE)</f>
        <v>FORD</v>
      </c>
    </row>
    <row r="74" spans="5:22" x14ac:dyDescent="0.25">
      <c r="E74">
        <v>6207</v>
      </c>
      <c r="F74">
        <v>22</v>
      </c>
      <c r="G74" t="s">
        <v>208</v>
      </c>
      <c r="H74" t="s">
        <v>21</v>
      </c>
      <c r="I74" s="1">
        <v>43403.666666666664</v>
      </c>
      <c r="J74">
        <v>164</v>
      </c>
      <c r="K74">
        <v>133</v>
      </c>
      <c r="L74">
        <v>2</v>
      </c>
      <c r="M74" s="1"/>
      <c r="N74" s="1"/>
      <c r="O74" t="s">
        <v>66</v>
      </c>
      <c r="P74" t="s">
        <v>165</v>
      </c>
      <c r="Q74" t="s">
        <v>86</v>
      </c>
      <c r="R74" t="s">
        <v>87</v>
      </c>
      <c r="S74" t="s">
        <v>82</v>
      </c>
      <c r="T74" t="s">
        <v>138</v>
      </c>
      <c r="U74" t="s">
        <v>128</v>
      </c>
      <c r="V74" t="str">
        <f>VLOOKUP(Table_Query_from_Reporte_1[[#This Row],[Asset_ID]],B:C,2,TRUE)</f>
        <v>FORD</v>
      </c>
    </row>
    <row r="75" spans="5:22" x14ac:dyDescent="0.25">
      <c r="E75">
        <v>6210</v>
      </c>
      <c r="F75">
        <v>22</v>
      </c>
      <c r="G75" t="s">
        <v>208</v>
      </c>
      <c r="H75" t="s">
        <v>21</v>
      </c>
      <c r="I75" s="1">
        <v>43403.666666666664</v>
      </c>
      <c r="J75">
        <v>164</v>
      </c>
      <c r="K75">
        <v>124</v>
      </c>
      <c r="L75">
        <v>4</v>
      </c>
      <c r="M75" s="1"/>
      <c r="N75" s="1"/>
      <c r="O75" t="s">
        <v>66</v>
      </c>
      <c r="P75" t="s">
        <v>165</v>
      </c>
      <c r="Q75" t="s">
        <v>96</v>
      </c>
      <c r="R75" t="s">
        <v>90</v>
      </c>
      <c r="S75" t="s">
        <v>82</v>
      </c>
      <c r="T75" t="s">
        <v>138</v>
      </c>
      <c r="U75" t="s">
        <v>128</v>
      </c>
      <c r="V75" t="str">
        <f>VLOOKUP(Table_Query_from_Reporte_1[[#This Row],[Asset_ID]],B:C,2,TRUE)</f>
        <v>FORD</v>
      </c>
    </row>
    <row r="76" spans="5:22" x14ac:dyDescent="0.25">
      <c r="E76">
        <v>6229</v>
      </c>
      <c r="F76">
        <v>22</v>
      </c>
      <c r="G76" t="s">
        <v>208</v>
      </c>
      <c r="H76" t="s">
        <v>21</v>
      </c>
      <c r="I76" s="1">
        <v>43403.75</v>
      </c>
      <c r="J76">
        <v>164</v>
      </c>
      <c r="K76">
        <v>133</v>
      </c>
      <c r="L76">
        <v>2</v>
      </c>
      <c r="M76" s="1"/>
      <c r="N76" s="1"/>
      <c r="O76" t="s">
        <v>66</v>
      </c>
      <c r="P76" t="s">
        <v>165</v>
      </c>
      <c r="Q76" t="s">
        <v>86</v>
      </c>
      <c r="R76" t="s">
        <v>87</v>
      </c>
      <c r="S76" t="s">
        <v>82</v>
      </c>
      <c r="T76" t="s">
        <v>138</v>
      </c>
      <c r="U76" t="s">
        <v>128</v>
      </c>
      <c r="V76" t="str">
        <f>VLOOKUP(Table_Query_from_Reporte_1[[#This Row],[Asset_ID]],B:C,2,TRUE)</f>
        <v>FORD</v>
      </c>
    </row>
    <row r="77" spans="5:22" x14ac:dyDescent="0.25">
      <c r="E77">
        <v>6230</v>
      </c>
      <c r="F77">
        <v>22</v>
      </c>
      <c r="G77" t="s">
        <v>208</v>
      </c>
      <c r="H77" t="s">
        <v>21</v>
      </c>
      <c r="I77" s="1">
        <v>43403.75</v>
      </c>
      <c r="J77">
        <v>164</v>
      </c>
      <c r="K77">
        <v>124</v>
      </c>
      <c r="L77">
        <v>7</v>
      </c>
      <c r="M77" s="1"/>
      <c r="N77" s="1"/>
      <c r="O77" t="s">
        <v>66</v>
      </c>
      <c r="P77" t="s">
        <v>165</v>
      </c>
      <c r="Q77" t="s">
        <v>96</v>
      </c>
      <c r="R77" t="s">
        <v>90</v>
      </c>
      <c r="S77" t="s">
        <v>82</v>
      </c>
      <c r="T77" t="s">
        <v>138</v>
      </c>
      <c r="U77" t="s">
        <v>128</v>
      </c>
      <c r="V77" t="str">
        <f>VLOOKUP(Table_Query_from_Reporte_1[[#This Row],[Asset_ID]],B:C,2,TRUE)</f>
        <v>FORD</v>
      </c>
    </row>
    <row r="78" spans="5:22" x14ac:dyDescent="0.25">
      <c r="E78">
        <v>6237</v>
      </c>
      <c r="F78">
        <v>22</v>
      </c>
      <c r="G78" t="s">
        <v>208</v>
      </c>
      <c r="H78" t="s">
        <v>21</v>
      </c>
      <c r="I78" s="1">
        <v>43403.791666666664</v>
      </c>
      <c r="J78">
        <v>164</v>
      </c>
      <c r="K78">
        <v>124</v>
      </c>
      <c r="L78">
        <v>7</v>
      </c>
      <c r="M78" s="1"/>
      <c r="N78" s="1"/>
      <c r="O78" t="s">
        <v>66</v>
      </c>
      <c r="P78" t="s">
        <v>165</v>
      </c>
      <c r="Q78" t="s">
        <v>96</v>
      </c>
      <c r="R78" t="s">
        <v>90</v>
      </c>
      <c r="S78" t="s">
        <v>82</v>
      </c>
      <c r="T78" t="s">
        <v>138</v>
      </c>
      <c r="U78" t="s">
        <v>128</v>
      </c>
      <c r="V78" t="str">
        <f>VLOOKUP(Table_Query_from_Reporte_1[[#This Row],[Asset_ID]],B:C,2,TRUE)</f>
        <v>FORD</v>
      </c>
    </row>
    <row r="79" spans="5:22" x14ac:dyDescent="0.25">
      <c r="E79">
        <v>6253</v>
      </c>
      <c r="F79">
        <v>22</v>
      </c>
      <c r="G79" t="s">
        <v>208</v>
      </c>
      <c r="H79" t="s">
        <v>21</v>
      </c>
      <c r="I79" s="1">
        <v>43403.833333333336</v>
      </c>
      <c r="J79">
        <v>164</v>
      </c>
      <c r="K79">
        <v>133</v>
      </c>
      <c r="L79">
        <v>3</v>
      </c>
      <c r="M79" s="1"/>
      <c r="N79" s="1"/>
      <c r="O79" t="s">
        <v>66</v>
      </c>
      <c r="P79" t="s">
        <v>165</v>
      </c>
      <c r="Q79" t="s">
        <v>86</v>
      </c>
      <c r="R79" t="s">
        <v>87</v>
      </c>
      <c r="S79" t="s">
        <v>82</v>
      </c>
      <c r="T79" t="s">
        <v>138</v>
      </c>
      <c r="U79" t="s">
        <v>128</v>
      </c>
      <c r="V79" t="str">
        <f>VLOOKUP(Table_Query_from_Reporte_1[[#This Row],[Asset_ID]],B:C,2,TRUE)</f>
        <v>FORD</v>
      </c>
    </row>
    <row r="80" spans="5:22" x14ac:dyDescent="0.25">
      <c r="E80">
        <v>6255</v>
      </c>
      <c r="F80">
        <v>22</v>
      </c>
      <c r="G80" t="s">
        <v>208</v>
      </c>
      <c r="H80" t="s">
        <v>21</v>
      </c>
      <c r="I80" s="1">
        <v>43403.833333333336</v>
      </c>
      <c r="J80">
        <v>164</v>
      </c>
      <c r="K80">
        <v>18</v>
      </c>
      <c r="L80">
        <v>3</v>
      </c>
      <c r="M80" s="1"/>
      <c r="N80" s="1"/>
      <c r="O80" t="s">
        <v>66</v>
      </c>
      <c r="P80" t="s">
        <v>165</v>
      </c>
      <c r="Q80" t="s">
        <v>97</v>
      </c>
      <c r="R80" t="s">
        <v>85</v>
      </c>
      <c r="S80" t="s">
        <v>85</v>
      </c>
      <c r="T80" t="s">
        <v>138</v>
      </c>
      <c r="U80" t="s">
        <v>128</v>
      </c>
      <c r="V80" t="str">
        <f>VLOOKUP(Table_Query_from_Reporte_1[[#This Row],[Asset_ID]],B:C,2,TRUE)</f>
        <v>FORD</v>
      </c>
    </row>
    <row r="81" spans="5:22" x14ac:dyDescent="0.25">
      <c r="E81">
        <v>6269</v>
      </c>
      <c r="F81">
        <v>22</v>
      </c>
      <c r="G81" t="s">
        <v>208</v>
      </c>
      <c r="H81" t="s">
        <v>21</v>
      </c>
      <c r="I81" s="1">
        <v>43403.875</v>
      </c>
      <c r="J81">
        <v>164</v>
      </c>
      <c r="K81">
        <v>97</v>
      </c>
      <c r="L81">
        <v>15</v>
      </c>
      <c r="M81" s="1"/>
      <c r="N81" s="1"/>
      <c r="O81" t="s">
        <v>66</v>
      </c>
      <c r="P81" t="s">
        <v>165</v>
      </c>
      <c r="Q81" t="s">
        <v>193</v>
      </c>
      <c r="R81" t="s">
        <v>103</v>
      </c>
      <c r="S81" t="s">
        <v>82</v>
      </c>
      <c r="T81" t="s">
        <v>138</v>
      </c>
      <c r="U81" t="s">
        <v>128</v>
      </c>
      <c r="V81" t="str">
        <f>VLOOKUP(Table_Query_from_Reporte_1[[#This Row],[Asset_ID]],B:C,2,TRUE)</f>
        <v>FORD</v>
      </c>
    </row>
    <row r="82" spans="5:22" x14ac:dyDescent="0.25">
      <c r="E82">
        <v>6209</v>
      </c>
      <c r="F82">
        <v>22</v>
      </c>
      <c r="G82" t="s">
        <v>208</v>
      </c>
      <c r="H82" t="s">
        <v>21</v>
      </c>
      <c r="I82" s="1">
        <v>43403.666666666664</v>
      </c>
      <c r="J82">
        <v>171</v>
      </c>
      <c r="K82">
        <v>34</v>
      </c>
      <c r="L82">
        <v>4</v>
      </c>
      <c r="M82" s="1"/>
      <c r="N82" s="1"/>
      <c r="O82" t="s">
        <v>66</v>
      </c>
      <c r="P82" t="s">
        <v>165</v>
      </c>
      <c r="Q82" t="s">
        <v>181</v>
      </c>
      <c r="R82" t="s">
        <v>169</v>
      </c>
      <c r="S82" t="s">
        <v>82</v>
      </c>
      <c r="T82" t="s">
        <v>189</v>
      </c>
      <c r="U82" t="s">
        <v>190</v>
      </c>
      <c r="V82" t="str">
        <f>VLOOKUP(Table_Query_from_Reporte_1[[#This Row],[Asset_ID]],B:C,2,TRUE)</f>
        <v>FORD</v>
      </c>
    </row>
    <row r="83" spans="5:22" x14ac:dyDescent="0.25">
      <c r="E83">
        <v>6204</v>
      </c>
      <c r="F83">
        <v>22</v>
      </c>
      <c r="G83" t="s">
        <v>208</v>
      </c>
      <c r="H83" t="s">
        <v>21</v>
      </c>
      <c r="I83" s="1">
        <v>43403.625</v>
      </c>
      <c r="J83">
        <v>172</v>
      </c>
      <c r="K83">
        <v>142</v>
      </c>
      <c r="L83">
        <v>4</v>
      </c>
      <c r="M83" s="1"/>
      <c r="N83" s="1"/>
      <c r="O83" t="s">
        <v>66</v>
      </c>
      <c r="P83" t="s">
        <v>165</v>
      </c>
      <c r="Q83" t="s">
        <v>91</v>
      </c>
      <c r="R83" t="s">
        <v>84</v>
      </c>
      <c r="S83" t="s">
        <v>84</v>
      </c>
      <c r="T83" t="s">
        <v>139</v>
      </c>
      <c r="U83" t="s">
        <v>140</v>
      </c>
      <c r="V83" t="str">
        <f>VLOOKUP(Table_Query_from_Reporte_1[[#This Row],[Asset_ID]],B:C,2,TRUE)</f>
        <v>FORD</v>
      </c>
    </row>
    <row r="84" spans="5:22" x14ac:dyDescent="0.25">
      <c r="E84">
        <v>6208</v>
      </c>
      <c r="F84">
        <v>22</v>
      </c>
      <c r="G84" t="s">
        <v>208</v>
      </c>
      <c r="H84" t="s">
        <v>21</v>
      </c>
      <c r="I84" s="1">
        <v>43403.666666666664</v>
      </c>
      <c r="J84">
        <v>172</v>
      </c>
      <c r="K84">
        <v>142</v>
      </c>
      <c r="L84">
        <v>3</v>
      </c>
      <c r="M84" s="1"/>
      <c r="N84" s="1"/>
      <c r="O84" t="s">
        <v>66</v>
      </c>
      <c r="P84" t="s">
        <v>165</v>
      </c>
      <c r="Q84" t="s">
        <v>91</v>
      </c>
      <c r="R84" t="s">
        <v>84</v>
      </c>
      <c r="S84" t="s">
        <v>84</v>
      </c>
      <c r="T84" t="s">
        <v>139</v>
      </c>
      <c r="U84" t="s">
        <v>140</v>
      </c>
      <c r="V84" t="str">
        <f>VLOOKUP(Table_Query_from_Reporte_1[[#This Row],[Asset_ID]],B:C,2,TRUE)</f>
        <v>FORD</v>
      </c>
    </row>
    <row r="85" spans="5:22" x14ac:dyDescent="0.25">
      <c r="E85">
        <v>6231</v>
      </c>
      <c r="F85">
        <v>22</v>
      </c>
      <c r="G85" t="s">
        <v>208</v>
      </c>
      <c r="H85" t="s">
        <v>21</v>
      </c>
      <c r="I85" s="1">
        <v>43403.75</v>
      </c>
      <c r="J85">
        <v>172</v>
      </c>
      <c r="K85">
        <v>142</v>
      </c>
      <c r="L85">
        <v>11</v>
      </c>
      <c r="M85" s="1"/>
      <c r="N85" s="1"/>
      <c r="O85" t="s">
        <v>66</v>
      </c>
      <c r="P85" t="s">
        <v>165</v>
      </c>
      <c r="Q85" t="s">
        <v>91</v>
      </c>
      <c r="R85" t="s">
        <v>84</v>
      </c>
      <c r="S85" t="s">
        <v>84</v>
      </c>
      <c r="T85" t="s">
        <v>139</v>
      </c>
      <c r="U85" t="s">
        <v>140</v>
      </c>
      <c r="V85" t="str">
        <f>VLOOKUP(Table_Query_from_Reporte_1[[#This Row],[Asset_ID]],B:C,2,TRUE)</f>
        <v>FORD</v>
      </c>
    </row>
    <row r="86" spans="5:22" x14ac:dyDescent="0.25">
      <c r="E86">
        <v>6257</v>
      </c>
      <c r="F86">
        <v>22</v>
      </c>
      <c r="G86" t="s">
        <v>208</v>
      </c>
      <c r="H86" t="s">
        <v>21</v>
      </c>
      <c r="I86" s="1">
        <v>43403.833333333336</v>
      </c>
      <c r="J86">
        <v>172</v>
      </c>
      <c r="K86">
        <v>142</v>
      </c>
      <c r="L86">
        <v>6</v>
      </c>
      <c r="M86" s="1"/>
      <c r="N86" s="1"/>
      <c r="O86" t="s">
        <v>66</v>
      </c>
      <c r="P86" t="s">
        <v>165</v>
      </c>
      <c r="Q86" t="s">
        <v>91</v>
      </c>
      <c r="R86" t="s">
        <v>84</v>
      </c>
      <c r="S86" t="s">
        <v>84</v>
      </c>
      <c r="T86" t="s">
        <v>139</v>
      </c>
      <c r="U86" t="s">
        <v>140</v>
      </c>
      <c r="V86" t="str">
        <f>VLOOKUP(Table_Query_from_Reporte_1[[#This Row],[Asset_ID]],B:C,2,TRUE)</f>
        <v>FORD</v>
      </c>
    </row>
    <row r="87" spans="5:22" x14ac:dyDescent="0.25">
      <c r="E87">
        <v>6236</v>
      </c>
      <c r="F87">
        <v>22</v>
      </c>
      <c r="G87" t="s">
        <v>208</v>
      </c>
      <c r="H87" t="s">
        <v>21</v>
      </c>
      <c r="I87" s="1">
        <v>43403.791666666664</v>
      </c>
      <c r="J87">
        <v>181</v>
      </c>
      <c r="K87">
        <v>90</v>
      </c>
      <c r="L87">
        <v>5</v>
      </c>
      <c r="M87" s="1"/>
      <c r="N87" s="1"/>
      <c r="O87" t="s">
        <v>66</v>
      </c>
      <c r="P87" t="s">
        <v>165</v>
      </c>
      <c r="Q87" t="s">
        <v>194</v>
      </c>
      <c r="R87" t="s">
        <v>188</v>
      </c>
      <c r="S87" t="s">
        <v>82</v>
      </c>
      <c r="T87" t="s">
        <v>178</v>
      </c>
      <c r="U87" t="s">
        <v>224</v>
      </c>
      <c r="V87" t="str">
        <f>VLOOKUP(Table_Query_from_Reporte_1[[#This Row],[Asset_ID]],B:C,2,TRUE)</f>
        <v>FORD</v>
      </c>
    </row>
    <row r="88" spans="5:22" x14ac:dyDescent="0.25">
      <c r="E88">
        <v>6047</v>
      </c>
      <c r="F88">
        <v>23</v>
      </c>
      <c r="G88" t="s">
        <v>208</v>
      </c>
      <c r="H88" t="s">
        <v>24</v>
      </c>
      <c r="I88" s="1">
        <v>43403.25</v>
      </c>
      <c r="J88">
        <v>190</v>
      </c>
      <c r="K88">
        <v>3</v>
      </c>
      <c r="L88">
        <v>7</v>
      </c>
      <c r="M88" s="1"/>
      <c r="N88" s="1"/>
      <c r="O88" t="s">
        <v>225</v>
      </c>
      <c r="P88" t="s">
        <v>226</v>
      </c>
      <c r="Q88" t="s">
        <v>93</v>
      </c>
      <c r="R88" t="s">
        <v>85</v>
      </c>
      <c r="S88" t="s">
        <v>85</v>
      </c>
      <c r="T88" t="s">
        <v>227</v>
      </c>
      <c r="U88" t="s">
        <v>228</v>
      </c>
      <c r="V88" t="str">
        <f>VLOOKUP(Table_Query_from_Reporte_1[[#This Row],[Asset_ID]],B:C,2,TRUE)</f>
        <v>BUSHING</v>
      </c>
    </row>
    <row r="89" spans="5:22" x14ac:dyDescent="0.25">
      <c r="E89">
        <v>6059</v>
      </c>
      <c r="F89">
        <v>23</v>
      </c>
      <c r="G89" t="s">
        <v>208</v>
      </c>
      <c r="H89" t="s">
        <v>24</v>
      </c>
      <c r="I89" s="1">
        <v>43403.291666666664</v>
      </c>
      <c r="J89">
        <v>190</v>
      </c>
      <c r="K89">
        <v>6</v>
      </c>
      <c r="L89">
        <v>10</v>
      </c>
      <c r="M89" s="1"/>
      <c r="N89" s="1"/>
      <c r="O89" t="s">
        <v>229</v>
      </c>
      <c r="P89" t="s">
        <v>226</v>
      </c>
      <c r="Q89" t="s">
        <v>144</v>
      </c>
      <c r="R89" t="s">
        <v>85</v>
      </c>
      <c r="S89" t="s">
        <v>85</v>
      </c>
      <c r="T89" t="s">
        <v>227</v>
      </c>
      <c r="U89" t="s">
        <v>228</v>
      </c>
      <c r="V89" t="str">
        <f>VLOOKUP(Table_Query_from_Reporte_1[[#This Row],[Asset_ID]],B:C,2,TRUE)</f>
        <v>BUSHING</v>
      </c>
    </row>
    <row r="90" spans="5:22" x14ac:dyDescent="0.25">
      <c r="E90">
        <v>6070</v>
      </c>
      <c r="F90">
        <v>23</v>
      </c>
      <c r="G90" t="s">
        <v>208</v>
      </c>
      <c r="H90" t="s">
        <v>24</v>
      </c>
      <c r="I90" s="1">
        <v>43403.333333333336</v>
      </c>
      <c r="J90">
        <v>190</v>
      </c>
      <c r="K90">
        <v>6</v>
      </c>
      <c r="L90">
        <v>7</v>
      </c>
      <c r="M90" s="1"/>
      <c r="N90" s="1"/>
      <c r="O90" t="s">
        <v>230</v>
      </c>
      <c r="P90" t="s">
        <v>226</v>
      </c>
      <c r="Q90" t="s">
        <v>144</v>
      </c>
      <c r="R90" t="s">
        <v>85</v>
      </c>
      <c r="S90" t="s">
        <v>85</v>
      </c>
      <c r="T90" t="s">
        <v>227</v>
      </c>
      <c r="U90" t="s">
        <v>228</v>
      </c>
      <c r="V90" t="str">
        <f>VLOOKUP(Table_Query_from_Reporte_1[[#This Row],[Asset_ID]],B:C,2,TRUE)</f>
        <v>BUSHING</v>
      </c>
    </row>
    <row r="91" spans="5:22" x14ac:dyDescent="0.25">
      <c r="E91">
        <v>6046</v>
      </c>
      <c r="F91">
        <v>23</v>
      </c>
      <c r="G91" t="s">
        <v>208</v>
      </c>
      <c r="H91" t="s">
        <v>24</v>
      </c>
      <c r="I91" s="1">
        <v>43403.25</v>
      </c>
      <c r="J91">
        <v>191</v>
      </c>
      <c r="K91">
        <v>87</v>
      </c>
      <c r="L91">
        <v>8.6999999999999993</v>
      </c>
      <c r="M91" s="1"/>
      <c r="N91" s="1"/>
      <c r="O91" t="s">
        <v>66</v>
      </c>
      <c r="P91" t="s">
        <v>226</v>
      </c>
      <c r="Q91" t="s">
        <v>212</v>
      </c>
      <c r="R91" t="s">
        <v>92</v>
      </c>
      <c r="S91" t="s">
        <v>82</v>
      </c>
      <c r="T91" t="s">
        <v>227</v>
      </c>
      <c r="U91" t="s">
        <v>231</v>
      </c>
      <c r="V91" t="str">
        <f>VLOOKUP(Table_Query_from_Reporte_1[[#This Row],[Asset_ID]],B:C,2,TRUE)</f>
        <v>BUSHING</v>
      </c>
    </row>
    <row r="92" spans="5:22" x14ac:dyDescent="0.25">
      <c r="E92">
        <v>6060</v>
      </c>
      <c r="F92">
        <v>23</v>
      </c>
      <c r="G92" t="s">
        <v>208</v>
      </c>
      <c r="H92" t="s">
        <v>24</v>
      </c>
      <c r="I92" s="1">
        <v>43403.291666666664</v>
      </c>
      <c r="J92">
        <v>191</v>
      </c>
      <c r="K92">
        <v>87</v>
      </c>
      <c r="L92">
        <v>6</v>
      </c>
      <c r="M92" s="1"/>
      <c r="N92" s="1"/>
      <c r="O92" t="s">
        <v>66</v>
      </c>
      <c r="P92" t="s">
        <v>226</v>
      </c>
      <c r="Q92" t="s">
        <v>212</v>
      </c>
      <c r="R92" t="s">
        <v>92</v>
      </c>
      <c r="S92" t="s">
        <v>82</v>
      </c>
      <c r="T92" t="s">
        <v>227</v>
      </c>
      <c r="U92" t="s">
        <v>231</v>
      </c>
      <c r="V92" t="str">
        <f>VLOOKUP(Table_Query_from_Reporte_1[[#This Row],[Asset_ID]],B:C,2,TRUE)</f>
        <v>BUSHING</v>
      </c>
    </row>
    <row r="93" spans="5:22" x14ac:dyDescent="0.25">
      <c r="E93">
        <v>6071</v>
      </c>
      <c r="F93">
        <v>23</v>
      </c>
      <c r="G93" t="s">
        <v>208</v>
      </c>
      <c r="H93" t="s">
        <v>24</v>
      </c>
      <c r="I93" s="1">
        <v>43403.333333333336</v>
      </c>
      <c r="J93">
        <v>191</v>
      </c>
      <c r="K93">
        <v>87</v>
      </c>
      <c r="L93">
        <v>3</v>
      </c>
      <c r="M93" s="1"/>
      <c r="N93" s="1"/>
      <c r="O93" t="s">
        <v>66</v>
      </c>
      <c r="P93" t="s">
        <v>226</v>
      </c>
      <c r="Q93" t="s">
        <v>212</v>
      </c>
      <c r="R93" t="s">
        <v>92</v>
      </c>
      <c r="S93" t="s">
        <v>82</v>
      </c>
      <c r="T93" t="s">
        <v>227</v>
      </c>
      <c r="U93" t="s">
        <v>231</v>
      </c>
      <c r="V93" t="str">
        <f>VLOOKUP(Table_Query_from_Reporte_1[[#This Row],[Asset_ID]],B:C,2,TRUE)</f>
        <v>BUSHING</v>
      </c>
    </row>
    <row r="94" spans="5:22" x14ac:dyDescent="0.25">
      <c r="E94">
        <v>6085</v>
      </c>
      <c r="F94">
        <v>23</v>
      </c>
      <c r="G94" t="s">
        <v>208</v>
      </c>
      <c r="H94" t="s">
        <v>24</v>
      </c>
      <c r="I94" s="1">
        <v>43403.375</v>
      </c>
      <c r="J94">
        <v>191</v>
      </c>
      <c r="K94">
        <v>87</v>
      </c>
      <c r="L94">
        <v>6.9</v>
      </c>
      <c r="M94" s="1"/>
      <c r="N94" s="1"/>
      <c r="O94" t="s">
        <v>66</v>
      </c>
      <c r="P94" t="s">
        <v>226</v>
      </c>
      <c r="Q94" t="s">
        <v>212</v>
      </c>
      <c r="R94" t="s">
        <v>92</v>
      </c>
      <c r="S94" t="s">
        <v>82</v>
      </c>
      <c r="T94" t="s">
        <v>227</v>
      </c>
      <c r="U94" t="s">
        <v>231</v>
      </c>
      <c r="V94" t="str">
        <f>VLOOKUP(Table_Query_from_Reporte_1[[#This Row],[Asset_ID]],B:C,2,TRUE)</f>
        <v>BUSHING</v>
      </c>
    </row>
    <row r="95" spans="5:22" x14ac:dyDescent="0.25">
      <c r="E95">
        <v>6098</v>
      </c>
      <c r="F95">
        <v>23</v>
      </c>
      <c r="G95" t="s">
        <v>208</v>
      </c>
      <c r="H95" t="s">
        <v>24</v>
      </c>
      <c r="I95" s="1">
        <v>43403.416666666664</v>
      </c>
      <c r="J95">
        <v>191</v>
      </c>
      <c r="K95">
        <v>87</v>
      </c>
      <c r="L95">
        <v>3.8</v>
      </c>
      <c r="M95" s="1"/>
      <c r="N95" s="1"/>
      <c r="O95" t="s">
        <v>66</v>
      </c>
      <c r="P95" t="s">
        <v>226</v>
      </c>
      <c r="Q95" t="s">
        <v>212</v>
      </c>
      <c r="R95" t="s">
        <v>92</v>
      </c>
      <c r="S95" t="s">
        <v>82</v>
      </c>
      <c r="T95" t="s">
        <v>227</v>
      </c>
      <c r="U95" t="s">
        <v>231</v>
      </c>
      <c r="V95" t="str">
        <f>VLOOKUP(Table_Query_from_Reporte_1[[#This Row],[Asset_ID]],B:C,2,TRUE)</f>
        <v>BUSHING</v>
      </c>
    </row>
    <row r="96" spans="5:22" x14ac:dyDescent="0.25">
      <c r="E96">
        <v>6130</v>
      </c>
      <c r="F96">
        <v>23</v>
      </c>
      <c r="G96" t="s">
        <v>208</v>
      </c>
      <c r="H96" t="s">
        <v>24</v>
      </c>
      <c r="I96" s="1">
        <v>43403.5</v>
      </c>
      <c r="J96">
        <v>191</v>
      </c>
      <c r="K96">
        <v>87</v>
      </c>
      <c r="L96">
        <v>5.3</v>
      </c>
      <c r="M96" s="1"/>
      <c r="N96" s="1"/>
      <c r="O96" t="s">
        <v>66</v>
      </c>
      <c r="P96" t="s">
        <v>226</v>
      </c>
      <c r="Q96" t="s">
        <v>212</v>
      </c>
      <c r="R96" t="s">
        <v>92</v>
      </c>
      <c r="S96" t="s">
        <v>82</v>
      </c>
      <c r="T96" t="s">
        <v>227</v>
      </c>
      <c r="U96" t="s">
        <v>231</v>
      </c>
      <c r="V96" t="str">
        <f>VLOOKUP(Table_Query_from_Reporte_1[[#This Row],[Asset_ID]],B:C,2,TRUE)</f>
        <v>BUSHING</v>
      </c>
    </row>
    <row r="97" spans="5:22" x14ac:dyDescent="0.25">
      <c r="E97">
        <v>6045</v>
      </c>
      <c r="F97">
        <v>23</v>
      </c>
      <c r="G97" t="s">
        <v>208</v>
      </c>
      <c r="H97" t="s">
        <v>24</v>
      </c>
      <c r="I97" s="1">
        <v>43403.25</v>
      </c>
      <c r="J97">
        <v>192</v>
      </c>
      <c r="K97">
        <v>160</v>
      </c>
      <c r="L97">
        <v>5</v>
      </c>
      <c r="M97" s="1"/>
      <c r="N97" s="1"/>
      <c r="O97" t="s">
        <v>66</v>
      </c>
      <c r="P97" t="s">
        <v>226</v>
      </c>
      <c r="Q97" t="s">
        <v>160</v>
      </c>
      <c r="R97" t="s">
        <v>104</v>
      </c>
      <c r="S97" t="s">
        <v>104</v>
      </c>
      <c r="T97" t="s">
        <v>227</v>
      </c>
      <c r="U97" t="s">
        <v>232</v>
      </c>
      <c r="V97" t="str">
        <f>VLOOKUP(Table_Query_from_Reporte_1[[#This Row],[Asset_ID]],B:C,2,TRUE)</f>
        <v>BUSHING</v>
      </c>
    </row>
    <row r="98" spans="5:22" x14ac:dyDescent="0.25">
      <c r="E98">
        <v>6244</v>
      </c>
      <c r="F98">
        <v>23</v>
      </c>
      <c r="G98" t="s">
        <v>208</v>
      </c>
      <c r="H98" t="s">
        <v>21</v>
      </c>
      <c r="I98" s="1">
        <v>43403.791666666664</v>
      </c>
      <c r="J98">
        <v>184</v>
      </c>
      <c r="K98">
        <v>87</v>
      </c>
      <c r="L98">
        <v>13.8</v>
      </c>
      <c r="M98" s="1"/>
      <c r="N98" s="1"/>
      <c r="O98" t="s">
        <v>66</v>
      </c>
      <c r="P98" t="s">
        <v>226</v>
      </c>
      <c r="Q98" t="s">
        <v>212</v>
      </c>
      <c r="R98" t="s">
        <v>92</v>
      </c>
      <c r="S98" t="s">
        <v>82</v>
      </c>
      <c r="T98" t="s">
        <v>227</v>
      </c>
      <c r="U98" t="s">
        <v>211</v>
      </c>
      <c r="V98" t="str">
        <f>VLOOKUP(Table_Query_from_Reporte_1[[#This Row],[Asset_ID]],B:C,2,TRUE)</f>
        <v>BUSHING</v>
      </c>
    </row>
    <row r="99" spans="5:22" x14ac:dyDescent="0.25">
      <c r="E99">
        <v>6251</v>
      </c>
      <c r="F99">
        <v>23</v>
      </c>
      <c r="G99" t="s">
        <v>208</v>
      </c>
      <c r="H99" t="s">
        <v>21</v>
      </c>
      <c r="I99" s="1">
        <v>43403.833333333336</v>
      </c>
      <c r="J99">
        <v>184</v>
      </c>
      <c r="K99">
        <v>94</v>
      </c>
      <c r="L99">
        <v>28.4</v>
      </c>
      <c r="M99" s="1"/>
      <c r="N99" s="1"/>
      <c r="O99" t="s">
        <v>215</v>
      </c>
      <c r="P99" t="s">
        <v>226</v>
      </c>
      <c r="Q99" t="s">
        <v>157</v>
      </c>
      <c r="R99" t="s">
        <v>103</v>
      </c>
      <c r="S99" t="s">
        <v>82</v>
      </c>
      <c r="T99" t="s">
        <v>227</v>
      </c>
      <c r="U99" t="s">
        <v>211</v>
      </c>
      <c r="V99" t="str">
        <f>VLOOKUP(Table_Query_from_Reporte_1[[#This Row],[Asset_ID]],B:C,2,TRUE)</f>
        <v>BUSHING</v>
      </c>
    </row>
    <row r="100" spans="5:22" x14ac:dyDescent="0.25">
      <c r="E100">
        <v>6277</v>
      </c>
      <c r="F100">
        <v>23</v>
      </c>
      <c r="G100" t="s">
        <v>208</v>
      </c>
      <c r="H100" t="s">
        <v>21</v>
      </c>
      <c r="I100" s="1">
        <v>43403.875</v>
      </c>
      <c r="J100">
        <v>184</v>
      </c>
      <c r="K100">
        <v>87</v>
      </c>
      <c r="L100">
        <v>3.1</v>
      </c>
      <c r="M100" s="1"/>
      <c r="N100" s="1"/>
      <c r="O100" t="s">
        <v>66</v>
      </c>
      <c r="P100" t="s">
        <v>226</v>
      </c>
      <c r="Q100" t="s">
        <v>212</v>
      </c>
      <c r="R100" t="s">
        <v>92</v>
      </c>
      <c r="S100" t="s">
        <v>82</v>
      </c>
      <c r="T100" t="s">
        <v>227</v>
      </c>
      <c r="U100" t="s">
        <v>211</v>
      </c>
      <c r="V100" t="str">
        <f>VLOOKUP(Table_Query_from_Reporte_1[[#This Row],[Asset_ID]],B:C,2,TRUE)</f>
        <v>BUSHING</v>
      </c>
    </row>
    <row r="101" spans="5:22" x14ac:dyDescent="0.25">
      <c r="E101">
        <v>6040</v>
      </c>
      <c r="F101">
        <v>37</v>
      </c>
      <c r="G101" t="s">
        <v>208</v>
      </c>
      <c r="H101" t="s">
        <v>24</v>
      </c>
      <c r="I101" s="1">
        <v>43403.25</v>
      </c>
      <c r="J101">
        <v>236</v>
      </c>
      <c r="K101">
        <v>124</v>
      </c>
      <c r="L101">
        <v>16.5</v>
      </c>
      <c r="M101" s="1"/>
      <c r="N101" s="1"/>
      <c r="O101" t="s">
        <v>66</v>
      </c>
      <c r="P101" t="s">
        <v>233</v>
      </c>
      <c r="Q101" t="s">
        <v>96</v>
      </c>
      <c r="R101" t="s">
        <v>90</v>
      </c>
      <c r="S101" t="s">
        <v>82</v>
      </c>
      <c r="T101" t="s">
        <v>234</v>
      </c>
      <c r="U101" t="s">
        <v>164</v>
      </c>
      <c r="V101" t="str">
        <f>VLOOKUP(Table_Query_from_Reporte_1[[#This Row],[Asset_ID]],B:C,2,TRUE)</f>
        <v>FORD</v>
      </c>
    </row>
    <row r="102" spans="5:22" x14ac:dyDescent="0.25">
      <c r="E102">
        <v>6057</v>
      </c>
      <c r="F102">
        <v>37</v>
      </c>
      <c r="G102" t="s">
        <v>208</v>
      </c>
      <c r="H102" t="s">
        <v>24</v>
      </c>
      <c r="I102" s="1">
        <v>43403.291666666664</v>
      </c>
      <c r="J102">
        <v>236</v>
      </c>
      <c r="K102">
        <v>124</v>
      </c>
      <c r="L102">
        <v>14.8</v>
      </c>
      <c r="M102" s="1"/>
      <c r="N102" s="1"/>
      <c r="O102" t="s">
        <v>66</v>
      </c>
      <c r="P102" t="s">
        <v>233</v>
      </c>
      <c r="Q102" t="s">
        <v>96</v>
      </c>
      <c r="R102" t="s">
        <v>90</v>
      </c>
      <c r="S102" t="s">
        <v>82</v>
      </c>
      <c r="T102" t="s">
        <v>234</v>
      </c>
      <c r="U102" t="s">
        <v>164</v>
      </c>
      <c r="V102" t="str">
        <f>VLOOKUP(Table_Query_from_Reporte_1[[#This Row],[Asset_ID]],B:C,2,TRUE)</f>
        <v>FORD</v>
      </c>
    </row>
    <row r="103" spans="5:22" x14ac:dyDescent="0.25">
      <c r="E103">
        <v>6096</v>
      </c>
      <c r="F103">
        <v>37</v>
      </c>
      <c r="G103" t="s">
        <v>208</v>
      </c>
      <c r="H103" t="s">
        <v>24</v>
      </c>
      <c r="I103" s="1">
        <v>43403.416666666664</v>
      </c>
      <c r="J103">
        <v>236</v>
      </c>
      <c r="K103">
        <v>164</v>
      </c>
      <c r="L103">
        <v>12.7</v>
      </c>
      <c r="M103" s="1"/>
      <c r="N103" s="1"/>
      <c r="O103" t="s">
        <v>66</v>
      </c>
      <c r="P103" t="s">
        <v>233</v>
      </c>
      <c r="Q103" t="s">
        <v>162</v>
      </c>
      <c r="R103" t="s">
        <v>104</v>
      </c>
      <c r="S103" t="s">
        <v>104</v>
      </c>
      <c r="T103" t="s">
        <v>234</v>
      </c>
      <c r="U103" t="s">
        <v>164</v>
      </c>
      <c r="V103" t="str">
        <f>VLOOKUP(Table_Query_from_Reporte_1[[#This Row],[Asset_ID]],B:C,2,TRUE)</f>
        <v>FORD</v>
      </c>
    </row>
    <row r="104" spans="5:22" x14ac:dyDescent="0.25">
      <c r="E104">
        <v>6114</v>
      </c>
      <c r="F104">
        <v>37</v>
      </c>
      <c r="G104" t="s">
        <v>208</v>
      </c>
      <c r="H104" t="s">
        <v>24</v>
      </c>
      <c r="I104" s="1">
        <v>43403.458333333336</v>
      </c>
      <c r="J104">
        <v>236</v>
      </c>
      <c r="K104">
        <v>164</v>
      </c>
      <c r="L104">
        <v>10.6</v>
      </c>
      <c r="M104" s="1"/>
      <c r="N104" s="1"/>
      <c r="O104" t="s">
        <v>66</v>
      </c>
      <c r="P104" t="s">
        <v>233</v>
      </c>
      <c r="Q104" t="s">
        <v>162</v>
      </c>
      <c r="R104" t="s">
        <v>104</v>
      </c>
      <c r="S104" t="s">
        <v>104</v>
      </c>
      <c r="T104" t="s">
        <v>234</v>
      </c>
      <c r="U104" t="s">
        <v>164</v>
      </c>
      <c r="V104" t="str">
        <f>VLOOKUP(Table_Query_from_Reporte_1[[#This Row],[Asset_ID]],B:C,2,TRUE)</f>
        <v>FORD</v>
      </c>
    </row>
    <row r="105" spans="5:22" x14ac:dyDescent="0.25">
      <c r="E105">
        <v>6136</v>
      </c>
      <c r="F105">
        <v>37</v>
      </c>
      <c r="G105" t="s">
        <v>208</v>
      </c>
      <c r="H105" t="s">
        <v>24</v>
      </c>
      <c r="I105" s="1">
        <v>43403.5</v>
      </c>
      <c r="J105">
        <v>236</v>
      </c>
      <c r="K105">
        <v>164</v>
      </c>
      <c r="L105">
        <v>19.5</v>
      </c>
      <c r="M105" s="1"/>
      <c r="N105" s="1"/>
      <c r="O105" t="s">
        <v>66</v>
      </c>
      <c r="P105" t="s">
        <v>233</v>
      </c>
      <c r="Q105" t="s">
        <v>162</v>
      </c>
      <c r="R105" t="s">
        <v>104</v>
      </c>
      <c r="S105" t="s">
        <v>104</v>
      </c>
      <c r="T105" t="s">
        <v>234</v>
      </c>
      <c r="U105" t="s">
        <v>164</v>
      </c>
      <c r="V105" t="str">
        <f>VLOOKUP(Table_Query_from_Reporte_1[[#This Row],[Asset_ID]],B:C,2,TRUE)</f>
        <v>FORD</v>
      </c>
    </row>
    <row r="106" spans="5:22" x14ac:dyDescent="0.25">
      <c r="E106">
        <v>6145</v>
      </c>
      <c r="F106">
        <v>37</v>
      </c>
      <c r="G106" t="s">
        <v>208</v>
      </c>
      <c r="H106" t="s">
        <v>24</v>
      </c>
      <c r="I106" s="1">
        <v>43403.541666666664</v>
      </c>
      <c r="J106">
        <v>236</v>
      </c>
      <c r="K106">
        <v>124</v>
      </c>
      <c r="L106">
        <v>25.1</v>
      </c>
      <c r="M106" s="1"/>
      <c r="N106" s="1"/>
      <c r="O106" t="s">
        <v>66</v>
      </c>
      <c r="P106" t="s">
        <v>233</v>
      </c>
      <c r="Q106" t="s">
        <v>96</v>
      </c>
      <c r="R106" t="s">
        <v>90</v>
      </c>
      <c r="S106" t="s">
        <v>82</v>
      </c>
      <c r="T106" t="s">
        <v>234</v>
      </c>
      <c r="U106" t="s">
        <v>164</v>
      </c>
      <c r="V106" t="str">
        <f>VLOOKUP(Table_Query_from_Reporte_1[[#This Row],[Asset_ID]],B:C,2,TRUE)</f>
        <v>FORD</v>
      </c>
    </row>
    <row r="107" spans="5:22" x14ac:dyDescent="0.25">
      <c r="E107">
        <v>6198</v>
      </c>
      <c r="F107">
        <v>37</v>
      </c>
      <c r="G107" t="s">
        <v>208</v>
      </c>
      <c r="H107" t="s">
        <v>21</v>
      </c>
      <c r="I107" s="1">
        <v>43403.666666666664</v>
      </c>
      <c r="J107">
        <v>236</v>
      </c>
      <c r="K107">
        <v>133</v>
      </c>
      <c r="L107">
        <v>3</v>
      </c>
      <c r="M107" s="1"/>
      <c r="N107" s="1"/>
      <c r="O107" t="s">
        <v>66</v>
      </c>
      <c r="P107" t="s">
        <v>233</v>
      </c>
      <c r="Q107" t="s">
        <v>86</v>
      </c>
      <c r="R107" t="s">
        <v>87</v>
      </c>
      <c r="S107" t="s">
        <v>82</v>
      </c>
      <c r="T107" t="s">
        <v>234</v>
      </c>
      <c r="U107" t="s">
        <v>164</v>
      </c>
      <c r="V107" t="str">
        <f>VLOOKUP(Table_Query_from_Reporte_1[[#This Row],[Asset_ID]],B:C,2,TRUE)</f>
        <v>FORD</v>
      </c>
    </row>
    <row r="108" spans="5:22" x14ac:dyDescent="0.25">
      <c r="E108">
        <v>6218</v>
      </c>
      <c r="F108">
        <v>37</v>
      </c>
      <c r="G108" t="s">
        <v>208</v>
      </c>
      <c r="H108" t="s">
        <v>21</v>
      </c>
      <c r="I108" s="1">
        <v>43403.75</v>
      </c>
      <c r="J108">
        <v>236</v>
      </c>
      <c r="K108">
        <v>133</v>
      </c>
      <c r="L108">
        <v>3</v>
      </c>
      <c r="M108" s="1"/>
      <c r="N108" s="1"/>
      <c r="O108" t="s">
        <v>66</v>
      </c>
      <c r="P108" t="s">
        <v>233</v>
      </c>
      <c r="Q108" t="s">
        <v>86</v>
      </c>
      <c r="R108" t="s">
        <v>87</v>
      </c>
      <c r="S108" t="s">
        <v>82</v>
      </c>
      <c r="T108" t="s">
        <v>234</v>
      </c>
      <c r="U108" t="s">
        <v>164</v>
      </c>
      <c r="V108" t="str">
        <f>VLOOKUP(Table_Query_from_Reporte_1[[#This Row],[Asset_ID]],B:C,2,TRUE)</f>
        <v>FORD</v>
      </c>
    </row>
    <row r="109" spans="5:22" x14ac:dyDescent="0.25">
      <c r="E109">
        <v>6249</v>
      </c>
      <c r="F109">
        <v>37</v>
      </c>
      <c r="G109" t="s">
        <v>208</v>
      </c>
      <c r="H109" t="s">
        <v>21</v>
      </c>
      <c r="I109" s="1">
        <v>43403.791666666664</v>
      </c>
      <c r="J109">
        <v>236</v>
      </c>
      <c r="K109">
        <v>133</v>
      </c>
      <c r="L109">
        <v>1</v>
      </c>
      <c r="M109" s="1"/>
      <c r="N109" s="1"/>
      <c r="O109" t="s">
        <v>66</v>
      </c>
      <c r="P109" t="s">
        <v>233</v>
      </c>
      <c r="Q109" t="s">
        <v>86</v>
      </c>
      <c r="R109" t="s">
        <v>87</v>
      </c>
      <c r="S109" t="s">
        <v>82</v>
      </c>
      <c r="T109" t="s">
        <v>234</v>
      </c>
      <c r="U109" t="s">
        <v>164</v>
      </c>
      <c r="V109" t="str">
        <f>VLOOKUP(Table_Query_from_Reporte_1[[#This Row],[Asset_ID]],B:C,2,TRUE)</f>
        <v>FORD</v>
      </c>
    </row>
    <row r="110" spans="5:22" x14ac:dyDescent="0.25">
      <c r="E110">
        <v>6205</v>
      </c>
      <c r="F110">
        <v>37</v>
      </c>
      <c r="G110" t="s">
        <v>208</v>
      </c>
      <c r="H110" t="s">
        <v>21</v>
      </c>
      <c r="I110" s="1">
        <v>43403.666666666664</v>
      </c>
      <c r="J110">
        <v>237</v>
      </c>
      <c r="K110">
        <v>164</v>
      </c>
      <c r="L110">
        <v>6.24</v>
      </c>
      <c r="M110" s="1"/>
      <c r="N110" s="1"/>
      <c r="O110" t="s">
        <v>66</v>
      </c>
      <c r="P110" t="s">
        <v>233</v>
      </c>
      <c r="Q110" t="s">
        <v>162</v>
      </c>
      <c r="R110" t="s">
        <v>104</v>
      </c>
      <c r="S110" t="s">
        <v>104</v>
      </c>
      <c r="T110" t="s">
        <v>234</v>
      </c>
      <c r="U110" t="s">
        <v>235</v>
      </c>
      <c r="V110" t="str">
        <f>VLOOKUP(Table_Query_from_Reporte_1[[#This Row],[Asset_ID]],B:C,2,TRUE)</f>
        <v>FORD</v>
      </c>
    </row>
    <row r="111" spans="5:22" x14ac:dyDescent="0.25">
      <c r="E111">
        <v>6220</v>
      </c>
      <c r="F111">
        <v>37</v>
      </c>
      <c r="G111" t="s">
        <v>208</v>
      </c>
      <c r="H111" t="s">
        <v>21</v>
      </c>
      <c r="I111" s="1">
        <v>43403.75</v>
      </c>
      <c r="J111">
        <v>237</v>
      </c>
      <c r="K111">
        <v>164</v>
      </c>
      <c r="L111">
        <v>13.38</v>
      </c>
      <c r="M111" s="1"/>
      <c r="N111" s="1"/>
      <c r="O111" t="s">
        <v>66</v>
      </c>
      <c r="P111" t="s">
        <v>233</v>
      </c>
      <c r="Q111" t="s">
        <v>162</v>
      </c>
      <c r="R111" t="s">
        <v>104</v>
      </c>
      <c r="S111" t="s">
        <v>104</v>
      </c>
      <c r="T111" t="s">
        <v>234</v>
      </c>
      <c r="U111" t="s">
        <v>235</v>
      </c>
      <c r="V111" t="str">
        <f>VLOOKUP(Table_Query_from_Reporte_1[[#This Row],[Asset_ID]],B:C,2,TRUE)</f>
        <v>FORD</v>
      </c>
    </row>
    <row r="112" spans="5:22" x14ac:dyDescent="0.25">
      <c r="E112">
        <v>6039</v>
      </c>
      <c r="F112">
        <v>42</v>
      </c>
      <c r="G112" t="s">
        <v>208</v>
      </c>
      <c r="H112" t="s">
        <v>24</v>
      </c>
      <c r="I112" s="1">
        <v>43403.25</v>
      </c>
      <c r="J112">
        <v>240</v>
      </c>
      <c r="K112">
        <v>148</v>
      </c>
      <c r="L112">
        <v>4.4000000000000004</v>
      </c>
      <c r="M112" s="1"/>
      <c r="N112" s="1"/>
      <c r="O112" t="s">
        <v>66</v>
      </c>
      <c r="P112" t="s">
        <v>236</v>
      </c>
      <c r="Q112" t="s">
        <v>237</v>
      </c>
      <c r="R112" t="s">
        <v>238</v>
      </c>
      <c r="S112" t="s">
        <v>238</v>
      </c>
      <c r="T112" t="s">
        <v>234</v>
      </c>
      <c r="U112" t="s">
        <v>164</v>
      </c>
      <c r="V112" t="str">
        <f>VLOOKUP(Table_Query_from_Reporte_1[[#This Row],[Asset_ID]],B:C,2,TRUE)</f>
        <v>FORD</v>
      </c>
    </row>
    <row r="113" spans="5:22" x14ac:dyDescent="0.25">
      <c r="E113">
        <v>6056</v>
      </c>
      <c r="F113">
        <v>42</v>
      </c>
      <c r="G113" t="s">
        <v>208</v>
      </c>
      <c r="H113" t="s">
        <v>24</v>
      </c>
      <c r="I113" s="1">
        <v>43403.291666666664</v>
      </c>
      <c r="J113">
        <v>240</v>
      </c>
      <c r="K113">
        <v>148</v>
      </c>
      <c r="L113">
        <v>2.8</v>
      </c>
      <c r="M113" s="1"/>
      <c r="N113" s="1"/>
      <c r="O113" t="s">
        <v>66</v>
      </c>
      <c r="P113" t="s">
        <v>236</v>
      </c>
      <c r="Q113" t="s">
        <v>237</v>
      </c>
      <c r="R113" t="s">
        <v>238</v>
      </c>
      <c r="S113" t="s">
        <v>238</v>
      </c>
      <c r="T113" t="s">
        <v>234</v>
      </c>
      <c r="U113" t="s">
        <v>164</v>
      </c>
      <c r="V113" t="str">
        <f>VLOOKUP(Table_Query_from_Reporte_1[[#This Row],[Asset_ID]],B:C,2,TRUE)</f>
        <v>FORD</v>
      </c>
    </row>
    <row r="114" spans="5:22" x14ac:dyDescent="0.25">
      <c r="E114">
        <v>6068</v>
      </c>
      <c r="F114">
        <v>42</v>
      </c>
      <c r="G114" t="s">
        <v>208</v>
      </c>
      <c r="H114" t="s">
        <v>24</v>
      </c>
      <c r="I114" s="1">
        <v>43403.333333333336</v>
      </c>
      <c r="J114">
        <v>240</v>
      </c>
      <c r="K114">
        <v>148</v>
      </c>
      <c r="L114">
        <v>3.2</v>
      </c>
      <c r="M114" s="1"/>
      <c r="N114" s="1"/>
      <c r="O114" t="s">
        <v>66</v>
      </c>
      <c r="P114" t="s">
        <v>236</v>
      </c>
      <c r="Q114" t="s">
        <v>237</v>
      </c>
      <c r="R114" t="s">
        <v>238</v>
      </c>
      <c r="S114" t="s">
        <v>238</v>
      </c>
      <c r="T114" t="s">
        <v>234</v>
      </c>
      <c r="U114" t="s">
        <v>164</v>
      </c>
      <c r="V114" t="str">
        <f>VLOOKUP(Table_Query_from_Reporte_1[[#This Row],[Asset_ID]],B:C,2,TRUE)</f>
        <v>FORD</v>
      </c>
    </row>
    <row r="115" spans="5:22" x14ac:dyDescent="0.25">
      <c r="E115">
        <v>6094</v>
      </c>
      <c r="F115">
        <v>42</v>
      </c>
      <c r="G115" t="s">
        <v>208</v>
      </c>
      <c r="H115" t="s">
        <v>24</v>
      </c>
      <c r="I115" s="1">
        <v>43403.416666666664</v>
      </c>
      <c r="J115">
        <v>240</v>
      </c>
      <c r="K115">
        <v>148</v>
      </c>
      <c r="L115">
        <v>4.2</v>
      </c>
      <c r="M115" s="1"/>
      <c r="N115" s="1"/>
      <c r="O115" t="s">
        <v>66</v>
      </c>
      <c r="P115" t="s">
        <v>236</v>
      </c>
      <c r="Q115" t="s">
        <v>237</v>
      </c>
      <c r="R115" t="s">
        <v>238</v>
      </c>
      <c r="S115" t="s">
        <v>238</v>
      </c>
      <c r="T115" t="s">
        <v>234</v>
      </c>
      <c r="U115" t="s">
        <v>164</v>
      </c>
      <c r="V115" t="str">
        <f>VLOOKUP(Table_Query_from_Reporte_1[[#This Row],[Asset_ID]],B:C,2,TRUE)</f>
        <v>FORD</v>
      </c>
    </row>
    <row r="116" spans="5:22" x14ac:dyDescent="0.25">
      <c r="E116">
        <v>6110</v>
      </c>
      <c r="F116">
        <v>42</v>
      </c>
      <c r="G116" t="s">
        <v>208</v>
      </c>
      <c r="H116" t="s">
        <v>24</v>
      </c>
      <c r="I116" s="1">
        <v>43403.458333333336</v>
      </c>
      <c r="J116">
        <v>240</v>
      </c>
      <c r="K116">
        <v>133</v>
      </c>
      <c r="L116">
        <v>1.2</v>
      </c>
      <c r="M116" s="1"/>
      <c r="N116" s="1"/>
      <c r="O116" t="s">
        <v>66</v>
      </c>
      <c r="P116" t="s">
        <v>236</v>
      </c>
      <c r="Q116" t="s">
        <v>86</v>
      </c>
      <c r="R116" t="s">
        <v>87</v>
      </c>
      <c r="S116" t="s">
        <v>82</v>
      </c>
      <c r="T116" t="s">
        <v>234</v>
      </c>
      <c r="U116" t="s">
        <v>164</v>
      </c>
      <c r="V116" t="str">
        <f>VLOOKUP(Table_Query_from_Reporte_1[[#This Row],[Asset_ID]],B:C,2,TRUE)</f>
        <v>FORD</v>
      </c>
    </row>
    <row r="117" spans="5:22" x14ac:dyDescent="0.25">
      <c r="E117">
        <v>6112</v>
      </c>
      <c r="F117">
        <v>42</v>
      </c>
      <c r="G117" t="s">
        <v>208</v>
      </c>
      <c r="H117" t="s">
        <v>24</v>
      </c>
      <c r="I117" s="1">
        <v>43403.458333333336</v>
      </c>
      <c r="J117">
        <v>240</v>
      </c>
      <c r="K117">
        <v>148</v>
      </c>
      <c r="L117">
        <v>4.5</v>
      </c>
      <c r="M117" s="1"/>
      <c r="N117" s="1"/>
      <c r="O117" t="s">
        <v>66</v>
      </c>
      <c r="P117" t="s">
        <v>236</v>
      </c>
      <c r="Q117" t="s">
        <v>237</v>
      </c>
      <c r="R117" t="s">
        <v>238</v>
      </c>
      <c r="S117" t="s">
        <v>238</v>
      </c>
      <c r="T117" t="s">
        <v>234</v>
      </c>
      <c r="U117" t="s">
        <v>164</v>
      </c>
      <c r="V117" t="str">
        <f>VLOOKUP(Table_Query_from_Reporte_1[[#This Row],[Asset_ID]],B:C,2,TRUE)</f>
        <v>FORD</v>
      </c>
    </row>
    <row r="118" spans="5:22" x14ac:dyDescent="0.25">
      <c r="E118">
        <v>6138</v>
      </c>
      <c r="F118">
        <v>42</v>
      </c>
      <c r="G118" t="s">
        <v>208</v>
      </c>
      <c r="H118" t="s">
        <v>24</v>
      </c>
      <c r="I118" s="1">
        <v>43403.5</v>
      </c>
      <c r="J118">
        <v>240</v>
      </c>
      <c r="K118">
        <v>133</v>
      </c>
      <c r="L118">
        <v>1</v>
      </c>
      <c r="M118" s="1"/>
      <c r="N118" s="1"/>
      <c r="O118" t="s">
        <v>66</v>
      </c>
      <c r="P118" t="s">
        <v>236</v>
      </c>
      <c r="Q118" t="s">
        <v>86</v>
      </c>
      <c r="R118" t="s">
        <v>87</v>
      </c>
      <c r="S118" t="s">
        <v>82</v>
      </c>
      <c r="T118" t="s">
        <v>234</v>
      </c>
      <c r="U118" t="s">
        <v>164</v>
      </c>
      <c r="V118" t="str">
        <f>VLOOKUP(Table_Query_from_Reporte_1[[#This Row],[Asset_ID]],B:C,2,TRUE)</f>
        <v>FORD</v>
      </c>
    </row>
    <row r="119" spans="5:22" x14ac:dyDescent="0.25">
      <c r="E119">
        <v>6139</v>
      </c>
      <c r="F119">
        <v>42</v>
      </c>
      <c r="G119" t="s">
        <v>208</v>
      </c>
      <c r="H119" t="s">
        <v>24</v>
      </c>
      <c r="I119" s="1">
        <v>43403.5</v>
      </c>
      <c r="J119">
        <v>240</v>
      </c>
      <c r="K119">
        <v>148</v>
      </c>
      <c r="L119">
        <v>4.5</v>
      </c>
      <c r="M119" s="1"/>
      <c r="N119" s="1"/>
      <c r="O119" t="s">
        <v>66</v>
      </c>
      <c r="P119" t="s">
        <v>236</v>
      </c>
      <c r="Q119" t="s">
        <v>237</v>
      </c>
      <c r="R119" t="s">
        <v>238</v>
      </c>
      <c r="S119" t="s">
        <v>238</v>
      </c>
      <c r="T119" t="s">
        <v>234</v>
      </c>
      <c r="U119" t="s">
        <v>164</v>
      </c>
      <c r="V119" t="str">
        <f>VLOOKUP(Table_Query_from_Reporte_1[[#This Row],[Asset_ID]],B:C,2,TRUE)</f>
        <v>FORD</v>
      </c>
    </row>
    <row r="120" spans="5:22" x14ac:dyDescent="0.25">
      <c r="E120">
        <v>6142</v>
      </c>
      <c r="F120">
        <v>42</v>
      </c>
      <c r="G120" t="s">
        <v>208</v>
      </c>
      <c r="H120" t="s">
        <v>24</v>
      </c>
      <c r="I120" s="1">
        <v>43403.541666666664</v>
      </c>
      <c r="J120">
        <v>240</v>
      </c>
      <c r="K120">
        <v>18</v>
      </c>
      <c r="L120">
        <v>7.9</v>
      </c>
      <c r="M120" s="1"/>
      <c r="N120" s="1"/>
      <c r="O120" t="s">
        <v>66</v>
      </c>
      <c r="P120" t="s">
        <v>236</v>
      </c>
      <c r="Q120" t="s">
        <v>97</v>
      </c>
      <c r="R120" t="s">
        <v>85</v>
      </c>
      <c r="S120" t="s">
        <v>85</v>
      </c>
      <c r="T120" t="s">
        <v>234</v>
      </c>
      <c r="U120" t="s">
        <v>164</v>
      </c>
      <c r="V120" t="str">
        <f>VLOOKUP(Table_Query_from_Reporte_1[[#This Row],[Asset_ID]],B:C,2,TRUE)</f>
        <v>FORD</v>
      </c>
    </row>
    <row r="121" spans="5:22" x14ac:dyDescent="0.25">
      <c r="E121">
        <v>6143</v>
      </c>
      <c r="F121">
        <v>42</v>
      </c>
      <c r="G121" t="s">
        <v>208</v>
      </c>
      <c r="H121" t="s">
        <v>24</v>
      </c>
      <c r="I121" s="1">
        <v>43403.541666666664</v>
      </c>
      <c r="J121">
        <v>240</v>
      </c>
      <c r="K121">
        <v>148</v>
      </c>
      <c r="L121">
        <v>4</v>
      </c>
      <c r="M121" s="1"/>
      <c r="N121" s="1"/>
      <c r="O121" t="s">
        <v>66</v>
      </c>
      <c r="P121" t="s">
        <v>236</v>
      </c>
      <c r="Q121" t="s">
        <v>237</v>
      </c>
      <c r="R121" t="s">
        <v>238</v>
      </c>
      <c r="S121" t="s">
        <v>238</v>
      </c>
      <c r="T121" t="s">
        <v>234</v>
      </c>
      <c r="U121" t="s">
        <v>164</v>
      </c>
      <c r="V121" t="str">
        <f>VLOOKUP(Table_Query_from_Reporte_1[[#This Row],[Asset_ID]],B:C,2,TRUE)</f>
        <v>FORD</v>
      </c>
    </row>
    <row r="122" spans="5:22" x14ac:dyDescent="0.25">
      <c r="E122">
        <v>6038</v>
      </c>
      <c r="F122">
        <v>42</v>
      </c>
      <c r="G122" t="s">
        <v>208</v>
      </c>
      <c r="H122" t="s">
        <v>24</v>
      </c>
      <c r="I122" s="1">
        <v>43403.25</v>
      </c>
      <c r="J122">
        <v>241</v>
      </c>
      <c r="K122">
        <v>82</v>
      </c>
      <c r="L122">
        <v>2.9</v>
      </c>
      <c r="M122" s="1"/>
      <c r="N122" s="1"/>
      <c r="O122" t="s">
        <v>66</v>
      </c>
      <c r="P122" t="s">
        <v>236</v>
      </c>
      <c r="Q122" t="s">
        <v>148</v>
      </c>
      <c r="R122" t="s">
        <v>92</v>
      </c>
      <c r="S122" t="s">
        <v>82</v>
      </c>
      <c r="T122" t="s">
        <v>234</v>
      </c>
      <c r="U122" t="s">
        <v>235</v>
      </c>
      <c r="V122" t="str">
        <f>VLOOKUP(Table_Query_from_Reporte_1[[#This Row],[Asset_ID]],B:C,2,TRUE)</f>
        <v>FORD</v>
      </c>
    </row>
    <row r="123" spans="5:22" x14ac:dyDescent="0.25">
      <c r="E123">
        <v>6054</v>
      </c>
      <c r="F123">
        <v>42</v>
      </c>
      <c r="G123" t="s">
        <v>208</v>
      </c>
      <c r="H123" t="s">
        <v>24</v>
      </c>
      <c r="I123" s="1">
        <v>43403.291666666664</v>
      </c>
      <c r="J123">
        <v>241</v>
      </c>
      <c r="K123">
        <v>124</v>
      </c>
      <c r="L123">
        <v>10.3</v>
      </c>
      <c r="M123" s="1"/>
      <c r="N123" s="1"/>
      <c r="O123" t="s">
        <v>66</v>
      </c>
      <c r="P123" t="s">
        <v>236</v>
      </c>
      <c r="Q123" t="s">
        <v>96</v>
      </c>
      <c r="R123" t="s">
        <v>90</v>
      </c>
      <c r="S123" t="s">
        <v>82</v>
      </c>
      <c r="T123" t="s">
        <v>234</v>
      </c>
      <c r="U123" t="s">
        <v>235</v>
      </c>
      <c r="V123" t="str">
        <f>VLOOKUP(Table_Query_from_Reporte_1[[#This Row],[Asset_ID]],B:C,2,TRUE)</f>
        <v>FORD</v>
      </c>
    </row>
    <row r="124" spans="5:22" x14ac:dyDescent="0.25">
      <c r="E124">
        <v>6055</v>
      </c>
      <c r="F124">
        <v>42</v>
      </c>
      <c r="G124" t="s">
        <v>208</v>
      </c>
      <c r="H124" t="s">
        <v>24</v>
      </c>
      <c r="I124" s="1">
        <v>43403.291666666664</v>
      </c>
      <c r="J124">
        <v>241</v>
      </c>
      <c r="K124">
        <v>3</v>
      </c>
      <c r="L124">
        <v>13</v>
      </c>
      <c r="M124" s="1"/>
      <c r="N124" s="1"/>
      <c r="O124" t="s">
        <v>66</v>
      </c>
      <c r="P124" t="s">
        <v>236</v>
      </c>
      <c r="Q124" t="s">
        <v>93</v>
      </c>
      <c r="R124" t="s">
        <v>85</v>
      </c>
      <c r="S124" t="s">
        <v>85</v>
      </c>
      <c r="T124" t="s">
        <v>234</v>
      </c>
      <c r="U124" t="s">
        <v>235</v>
      </c>
      <c r="V124" t="str">
        <f>VLOOKUP(Table_Query_from_Reporte_1[[#This Row],[Asset_ID]],B:C,2,TRUE)</f>
        <v>FORD</v>
      </c>
    </row>
    <row r="125" spans="5:22" x14ac:dyDescent="0.25">
      <c r="E125">
        <v>6067</v>
      </c>
      <c r="F125">
        <v>42</v>
      </c>
      <c r="G125" t="s">
        <v>208</v>
      </c>
      <c r="H125" t="s">
        <v>24</v>
      </c>
      <c r="I125" s="1">
        <v>43403.333333333336</v>
      </c>
      <c r="J125">
        <v>241</v>
      </c>
      <c r="K125">
        <v>124</v>
      </c>
      <c r="L125">
        <v>18.3</v>
      </c>
      <c r="M125" s="1"/>
      <c r="N125" s="1"/>
      <c r="O125" t="s">
        <v>66</v>
      </c>
      <c r="P125" t="s">
        <v>236</v>
      </c>
      <c r="Q125" t="s">
        <v>96</v>
      </c>
      <c r="R125" t="s">
        <v>90</v>
      </c>
      <c r="S125" t="s">
        <v>82</v>
      </c>
      <c r="T125" t="s">
        <v>234</v>
      </c>
      <c r="U125" t="s">
        <v>235</v>
      </c>
      <c r="V125" t="str">
        <f>VLOOKUP(Table_Query_from_Reporte_1[[#This Row],[Asset_ID]],B:C,2,TRUE)</f>
        <v>FORD</v>
      </c>
    </row>
    <row r="126" spans="5:22" x14ac:dyDescent="0.25">
      <c r="E126">
        <v>6211</v>
      </c>
      <c r="F126">
        <v>42</v>
      </c>
      <c r="G126" t="s">
        <v>208</v>
      </c>
      <c r="H126" t="s">
        <v>21</v>
      </c>
      <c r="I126" s="1">
        <v>43403.625</v>
      </c>
      <c r="J126">
        <v>240</v>
      </c>
      <c r="K126">
        <v>133</v>
      </c>
      <c r="L126">
        <v>3</v>
      </c>
      <c r="M126" s="1"/>
      <c r="N126" s="1"/>
      <c r="O126" t="s">
        <v>66</v>
      </c>
      <c r="P126" t="s">
        <v>236</v>
      </c>
      <c r="Q126" t="s">
        <v>86</v>
      </c>
      <c r="R126" t="s">
        <v>87</v>
      </c>
      <c r="S126" t="s">
        <v>82</v>
      </c>
      <c r="T126" t="s">
        <v>234</v>
      </c>
      <c r="U126" t="s">
        <v>164</v>
      </c>
      <c r="V126" t="str">
        <f>VLOOKUP(Table_Query_from_Reporte_1[[#This Row],[Asset_ID]],B:C,2,TRUE)</f>
        <v>FORD</v>
      </c>
    </row>
    <row r="127" spans="5:22" x14ac:dyDescent="0.25">
      <c r="E127">
        <v>6213</v>
      </c>
      <c r="F127">
        <v>42</v>
      </c>
      <c r="G127" t="s">
        <v>208</v>
      </c>
      <c r="H127" t="s">
        <v>21</v>
      </c>
      <c r="I127" s="1">
        <v>43403.666666666664</v>
      </c>
      <c r="J127">
        <v>240</v>
      </c>
      <c r="K127">
        <v>133</v>
      </c>
      <c r="L127">
        <v>3</v>
      </c>
      <c r="M127" s="1"/>
      <c r="N127" s="1"/>
      <c r="O127" t="s">
        <v>66</v>
      </c>
      <c r="P127" t="s">
        <v>236</v>
      </c>
      <c r="Q127" t="s">
        <v>86</v>
      </c>
      <c r="R127" t="s">
        <v>87</v>
      </c>
      <c r="S127" t="s">
        <v>82</v>
      </c>
      <c r="T127" t="s">
        <v>234</v>
      </c>
      <c r="U127" t="s">
        <v>164</v>
      </c>
      <c r="V127" t="str">
        <f>VLOOKUP(Table_Query_from_Reporte_1[[#This Row],[Asset_ID]],B:C,2,TRUE)</f>
        <v>FORD</v>
      </c>
    </row>
    <row r="128" spans="5:22" x14ac:dyDescent="0.25">
      <c r="E128">
        <v>6222</v>
      </c>
      <c r="F128">
        <v>42</v>
      </c>
      <c r="G128" t="s">
        <v>208</v>
      </c>
      <c r="H128" t="s">
        <v>21</v>
      </c>
      <c r="I128" s="1">
        <v>43403.75</v>
      </c>
      <c r="J128">
        <v>240</v>
      </c>
      <c r="K128">
        <v>133</v>
      </c>
      <c r="L128">
        <v>3</v>
      </c>
      <c r="M128" s="1"/>
      <c r="N128" s="1"/>
      <c r="O128" t="s">
        <v>66</v>
      </c>
      <c r="P128" t="s">
        <v>236</v>
      </c>
      <c r="Q128" t="s">
        <v>86</v>
      </c>
      <c r="R128" t="s">
        <v>87</v>
      </c>
      <c r="S128" t="s">
        <v>82</v>
      </c>
      <c r="T128" t="s">
        <v>234</v>
      </c>
      <c r="U128" t="s">
        <v>164</v>
      </c>
      <c r="V128" t="str">
        <f>VLOOKUP(Table_Query_from_Reporte_1[[#This Row],[Asset_ID]],B:C,2,TRUE)</f>
        <v>FORD</v>
      </c>
    </row>
    <row r="129" spans="5:22" x14ac:dyDescent="0.25">
      <c r="E129">
        <v>6223</v>
      </c>
      <c r="F129">
        <v>42</v>
      </c>
      <c r="G129" t="s">
        <v>208</v>
      </c>
      <c r="H129" t="s">
        <v>21</v>
      </c>
      <c r="I129" s="1">
        <v>43403.75</v>
      </c>
      <c r="J129">
        <v>240</v>
      </c>
      <c r="K129">
        <v>103</v>
      </c>
      <c r="L129">
        <v>3</v>
      </c>
      <c r="M129" s="1"/>
      <c r="N129" s="1"/>
      <c r="O129" t="s">
        <v>66</v>
      </c>
      <c r="P129" t="s">
        <v>236</v>
      </c>
      <c r="Q129" t="s">
        <v>145</v>
      </c>
      <c r="R129" t="s">
        <v>103</v>
      </c>
      <c r="S129" t="s">
        <v>82</v>
      </c>
      <c r="T129" t="s">
        <v>234</v>
      </c>
      <c r="U129" t="s">
        <v>164</v>
      </c>
      <c r="V129" t="str">
        <f>VLOOKUP(Table_Query_from_Reporte_1[[#This Row],[Asset_ID]],B:C,2,TRUE)</f>
        <v>FORD</v>
      </c>
    </row>
    <row r="130" spans="5:22" x14ac:dyDescent="0.25">
      <c r="E130">
        <v>6224</v>
      </c>
      <c r="F130">
        <v>42</v>
      </c>
      <c r="G130" t="s">
        <v>208</v>
      </c>
      <c r="H130" t="s">
        <v>21</v>
      </c>
      <c r="I130" s="1">
        <v>43403.75</v>
      </c>
      <c r="J130">
        <v>240</v>
      </c>
      <c r="K130">
        <v>166</v>
      </c>
      <c r="L130">
        <v>5.07</v>
      </c>
      <c r="M130" s="1"/>
      <c r="N130" s="1"/>
      <c r="O130" t="s">
        <v>66</v>
      </c>
      <c r="P130" t="s">
        <v>236</v>
      </c>
      <c r="Q130" t="s">
        <v>105</v>
      </c>
      <c r="R130" t="s">
        <v>104</v>
      </c>
      <c r="S130" t="s">
        <v>104</v>
      </c>
      <c r="T130" t="s">
        <v>234</v>
      </c>
      <c r="U130" t="s">
        <v>164</v>
      </c>
      <c r="V130" t="str">
        <f>VLOOKUP(Table_Query_from_Reporte_1[[#This Row],[Asset_ID]],B:C,2,TRUE)</f>
        <v>FORD</v>
      </c>
    </row>
    <row r="131" spans="5:22" x14ac:dyDescent="0.25">
      <c r="E131">
        <v>6248</v>
      </c>
      <c r="F131">
        <v>42</v>
      </c>
      <c r="G131" t="s">
        <v>208</v>
      </c>
      <c r="H131" t="s">
        <v>21</v>
      </c>
      <c r="I131" s="1">
        <v>43403.791666666664</v>
      </c>
      <c r="J131">
        <v>240</v>
      </c>
      <c r="K131">
        <v>133</v>
      </c>
      <c r="L131">
        <v>2.46</v>
      </c>
      <c r="M131" s="1"/>
      <c r="N131" s="1"/>
      <c r="O131" t="s">
        <v>66</v>
      </c>
      <c r="P131" t="s">
        <v>236</v>
      </c>
      <c r="Q131" t="s">
        <v>86</v>
      </c>
      <c r="R131" t="s">
        <v>87</v>
      </c>
      <c r="S131" t="s">
        <v>82</v>
      </c>
      <c r="T131" t="s">
        <v>234</v>
      </c>
      <c r="U131" t="s">
        <v>164</v>
      </c>
      <c r="V131" t="str">
        <f>VLOOKUP(Table_Query_from_Reporte_1[[#This Row],[Asset_ID]],B:C,2,TRUE)</f>
        <v>FORD</v>
      </c>
    </row>
    <row r="132" spans="5:22" x14ac:dyDescent="0.25">
      <c r="E132">
        <v>6268</v>
      </c>
      <c r="F132">
        <v>42</v>
      </c>
      <c r="G132" t="s">
        <v>208</v>
      </c>
      <c r="H132" t="s">
        <v>21</v>
      </c>
      <c r="I132" s="1">
        <v>43403.833333333336</v>
      </c>
      <c r="J132">
        <v>240</v>
      </c>
      <c r="K132">
        <v>133</v>
      </c>
      <c r="L132">
        <v>2.0499999999999998</v>
      </c>
      <c r="M132" s="1"/>
      <c r="N132" s="1"/>
      <c r="O132" t="s">
        <v>66</v>
      </c>
      <c r="P132" t="s">
        <v>236</v>
      </c>
      <c r="Q132" t="s">
        <v>86</v>
      </c>
      <c r="R132" t="s">
        <v>87</v>
      </c>
      <c r="S132" t="s">
        <v>82</v>
      </c>
      <c r="T132" t="s">
        <v>234</v>
      </c>
      <c r="U132" t="s">
        <v>164</v>
      </c>
      <c r="V132" t="str">
        <f>VLOOKUP(Table_Query_from_Reporte_1[[#This Row],[Asset_ID]],B:C,2,TRUE)</f>
        <v>FORD</v>
      </c>
    </row>
    <row r="133" spans="5:22" x14ac:dyDescent="0.25">
      <c r="E133">
        <v>6212</v>
      </c>
      <c r="F133">
        <v>42</v>
      </c>
      <c r="G133" t="s">
        <v>208</v>
      </c>
      <c r="H133" t="s">
        <v>21</v>
      </c>
      <c r="I133" s="1">
        <v>43403.625</v>
      </c>
      <c r="J133">
        <v>241</v>
      </c>
      <c r="K133">
        <v>124</v>
      </c>
      <c r="L133">
        <v>9.3000000000000007</v>
      </c>
      <c r="M133" s="1"/>
      <c r="N133" s="1"/>
      <c r="O133" t="s">
        <v>66</v>
      </c>
      <c r="P133" t="s">
        <v>236</v>
      </c>
      <c r="Q133" t="s">
        <v>96</v>
      </c>
      <c r="R133" t="s">
        <v>90</v>
      </c>
      <c r="S133" t="s">
        <v>82</v>
      </c>
      <c r="T133" t="s">
        <v>234</v>
      </c>
      <c r="U133" t="s">
        <v>235</v>
      </c>
      <c r="V133" t="str">
        <f>VLOOKUP(Table_Query_from_Reporte_1[[#This Row],[Asset_ID]],B:C,2,TRUE)</f>
        <v>FORD</v>
      </c>
    </row>
    <row r="134" spans="5:22" x14ac:dyDescent="0.25">
      <c r="E134">
        <v>6214</v>
      </c>
      <c r="F134">
        <v>42</v>
      </c>
      <c r="G134" t="s">
        <v>208</v>
      </c>
      <c r="H134" t="s">
        <v>21</v>
      </c>
      <c r="I134" s="1">
        <v>43403.666666666664</v>
      </c>
      <c r="J134">
        <v>241</v>
      </c>
      <c r="K134">
        <v>164</v>
      </c>
      <c r="L134">
        <v>6.84</v>
      </c>
      <c r="M134" s="1"/>
      <c r="N134" s="1"/>
      <c r="O134" t="s">
        <v>66</v>
      </c>
      <c r="P134" t="s">
        <v>236</v>
      </c>
      <c r="Q134" t="s">
        <v>162</v>
      </c>
      <c r="R134" t="s">
        <v>104</v>
      </c>
      <c r="S134" t="s">
        <v>104</v>
      </c>
      <c r="T134" t="s">
        <v>234</v>
      </c>
      <c r="U134" t="s">
        <v>235</v>
      </c>
      <c r="V134" t="str">
        <f>VLOOKUP(Table_Query_from_Reporte_1[[#This Row],[Asset_ID]],B:C,2,TRUE)</f>
        <v>FORD</v>
      </c>
    </row>
    <row r="135" spans="5:22" x14ac:dyDescent="0.25">
      <c r="E135">
        <v>6037</v>
      </c>
      <c r="F135">
        <v>43</v>
      </c>
      <c r="G135" t="s">
        <v>208</v>
      </c>
      <c r="H135" t="s">
        <v>24</v>
      </c>
      <c r="I135" s="1">
        <v>43403.25</v>
      </c>
      <c r="J135">
        <v>244</v>
      </c>
      <c r="K135">
        <v>148</v>
      </c>
      <c r="L135">
        <v>1.1000000000000001</v>
      </c>
      <c r="M135" s="1"/>
      <c r="N135" s="1"/>
      <c r="O135" t="s">
        <v>66</v>
      </c>
      <c r="P135" t="s">
        <v>239</v>
      </c>
      <c r="Q135" t="s">
        <v>237</v>
      </c>
      <c r="R135" t="s">
        <v>238</v>
      </c>
      <c r="S135" t="s">
        <v>238</v>
      </c>
      <c r="T135" t="s">
        <v>234</v>
      </c>
      <c r="U135" t="s">
        <v>240</v>
      </c>
      <c r="V135" t="str">
        <f>VLOOKUP(Table_Query_from_Reporte_1[[#This Row],[Asset_ID]],B:C,2,TRUE)</f>
        <v>FORD</v>
      </c>
    </row>
    <row r="136" spans="5:22" x14ac:dyDescent="0.25">
      <c r="E136">
        <v>6053</v>
      </c>
      <c r="F136">
        <v>43</v>
      </c>
      <c r="G136" t="s">
        <v>208</v>
      </c>
      <c r="H136" t="s">
        <v>24</v>
      </c>
      <c r="I136" s="1">
        <v>43403.291666666664</v>
      </c>
      <c r="J136">
        <v>244</v>
      </c>
      <c r="K136">
        <v>148</v>
      </c>
      <c r="L136">
        <v>1.5</v>
      </c>
      <c r="M136" s="1"/>
      <c r="N136" s="1"/>
      <c r="O136" t="s">
        <v>66</v>
      </c>
      <c r="P136" t="s">
        <v>239</v>
      </c>
      <c r="Q136" t="s">
        <v>237</v>
      </c>
      <c r="R136" t="s">
        <v>238</v>
      </c>
      <c r="S136" t="s">
        <v>238</v>
      </c>
      <c r="T136" t="s">
        <v>234</v>
      </c>
      <c r="U136" t="s">
        <v>240</v>
      </c>
      <c r="V136" t="str">
        <f>VLOOKUP(Table_Query_from_Reporte_1[[#This Row],[Asset_ID]],B:C,2,TRUE)</f>
        <v>FORD</v>
      </c>
    </row>
    <row r="137" spans="5:22" x14ac:dyDescent="0.25">
      <c r="E137">
        <v>6066</v>
      </c>
      <c r="F137">
        <v>43</v>
      </c>
      <c r="G137" t="s">
        <v>208</v>
      </c>
      <c r="H137" t="s">
        <v>24</v>
      </c>
      <c r="I137" s="1">
        <v>43403.333333333336</v>
      </c>
      <c r="J137">
        <v>244</v>
      </c>
      <c r="K137">
        <v>148</v>
      </c>
      <c r="L137">
        <v>1.5</v>
      </c>
      <c r="M137" s="1"/>
      <c r="N137" s="1"/>
      <c r="O137" t="s">
        <v>66</v>
      </c>
      <c r="P137" t="s">
        <v>239</v>
      </c>
      <c r="Q137" t="s">
        <v>237</v>
      </c>
      <c r="R137" t="s">
        <v>238</v>
      </c>
      <c r="S137" t="s">
        <v>238</v>
      </c>
      <c r="T137" t="s">
        <v>234</v>
      </c>
      <c r="U137" t="s">
        <v>240</v>
      </c>
      <c r="V137" t="str">
        <f>VLOOKUP(Table_Query_from_Reporte_1[[#This Row],[Asset_ID]],B:C,2,TRUE)</f>
        <v>FORD</v>
      </c>
    </row>
    <row r="138" spans="5:22" x14ac:dyDescent="0.25">
      <c r="E138">
        <v>6093</v>
      </c>
      <c r="F138">
        <v>43</v>
      </c>
      <c r="G138" t="s">
        <v>208</v>
      </c>
      <c r="H138" t="s">
        <v>24</v>
      </c>
      <c r="I138" s="1">
        <v>43403.416666666664</v>
      </c>
      <c r="J138">
        <v>244</v>
      </c>
      <c r="K138">
        <v>148</v>
      </c>
      <c r="L138">
        <v>1.3</v>
      </c>
      <c r="M138" s="1"/>
      <c r="N138" s="1"/>
      <c r="O138" t="s">
        <v>66</v>
      </c>
      <c r="P138" t="s">
        <v>239</v>
      </c>
      <c r="Q138" t="s">
        <v>237</v>
      </c>
      <c r="R138" t="s">
        <v>238</v>
      </c>
      <c r="S138" t="s">
        <v>238</v>
      </c>
      <c r="T138" t="s">
        <v>234</v>
      </c>
      <c r="U138" t="s">
        <v>240</v>
      </c>
      <c r="V138" t="str">
        <f>VLOOKUP(Table_Query_from_Reporte_1[[#This Row],[Asset_ID]],B:C,2,TRUE)</f>
        <v>FORD</v>
      </c>
    </row>
    <row r="139" spans="5:22" x14ac:dyDescent="0.25">
      <c r="E139">
        <v>6109</v>
      </c>
      <c r="F139">
        <v>43</v>
      </c>
      <c r="G139" t="s">
        <v>208</v>
      </c>
      <c r="H139" t="s">
        <v>24</v>
      </c>
      <c r="I139" s="1">
        <v>43403.458333333336</v>
      </c>
      <c r="J139">
        <v>244</v>
      </c>
      <c r="K139">
        <v>148</v>
      </c>
      <c r="L139">
        <v>1.5</v>
      </c>
      <c r="M139" s="1"/>
      <c r="N139" s="1"/>
      <c r="O139" t="s">
        <v>66</v>
      </c>
      <c r="P139" t="s">
        <v>239</v>
      </c>
      <c r="Q139" t="s">
        <v>237</v>
      </c>
      <c r="R139" t="s">
        <v>238</v>
      </c>
      <c r="S139" t="s">
        <v>238</v>
      </c>
      <c r="T139" t="s">
        <v>234</v>
      </c>
      <c r="U139" t="s">
        <v>240</v>
      </c>
      <c r="V139" t="str">
        <f>VLOOKUP(Table_Query_from_Reporte_1[[#This Row],[Asset_ID]],B:C,2,TRUE)</f>
        <v>FORD</v>
      </c>
    </row>
    <row r="140" spans="5:22" x14ac:dyDescent="0.25">
      <c r="E140">
        <v>6137</v>
      </c>
      <c r="F140">
        <v>43</v>
      </c>
      <c r="G140" t="s">
        <v>208</v>
      </c>
      <c r="H140" t="s">
        <v>24</v>
      </c>
      <c r="I140" s="1">
        <v>43403.5</v>
      </c>
      <c r="J140">
        <v>244</v>
      </c>
      <c r="K140">
        <v>148</v>
      </c>
      <c r="L140">
        <v>1.5</v>
      </c>
      <c r="M140" s="1"/>
      <c r="N140" s="1"/>
      <c r="O140" t="s">
        <v>66</v>
      </c>
      <c r="P140" t="s">
        <v>239</v>
      </c>
      <c r="Q140" t="s">
        <v>237</v>
      </c>
      <c r="R140" t="s">
        <v>238</v>
      </c>
      <c r="S140" t="s">
        <v>238</v>
      </c>
      <c r="T140" t="s">
        <v>234</v>
      </c>
      <c r="U140" t="s">
        <v>240</v>
      </c>
      <c r="V140" t="str">
        <f>VLOOKUP(Table_Query_from_Reporte_1[[#This Row],[Asset_ID]],B:C,2,TRUE)</f>
        <v>FORD</v>
      </c>
    </row>
    <row r="141" spans="5:22" x14ac:dyDescent="0.25">
      <c r="E141">
        <v>6140</v>
      </c>
      <c r="F141">
        <v>43</v>
      </c>
      <c r="G141" t="s">
        <v>208</v>
      </c>
      <c r="H141" t="s">
        <v>24</v>
      </c>
      <c r="I141" s="1">
        <v>43403.541666666664</v>
      </c>
      <c r="J141">
        <v>244</v>
      </c>
      <c r="K141">
        <v>18</v>
      </c>
      <c r="L141">
        <v>8.6</v>
      </c>
      <c r="M141" s="1"/>
      <c r="N141" s="1"/>
      <c r="O141" t="s">
        <v>66</v>
      </c>
      <c r="P141" t="s">
        <v>239</v>
      </c>
      <c r="Q141" t="s">
        <v>97</v>
      </c>
      <c r="R141" t="s">
        <v>85</v>
      </c>
      <c r="S141" t="s">
        <v>85</v>
      </c>
      <c r="T141" t="s">
        <v>234</v>
      </c>
      <c r="U141" t="s">
        <v>240</v>
      </c>
      <c r="V141" t="str">
        <f>VLOOKUP(Table_Query_from_Reporte_1[[#This Row],[Asset_ID]],B:C,2,TRUE)</f>
        <v>FORD</v>
      </c>
    </row>
    <row r="142" spans="5:22" x14ac:dyDescent="0.25">
      <c r="E142">
        <v>6141</v>
      </c>
      <c r="F142">
        <v>43</v>
      </c>
      <c r="G142" t="s">
        <v>208</v>
      </c>
      <c r="H142" t="s">
        <v>24</v>
      </c>
      <c r="I142" s="1">
        <v>43403.541666666664</v>
      </c>
      <c r="J142">
        <v>244</v>
      </c>
      <c r="K142">
        <v>148</v>
      </c>
      <c r="L142">
        <v>1.4</v>
      </c>
      <c r="M142" s="1"/>
      <c r="N142" s="1"/>
      <c r="O142" t="s">
        <v>66</v>
      </c>
      <c r="P142" t="s">
        <v>239</v>
      </c>
      <c r="Q142" t="s">
        <v>237</v>
      </c>
      <c r="R142" t="s">
        <v>238</v>
      </c>
      <c r="S142" t="s">
        <v>238</v>
      </c>
      <c r="T142" t="s">
        <v>234</v>
      </c>
      <c r="U142" t="s">
        <v>240</v>
      </c>
      <c r="V142" t="str">
        <f>VLOOKUP(Table_Query_from_Reporte_1[[#This Row],[Asset_ID]],B:C,2,TRUE)</f>
        <v>FORD</v>
      </c>
    </row>
    <row r="143" spans="5:22" x14ac:dyDescent="0.25">
      <c r="E143">
        <v>6246</v>
      </c>
      <c r="F143">
        <v>43</v>
      </c>
      <c r="G143" t="s">
        <v>208</v>
      </c>
      <c r="H143" t="s">
        <v>21</v>
      </c>
      <c r="I143" s="1">
        <v>43403.791666666664</v>
      </c>
      <c r="J143">
        <v>244</v>
      </c>
      <c r="K143">
        <v>133</v>
      </c>
      <c r="L143">
        <v>4</v>
      </c>
      <c r="M143" s="1"/>
      <c r="N143" s="1"/>
      <c r="O143" t="s">
        <v>66</v>
      </c>
      <c r="P143" t="s">
        <v>239</v>
      </c>
      <c r="Q143" t="s">
        <v>86</v>
      </c>
      <c r="R143" t="s">
        <v>87</v>
      </c>
      <c r="S143" t="s">
        <v>82</v>
      </c>
      <c r="T143" t="s">
        <v>234</v>
      </c>
      <c r="U143" t="s">
        <v>240</v>
      </c>
      <c r="V143" t="str">
        <f>VLOOKUP(Table_Query_from_Reporte_1[[#This Row],[Asset_ID]],B:C,2,TRUE)</f>
        <v>FORD</v>
      </c>
    </row>
    <row r="144" spans="5:22" x14ac:dyDescent="0.25">
      <c r="E144">
        <v>6247</v>
      </c>
      <c r="F144">
        <v>43</v>
      </c>
      <c r="G144" t="s">
        <v>208</v>
      </c>
      <c r="H144" t="s">
        <v>21</v>
      </c>
      <c r="I144" s="1">
        <v>43403.791666666664</v>
      </c>
      <c r="J144">
        <v>248</v>
      </c>
      <c r="K144">
        <v>124</v>
      </c>
      <c r="L144">
        <v>8.09</v>
      </c>
      <c r="M144" s="1"/>
      <c r="N144" s="1"/>
      <c r="O144" t="s">
        <v>66</v>
      </c>
      <c r="P144" t="s">
        <v>239</v>
      </c>
      <c r="Q144" t="s">
        <v>96</v>
      </c>
      <c r="R144" t="s">
        <v>90</v>
      </c>
      <c r="S144" t="s">
        <v>82</v>
      </c>
      <c r="T144" t="s">
        <v>175</v>
      </c>
      <c r="U144" t="s">
        <v>241</v>
      </c>
      <c r="V144" t="str">
        <f>VLOOKUP(Table_Query_from_Reporte_1[[#This Row],[Asset_ID]],B:C,2,TRUE)</f>
        <v>FORD</v>
      </c>
    </row>
    <row r="145" spans="5:22" x14ac:dyDescent="0.25">
      <c r="E145">
        <v>6146</v>
      </c>
      <c r="F145">
        <v>44</v>
      </c>
      <c r="G145" t="s">
        <v>208</v>
      </c>
      <c r="H145" t="s">
        <v>24</v>
      </c>
      <c r="I145" s="1">
        <v>43403.541666666664</v>
      </c>
      <c r="J145">
        <v>288</v>
      </c>
      <c r="K145">
        <v>87</v>
      </c>
      <c r="L145">
        <v>9.8000000000000007</v>
      </c>
      <c r="M145" s="1"/>
      <c r="N145" s="1"/>
      <c r="O145" t="s">
        <v>66</v>
      </c>
      <c r="P145" t="s">
        <v>242</v>
      </c>
      <c r="Q145" t="s">
        <v>212</v>
      </c>
      <c r="R145" t="s">
        <v>92</v>
      </c>
      <c r="S145" t="s">
        <v>82</v>
      </c>
      <c r="T145" t="s">
        <v>175</v>
      </c>
      <c r="U145" t="s">
        <v>175</v>
      </c>
      <c r="V145" t="str">
        <f>VLOOKUP(Table_Query_from_Reporte_1[[#This Row],[Asset_ID]],B:C,2,TRUE)</f>
        <v>BUSHING</v>
      </c>
    </row>
    <row r="146" spans="5:22" x14ac:dyDescent="0.25">
      <c r="E146">
        <v>6166</v>
      </c>
      <c r="F146">
        <v>44</v>
      </c>
      <c r="G146" t="s">
        <v>208</v>
      </c>
      <c r="H146" t="s">
        <v>21</v>
      </c>
      <c r="I146" s="1">
        <v>43403.583333333336</v>
      </c>
      <c r="J146">
        <v>288</v>
      </c>
      <c r="K146">
        <v>87</v>
      </c>
      <c r="L146">
        <v>1</v>
      </c>
      <c r="M146" s="1"/>
      <c r="N146" s="1"/>
      <c r="O146" t="s">
        <v>66</v>
      </c>
      <c r="P146" t="s">
        <v>242</v>
      </c>
      <c r="Q146" t="s">
        <v>212</v>
      </c>
      <c r="R146" t="s">
        <v>92</v>
      </c>
      <c r="S146" t="s">
        <v>82</v>
      </c>
      <c r="T146" t="s">
        <v>175</v>
      </c>
      <c r="U146" t="s">
        <v>175</v>
      </c>
      <c r="V146" t="str">
        <f>VLOOKUP(Table_Query_from_Reporte_1[[#This Row],[Asset_ID]],B:C,2,TRUE)</f>
        <v>BUSHING</v>
      </c>
    </row>
    <row r="147" spans="5:22" x14ac:dyDescent="0.25">
      <c r="E147">
        <v>6182</v>
      </c>
      <c r="F147">
        <v>44</v>
      </c>
      <c r="G147" t="s">
        <v>208</v>
      </c>
      <c r="H147" t="s">
        <v>21</v>
      </c>
      <c r="I147" s="1">
        <v>43403.625</v>
      </c>
      <c r="J147">
        <v>288</v>
      </c>
      <c r="K147">
        <v>87</v>
      </c>
      <c r="L147">
        <v>3.8</v>
      </c>
      <c r="M147" s="1"/>
      <c r="N147" s="1"/>
      <c r="O147" t="s">
        <v>66</v>
      </c>
      <c r="P147" t="s">
        <v>242</v>
      </c>
      <c r="Q147" t="s">
        <v>212</v>
      </c>
      <c r="R147" t="s">
        <v>92</v>
      </c>
      <c r="S147" t="s">
        <v>82</v>
      </c>
      <c r="T147" t="s">
        <v>175</v>
      </c>
      <c r="U147" t="s">
        <v>175</v>
      </c>
      <c r="V147" t="str">
        <f>VLOOKUP(Table_Query_from_Reporte_1[[#This Row],[Asset_ID]],B:C,2,TRUE)</f>
        <v>BUSHING</v>
      </c>
    </row>
    <row r="148" spans="5:22" x14ac:dyDescent="0.25">
      <c r="E148">
        <v>6243</v>
      </c>
      <c r="F148">
        <v>44</v>
      </c>
      <c r="G148" t="s">
        <v>208</v>
      </c>
      <c r="H148" t="s">
        <v>21</v>
      </c>
      <c r="I148" s="1">
        <v>43403.791666666664</v>
      </c>
      <c r="J148">
        <v>288</v>
      </c>
      <c r="K148">
        <v>87</v>
      </c>
      <c r="L148">
        <v>9.1999999999999993</v>
      </c>
      <c r="M148" s="1"/>
      <c r="N148" s="1"/>
      <c r="O148" t="s">
        <v>66</v>
      </c>
      <c r="P148" t="s">
        <v>242</v>
      </c>
      <c r="Q148" t="s">
        <v>212</v>
      </c>
      <c r="R148" t="s">
        <v>92</v>
      </c>
      <c r="S148" t="s">
        <v>82</v>
      </c>
      <c r="T148" t="s">
        <v>175</v>
      </c>
      <c r="U148" t="s">
        <v>175</v>
      </c>
      <c r="V148" t="str">
        <f>VLOOKUP(Table_Query_from_Reporte_1[[#This Row],[Asset_ID]],B:C,2,TRUE)</f>
        <v>BUSHING</v>
      </c>
    </row>
    <row r="149" spans="5:22" x14ac:dyDescent="0.25">
      <c r="E149">
        <v>6252</v>
      </c>
      <c r="F149">
        <v>44</v>
      </c>
      <c r="G149" t="s">
        <v>208</v>
      </c>
      <c r="H149" t="s">
        <v>21</v>
      </c>
      <c r="I149" s="1">
        <v>43403.833333333336</v>
      </c>
      <c r="J149">
        <v>288</v>
      </c>
      <c r="K149">
        <v>94</v>
      </c>
      <c r="L149">
        <v>31.9</v>
      </c>
      <c r="M149" s="1"/>
      <c r="N149" s="1"/>
      <c r="O149" t="s">
        <v>215</v>
      </c>
      <c r="P149" t="s">
        <v>242</v>
      </c>
      <c r="Q149" t="s">
        <v>157</v>
      </c>
      <c r="R149" t="s">
        <v>103</v>
      </c>
      <c r="S149" t="s">
        <v>82</v>
      </c>
      <c r="T149" t="s">
        <v>175</v>
      </c>
      <c r="U149" t="s">
        <v>175</v>
      </c>
      <c r="V149" t="str">
        <f>VLOOKUP(Table_Query_from_Reporte_1[[#This Row],[Asset_ID]],B:C,2,TRUE)</f>
        <v>BUSHING</v>
      </c>
    </row>
    <row r="150" spans="5:22" x14ac:dyDescent="0.25">
      <c r="E150">
        <v>6276</v>
      </c>
      <c r="F150">
        <v>44</v>
      </c>
      <c r="G150" t="s">
        <v>208</v>
      </c>
      <c r="H150" t="s">
        <v>21</v>
      </c>
      <c r="I150" s="1">
        <v>43403.875</v>
      </c>
      <c r="J150">
        <v>288</v>
      </c>
      <c r="K150">
        <v>87</v>
      </c>
      <c r="L150">
        <v>6.9</v>
      </c>
      <c r="M150" s="1"/>
      <c r="N150" s="1"/>
      <c r="O150" t="s">
        <v>66</v>
      </c>
      <c r="P150" t="s">
        <v>242</v>
      </c>
      <c r="Q150" t="s">
        <v>212</v>
      </c>
      <c r="R150" t="s">
        <v>92</v>
      </c>
      <c r="S150" t="s">
        <v>82</v>
      </c>
      <c r="T150" t="s">
        <v>175</v>
      </c>
      <c r="U150" t="s">
        <v>175</v>
      </c>
      <c r="V150" t="str">
        <f>VLOOKUP(Table_Query_from_Reporte_1[[#This Row],[Asset_ID]],B:C,2,TRUE)</f>
        <v>BUSHING</v>
      </c>
    </row>
    <row r="151" spans="5:22" x14ac:dyDescent="0.25">
      <c r="E151">
        <v>6041</v>
      </c>
      <c r="F151">
        <v>45</v>
      </c>
      <c r="G151" t="s">
        <v>208</v>
      </c>
      <c r="H151" t="s">
        <v>24</v>
      </c>
      <c r="I151" s="1">
        <v>43403.25</v>
      </c>
      <c r="J151">
        <v>291</v>
      </c>
      <c r="K151">
        <v>87</v>
      </c>
      <c r="L151">
        <v>3.6</v>
      </c>
      <c r="M151" s="1"/>
      <c r="N151" s="1"/>
      <c r="O151" t="s">
        <v>66</v>
      </c>
      <c r="P151" t="s">
        <v>243</v>
      </c>
      <c r="Q151" t="s">
        <v>212</v>
      </c>
      <c r="R151" t="s">
        <v>92</v>
      </c>
      <c r="S151" t="s">
        <v>82</v>
      </c>
      <c r="T151" t="s">
        <v>175</v>
      </c>
      <c r="U151" t="s">
        <v>175</v>
      </c>
      <c r="V151" t="str">
        <f>VLOOKUP(Table_Query_from_Reporte_1[[#This Row],[Asset_ID]],B:C,2,TRUE)</f>
        <v>BUSHING</v>
      </c>
    </row>
    <row r="152" spans="5:22" x14ac:dyDescent="0.25">
      <c r="E152">
        <v>6042</v>
      </c>
      <c r="F152">
        <v>45</v>
      </c>
      <c r="G152" t="s">
        <v>208</v>
      </c>
      <c r="H152" t="s">
        <v>24</v>
      </c>
      <c r="I152" s="1">
        <v>43403.25</v>
      </c>
      <c r="J152">
        <v>291</v>
      </c>
      <c r="K152">
        <v>148</v>
      </c>
      <c r="L152">
        <v>4.3</v>
      </c>
      <c r="M152" s="1"/>
      <c r="N152" s="1"/>
      <c r="O152" t="s">
        <v>66</v>
      </c>
      <c r="P152" t="s">
        <v>243</v>
      </c>
      <c r="Q152" t="s">
        <v>237</v>
      </c>
      <c r="R152" t="s">
        <v>238</v>
      </c>
      <c r="S152" t="s">
        <v>238</v>
      </c>
      <c r="T152" t="s">
        <v>175</v>
      </c>
      <c r="U152" t="s">
        <v>175</v>
      </c>
      <c r="V152" t="str">
        <f>VLOOKUP(Table_Query_from_Reporte_1[[#This Row],[Asset_ID]],B:C,2,TRUE)</f>
        <v>BUSHING</v>
      </c>
    </row>
    <row r="153" spans="5:22" x14ac:dyDescent="0.25">
      <c r="E153">
        <v>6061</v>
      </c>
      <c r="F153">
        <v>45</v>
      </c>
      <c r="G153" t="s">
        <v>208</v>
      </c>
      <c r="H153" t="s">
        <v>24</v>
      </c>
      <c r="I153" s="1">
        <v>43403.291666666664</v>
      </c>
      <c r="J153">
        <v>291</v>
      </c>
      <c r="K153">
        <v>151</v>
      </c>
      <c r="L153">
        <v>21.3</v>
      </c>
      <c r="M153" s="1"/>
      <c r="N153" s="1"/>
      <c r="O153" t="s">
        <v>244</v>
      </c>
      <c r="P153" t="s">
        <v>243</v>
      </c>
      <c r="Q153" t="s">
        <v>245</v>
      </c>
      <c r="R153" t="s">
        <v>238</v>
      </c>
      <c r="S153" t="s">
        <v>238</v>
      </c>
      <c r="T153" t="s">
        <v>175</v>
      </c>
      <c r="U153" t="s">
        <v>175</v>
      </c>
      <c r="V153" t="str">
        <f>VLOOKUP(Table_Query_from_Reporte_1[[#This Row],[Asset_ID]],B:C,2,TRUE)</f>
        <v>BUSHING</v>
      </c>
    </row>
    <row r="154" spans="5:22" x14ac:dyDescent="0.25">
      <c r="E154">
        <v>6072</v>
      </c>
      <c r="F154">
        <v>45</v>
      </c>
      <c r="G154" t="s">
        <v>208</v>
      </c>
      <c r="H154" t="s">
        <v>24</v>
      </c>
      <c r="I154" s="1">
        <v>43403.333333333336</v>
      </c>
      <c r="J154">
        <v>291</v>
      </c>
      <c r="K154">
        <v>87</v>
      </c>
      <c r="L154">
        <v>7.7</v>
      </c>
      <c r="M154" s="1"/>
      <c r="N154" s="1"/>
      <c r="O154" t="s">
        <v>66</v>
      </c>
      <c r="P154" t="s">
        <v>243</v>
      </c>
      <c r="Q154" t="s">
        <v>212</v>
      </c>
      <c r="R154" t="s">
        <v>92</v>
      </c>
      <c r="S154" t="s">
        <v>82</v>
      </c>
      <c r="T154" t="s">
        <v>175</v>
      </c>
      <c r="U154" t="s">
        <v>175</v>
      </c>
      <c r="V154" t="str">
        <f>VLOOKUP(Table_Query_from_Reporte_1[[#This Row],[Asset_ID]],B:C,2,TRUE)</f>
        <v>BUSHING</v>
      </c>
    </row>
    <row r="155" spans="5:22" x14ac:dyDescent="0.25">
      <c r="E155">
        <v>6073</v>
      </c>
      <c r="F155">
        <v>45</v>
      </c>
      <c r="G155" t="s">
        <v>208</v>
      </c>
      <c r="H155" t="s">
        <v>24</v>
      </c>
      <c r="I155" s="1">
        <v>43403.333333333336</v>
      </c>
      <c r="J155">
        <v>291</v>
      </c>
      <c r="K155">
        <v>148</v>
      </c>
      <c r="L155">
        <v>4.4000000000000004</v>
      </c>
      <c r="M155" s="1"/>
      <c r="N155" s="1"/>
      <c r="O155" t="s">
        <v>66</v>
      </c>
      <c r="P155" t="s">
        <v>243</v>
      </c>
      <c r="Q155" t="s">
        <v>237</v>
      </c>
      <c r="R155" t="s">
        <v>238</v>
      </c>
      <c r="S155" t="s">
        <v>238</v>
      </c>
      <c r="T155" t="s">
        <v>175</v>
      </c>
      <c r="U155" t="s">
        <v>175</v>
      </c>
      <c r="V155" t="str">
        <f>VLOOKUP(Table_Query_from_Reporte_1[[#This Row],[Asset_ID]],B:C,2,TRUE)</f>
        <v>BUSHING</v>
      </c>
    </row>
    <row r="156" spans="5:22" x14ac:dyDescent="0.25">
      <c r="E156">
        <v>6090</v>
      </c>
      <c r="F156">
        <v>45</v>
      </c>
      <c r="G156" t="s">
        <v>208</v>
      </c>
      <c r="H156" t="s">
        <v>24</v>
      </c>
      <c r="I156" s="1">
        <v>43403.375</v>
      </c>
      <c r="J156">
        <v>291</v>
      </c>
      <c r="K156">
        <v>87</v>
      </c>
      <c r="L156">
        <v>4</v>
      </c>
      <c r="M156" s="1"/>
      <c r="N156" s="1"/>
      <c r="O156" t="s">
        <v>66</v>
      </c>
      <c r="P156" t="s">
        <v>243</v>
      </c>
      <c r="Q156" t="s">
        <v>212</v>
      </c>
      <c r="R156" t="s">
        <v>92</v>
      </c>
      <c r="S156" t="s">
        <v>82</v>
      </c>
      <c r="T156" t="s">
        <v>175</v>
      </c>
      <c r="U156" t="s">
        <v>175</v>
      </c>
      <c r="V156" t="str">
        <f>VLOOKUP(Table_Query_from_Reporte_1[[#This Row],[Asset_ID]],B:C,2,TRUE)</f>
        <v>BUSHING</v>
      </c>
    </row>
    <row r="157" spans="5:22" x14ac:dyDescent="0.25">
      <c r="E157">
        <v>6091</v>
      </c>
      <c r="F157">
        <v>45</v>
      </c>
      <c r="G157" t="s">
        <v>208</v>
      </c>
      <c r="H157" t="s">
        <v>24</v>
      </c>
      <c r="I157" s="1">
        <v>43403.416666666664</v>
      </c>
      <c r="J157">
        <v>291</v>
      </c>
      <c r="K157">
        <v>87</v>
      </c>
      <c r="L157">
        <v>2</v>
      </c>
      <c r="M157" s="1"/>
      <c r="N157" s="1"/>
      <c r="O157" t="s">
        <v>66</v>
      </c>
      <c r="P157" t="s">
        <v>243</v>
      </c>
      <c r="Q157" t="s">
        <v>212</v>
      </c>
      <c r="R157" t="s">
        <v>92</v>
      </c>
      <c r="S157" t="s">
        <v>82</v>
      </c>
      <c r="T157" t="s">
        <v>175</v>
      </c>
      <c r="U157" t="s">
        <v>175</v>
      </c>
      <c r="V157" t="str">
        <f>VLOOKUP(Table_Query_from_Reporte_1[[#This Row],[Asset_ID]],B:C,2,TRUE)</f>
        <v>BUSHING</v>
      </c>
    </row>
    <row r="158" spans="5:22" x14ac:dyDescent="0.25">
      <c r="E158">
        <v>6092</v>
      </c>
      <c r="F158">
        <v>45</v>
      </c>
      <c r="G158" t="s">
        <v>208</v>
      </c>
      <c r="H158" t="s">
        <v>24</v>
      </c>
      <c r="I158" s="1">
        <v>43403.416666666664</v>
      </c>
      <c r="J158">
        <v>291</v>
      </c>
      <c r="K158">
        <v>148</v>
      </c>
      <c r="L158">
        <v>4.4000000000000004</v>
      </c>
      <c r="M158" s="1"/>
      <c r="N158" s="1"/>
      <c r="O158" t="s">
        <v>66</v>
      </c>
      <c r="P158" t="s">
        <v>243</v>
      </c>
      <c r="Q158" t="s">
        <v>237</v>
      </c>
      <c r="R158" t="s">
        <v>238</v>
      </c>
      <c r="S158" t="s">
        <v>238</v>
      </c>
      <c r="T158" t="s">
        <v>175</v>
      </c>
      <c r="U158" t="s">
        <v>175</v>
      </c>
      <c r="V158" t="str">
        <f>VLOOKUP(Table_Query_from_Reporte_1[[#This Row],[Asset_ID]],B:C,2,TRUE)</f>
        <v>BUSHING</v>
      </c>
    </row>
    <row r="159" spans="5:22" x14ac:dyDescent="0.25">
      <c r="E159">
        <v>6120</v>
      </c>
      <c r="F159">
        <v>45</v>
      </c>
      <c r="G159" t="s">
        <v>208</v>
      </c>
      <c r="H159" t="s">
        <v>24</v>
      </c>
      <c r="I159" s="1">
        <v>43403.458333333336</v>
      </c>
      <c r="J159">
        <v>291</v>
      </c>
      <c r="K159">
        <v>148</v>
      </c>
      <c r="L159">
        <v>2.6</v>
      </c>
      <c r="M159" s="1"/>
      <c r="N159" s="1"/>
      <c r="O159" t="s">
        <v>66</v>
      </c>
      <c r="P159" t="s">
        <v>243</v>
      </c>
      <c r="Q159" t="s">
        <v>237</v>
      </c>
      <c r="R159" t="s">
        <v>238</v>
      </c>
      <c r="S159" t="s">
        <v>238</v>
      </c>
      <c r="T159" t="s">
        <v>175</v>
      </c>
      <c r="U159" t="s">
        <v>175</v>
      </c>
      <c r="V159" t="str">
        <f>VLOOKUP(Table_Query_from_Reporte_1[[#This Row],[Asset_ID]],B:C,2,TRUE)</f>
        <v>BUSHING</v>
      </c>
    </row>
    <row r="160" spans="5:22" x14ac:dyDescent="0.25">
      <c r="E160">
        <v>6133</v>
      </c>
      <c r="F160">
        <v>45</v>
      </c>
      <c r="G160" t="s">
        <v>208</v>
      </c>
      <c r="H160" t="s">
        <v>24</v>
      </c>
      <c r="I160" s="1">
        <v>43403.5</v>
      </c>
      <c r="J160">
        <v>291</v>
      </c>
      <c r="K160">
        <v>87</v>
      </c>
      <c r="L160">
        <v>2.8</v>
      </c>
      <c r="M160" s="1"/>
      <c r="N160" s="1"/>
      <c r="O160" t="s">
        <v>66</v>
      </c>
      <c r="P160" t="s">
        <v>243</v>
      </c>
      <c r="Q160" t="s">
        <v>212</v>
      </c>
      <c r="R160" t="s">
        <v>92</v>
      </c>
      <c r="S160" t="s">
        <v>82</v>
      </c>
      <c r="T160" t="s">
        <v>175</v>
      </c>
      <c r="U160" t="s">
        <v>175</v>
      </c>
      <c r="V160" t="str">
        <f>VLOOKUP(Table_Query_from_Reporte_1[[#This Row],[Asset_ID]],B:C,2,TRUE)</f>
        <v>BUSHING</v>
      </c>
    </row>
    <row r="161" spans="5:22" x14ac:dyDescent="0.25">
      <c r="E161">
        <v>6134</v>
      </c>
      <c r="F161">
        <v>45</v>
      </c>
      <c r="G161" t="s">
        <v>208</v>
      </c>
      <c r="H161" t="s">
        <v>24</v>
      </c>
      <c r="I161" s="1">
        <v>43403.5</v>
      </c>
      <c r="J161">
        <v>291</v>
      </c>
      <c r="K161">
        <v>148</v>
      </c>
      <c r="L161">
        <v>4.4000000000000004</v>
      </c>
      <c r="M161" s="1"/>
      <c r="N161" s="1"/>
      <c r="O161" t="s">
        <v>66</v>
      </c>
      <c r="P161" t="s">
        <v>243</v>
      </c>
      <c r="Q161" t="s">
        <v>237</v>
      </c>
      <c r="R161" t="s">
        <v>238</v>
      </c>
      <c r="S161" t="s">
        <v>238</v>
      </c>
      <c r="T161" t="s">
        <v>175</v>
      </c>
      <c r="U161" t="s">
        <v>175</v>
      </c>
      <c r="V161" t="str">
        <f>VLOOKUP(Table_Query_from_Reporte_1[[#This Row],[Asset_ID]],B:C,2,TRUE)</f>
        <v>BUSHING</v>
      </c>
    </row>
    <row r="162" spans="5:22" x14ac:dyDescent="0.25">
      <c r="E162">
        <v>6147</v>
      </c>
      <c r="F162">
        <v>45</v>
      </c>
      <c r="G162" t="s">
        <v>208</v>
      </c>
      <c r="H162" t="s">
        <v>24</v>
      </c>
      <c r="I162" s="1">
        <v>43403.541666666664</v>
      </c>
      <c r="J162">
        <v>291</v>
      </c>
      <c r="K162">
        <v>10</v>
      </c>
      <c r="L162">
        <v>27.7</v>
      </c>
      <c r="M162" s="1"/>
      <c r="N162" s="1"/>
      <c r="O162" t="s">
        <v>246</v>
      </c>
      <c r="P162" t="s">
        <v>243</v>
      </c>
      <c r="Q162" t="s">
        <v>247</v>
      </c>
      <c r="R162" t="s">
        <v>85</v>
      </c>
      <c r="S162" t="s">
        <v>85</v>
      </c>
      <c r="T162" t="s">
        <v>175</v>
      </c>
      <c r="U162" t="s">
        <v>175</v>
      </c>
      <c r="V162" t="str">
        <f>VLOOKUP(Table_Query_from_Reporte_1[[#This Row],[Asset_ID]],B:C,2,TRUE)</f>
        <v>BUSHING</v>
      </c>
    </row>
    <row r="163" spans="5:22" x14ac:dyDescent="0.25">
      <c r="E163">
        <v>6177</v>
      </c>
      <c r="F163">
        <v>45</v>
      </c>
      <c r="G163" t="s">
        <v>208</v>
      </c>
      <c r="H163" t="s">
        <v>21</v>
      </c>
      <c r="I163" s="1">
        <v>43403.583333333336</v>
      </c>
      <c r="J163">
        <v>291</v>
      </c>
      <c r="K163">
        <v>8</v>
      </c>
      <c r="L163">
        <v>10</v>
      </c>
      <c r="M163" s="1"/>
      <c r="N163" s="1"/>
      <c r="O163" t="s">
        <v>66</v>
      </c>
      <c r="P163" t="s">
        <v>243</v>
      </c>
      <c r="Q163" t="s">
        <v>248</v>
      </c>
      <c r="R163" t="s">
        <v>85</v>
      </c>
      <c r="S163" t="s">
        <v>85</v>
      </c>
      <c r="T163" t="s">
        <v>175</v>
      </c>
      <c r="U163" t="s">
        <v>175</v>
      </c>
      <c r="V163" t="str">
        <f>VLOOKUP(Table_Query_from_Reporte_1[[#This Row],[Asset_ID]],B:C,2,TRUE)</f>
        <v>BUSHING</v>
      </c>
    </row>
    <row r="164" spans="5:22" x14ac:dyDescent="0.25">
      <c r="E164">
        <v>6178</v>
      </c>
      <c r="F164">
        <v>45</v>
      </c>
      <c r="G164" t="s">
        <v>208</v>
      </c>
      <c r="H164" t="s">
        <v>21</v>
      </c>
      <c r="I164" s="1">
        <v>43403.583333333336</v>
      </c>
      <c r="J164">
        <v>291</v>
      </c>
      <c r="K164">
        <v>87</v>
      </c>
      <c r="L164">
        <v>8.6999999999999993</v>
      </c>
      <c r="M164" s="1"/>
      <c r="N164" s="1"/>
      <c r="O164" t="s">
        <v>66</v>
      </c>
      <c r="P164" t="s">
        <v>243</v>
      </c>
      <c r="Q164" t="s">
        <v>212</v>
      </c>
      <c r="R164" t="s">
        <v>92</v>
      </c>
      <c r="S164" t="s">
        <v>82</v>
      </c>
      <c r="T164" t="s">
        <v>175</v>
      </c>
      <c r="U164" t="s">
        <v>175</v>
      </c>
      <c r="V164" t="str">
        <f>VLOOKUP(Table_Query_from_Reporte_1[[#This Row],[Asset_ID]],B:C,2,TRUE)</f>
        <v>BUSHING</v>
      </c>
    </row>
    <row r="165" spans="5:22" x14ac:dyDescent="0.25">
      <c r="E165">
        <v>6179</v>
      </c>
      <c r="F165">
        <v>45</v>
      </c>
      <c r="G165" t="s">
        <v>208</v>
      </c>
      <c r="H165" t="s">
        <v>21</v>
      </c>
      <c r="I165" s="1">
        <v>43403.583333333336</v>
      </c>
      <c r="J165">
        <v>291</v>
      </c>
      <c r="K165">
        <v>151</v>
      </c>
      <c r="L165">
        <v>3.2</v>
      </c>
      <c r="M165" s="1"/>
      <c r="N165" s="1"/>
      <c r="O165" t="s">
        <v>66</v>
      </c>
      <c r="P165" t="s">
        <v>243</v>
      </c>
      <c r="Q165" t="s">
        <v>245</v>
      </c>
      <c r="R165" t="s">
        <v>238</v>
      </c>
      <c r="S165" t="s">
        <v>238</v>
      </c>
      <c r="T165" t="s">
        <v>175</v>
      </c>
      <c r="U165" t="s">
        <v>175</v>
      </c>
      <c r="V165" t="str">
        <f>VLOOKUP(Table_Query_from_Reporte_1[[#This Row],[Asset_ID]],B:C,2,TRUE)</f>
        <v>BUSHING</v>
      </c>
    </row>
    <row r="166" spans="5:22" x14ac:dyDescent="0.25">
      <c r="E166">
        <v>6183</v>
      </c>
      <c r="F166">
        <v>45</v>
      </c>
      <c r="G166" t="s">
        <v>208</v>
      </c>
      <c r="H166" t="s">
        <v>21</v>
      </c>
      <c r="I166" s="1">
        <v>43403.625</v>
      </c>
      <c r="J166">
        <v>291</v>
      </c>
      <c r="K166">
        <v>87</v>
      </c>
      <c r="L166">
        <v>2.9</v>
      </c>
      <c r="M166" s="1"/>
      <c r="N166" s="1"/>
      <c r="O166" t="s">
        <v>66</v>
      </c>
      <c r="P166" t="s">
        <v>243</v>
      </c>
      <c r="Q166" t="s">
        <v>212</v>
      </c>
      <c r="R166" t="s">
        <v>92</v>
      </c>
      <c r="S166" t="s">
        <v>82</v>
      </c>
      <c r="T166" t="s">
        <v>175</v>
      </c>
      <c r="U166" t="s">
        <v>175</v>
      </c>
      <c r="V166" t="str">
        <f>VLOOKUP(Table_Query_from_Reporte_1[[#This Row],[Asset_ID]],B:C,2,TRUE)</f>
        <v>BUSHING</v>
      </c>
    </row>
    <row r="167" spans="5:22" x14ac:dyDescent="0.25">
      <c r="E167">
        <v>6184</v>
      </c>
      <c r="F167">
        <v>45</v>
      </c>
      <c r="G167" t="s">
        <v>208</v>
      </c>
      <c r="H167" t="s">
        <v>21</v>
      </c>
      <c r="I167" s="1">
        <v>43403.625</v>
      </c>
      <c r="J167">
        <v>291</v>
      </c>
      <c r="K167">
        <v>148</v>
      </c>
      <c r="L167">
        <v>4.4000000000000004</v>
      </c>
      <c r="M167" s="1"/>
      <c r="N167" s="1"/>
      <c r="O167" t="s">
        <v>66</v>
      </c>
      <c r="P167" t="s">
        <v>243</v>
      </c>
      <c r="Q167" t="s">
        <v>237</v>
      </c>
      <c r="R167" t="s">
        <v>238</v>
      </c>
      <c r="S167" t="s">
        <v>238</v>
      </c>
      <c r="T167" t="s">
        <v>175</v>
      </c>
      <c r="U167" t="s">
        <v>175</v>
      </c>
      <c r="V167" t="str">
        <f>VLOOKUP(Table_Query_from_Reporte_1[[#This Row],[Asset_ID]],B:C,2,TRUE)</f>
        <v>BUSHING</v>
      </c>
    </row>
    <row r="168" spans="5:22" x14ac:dyDescent="0.25">
      <c r="E168">
        <v>6194</v>
      </c>
      <c r="F168">
        <v>45</v>
      </c>
      <c r="G168" t="s">
        <v>208</v>
      </c>
      <c r="H168" t="s">
        <v>21</v>
      </c>
      <c r="I168" s="1">
        <v>43403.666666666664</v>
      </c>
      <c r="J168">
        <v>291</v>
      </c>
      <c r="K168">
        <v>87</v>
      </c>
      <c r="L168">
        <v>5.8</v>
      </c>
      <c r="M168" s="1"/>
      <c r="N168" s="1"/>
      <c r="O168" t="s">
        <v>66</v>
      </c>
      <c r="P168" t="s">
        <v>243</v>
      </c>
      <c r="Q168" t="s">
        <v>212</v>
      </c>
      <c r="R168" t="s">
        <v>92</v>
      </c>
      <c r="S168" t="s">
        <v>82</v>
      </c>
      <c r="T168" t="s">
        <v>175</v>
      </c>
      <c r="U168" t="s">
        <v>175</v>
      </c>
      <c r="V168" t="str">
        <f>VLOOKUP(Table_Query_from_Reporte_1[[#This Row],[Asset_ID]],B:C,2,TRUE)</f>
        <v>BUSHING</v>
      </c>
    </row>
    <row r="169" spans="5:22" x14ac:dyDescent="0.25">
      <c r="E169">
        <v>6195</v>
      </c>
      <c r="F169">
        <v>45</v>
      </c>
      <c r="G169" t="s">
        <v>208</v>
      </c>
      <c r="H169" t="s">
        <v>21</v>
      </c>
      <c r="I169" s="1">
        <v>43403.666666666664</v>
      </c>
      <c r="J169">
        <v>291</v>
      </c>
      <c r="K169">
        <v>148</v>
      </c>
      <c r="L169">
        <v>4.2</v>
      </c>
      <c r="M169" s="1"/>
      <c r="N169" s="1"/>
      <c r="O169" t="s">
        <v>66</v>
      </c>
      <c r="P169" t="s">
        <v>243</v>
      </c>
      <c r="Q169" t="s">
        <v>237</v>
      </c>
      <c r="R169" t="s">
        <v>238</v>
      </c>
      <c r="S169" t="s">
        <v>238</v>
      </c>
      <c r="T169" t="s">
        <v>175</v>
      </c>
      <c r="U169" t="s">
        <v>175</v>
      </c>
      <c r="V169" t="str">
        <f>VLOOKUP(Table_Query_from_Reporte_1[[#This Row],[Asset_ID]],B:C,2,TRUE)</f>
        <v>BUSHING</v>
      </c>
    </row>
    <row r="170" spans="5:22" x14ac:dyDescent="0.25">
      <c r="E170">
        <v>6215</v>
      </c>
      <c r="F170">
        <v>45</v>
      </c>
      <c r="G170" t="s">
        <v>208</v>
      </c>
      <c r="H170" t="s">
        <v>21</v>
      </c>
      <c r="I170" s="1">
        <v>43403.708333333336</v>
      </c>
      <c r="J170">
        <v>291</v>
      </c>
      <c r="K170">
        <v>87</v>
      </c>
      <c r="L170">
        <v>6.6</v>
      </c>
      <c r="M170" s="1"/>
      <c r="N170" s="1"/>
      <c r="O170" t="s">
        <v>66</v>
      </c>
      <c r="P170" t="s">
        <v>243</v>
      </c>
      <c r="Q170" t="s">
        <v>212</v>
      </c>
      <c r="R170" t="s">
        <v>92</v>
      </c>
      <c r="S170" t="s">
        <v>82</v>
      </c>
      <c r="T170" t="s">
        <v>175</v>
      </c>
      <c r="U170" t="s">
        <v>175</v>
      </c>
      <c r="V170" t="str">
        <f>VLOOKUP(Table_Query_from_Reporte_1[[#This Row],[Asset_ID]],B:C,2,TRUE)</f>
        <v>BUSHING</v>
      </c>
    </row>
    <row r="171" spans="5:22" x14ac:dyDescent="0.25">
      <c r="E171">
        <v>6216</v>
      </c>
      <c r="F171">
        <v>45</v>
      </c>
      <c r="G171" t="s">
        <v>208</v>
      </c>
      <c r="H171" t="s">
        <v>21</v>
      </c>
      <c r="I171" s="1">
        <v>43403.708333333336</v>
      </c>
      <c r="J171">
        <v>291</v>
      </c>
      <c r="K171">
        <v>148</v>
      </c>
      <c r="L171">
        <v>1.8</v>
      </c>
      <c r="M171" s="1"/>
      <c r="N171" s="1"/>
      <c r="O171" t="s">
        <v>66</v>
      </c>
      <c r="P171" t="s">
        <v>243</v>
      </c>
      <c r="Q171" t="s">
        <v>237</v>
      </c>
      <c r="R171" t="s">
        <v>238</v>
      </c>
      <c r="S171" t="s">
        <v>238</v>
      </c>
      <c r="T171" t="s">
        <v>175</v>
      </c>
      <c r="U171" t="s">
        <v>175</v>
      </c>
      <c r="V171" t="str">
        <f>VLOOKUP(Table_Query_from_Reporte_1[[#This Row],[Asset_ID]],B:C,2,TRUE)</f>
        <v>BUSHING</v>
      </c>
    </row>
    <row r="172" spans="5:22" x14ac:dyDescent="0.25">
      <c r="E172">
        <v>6227</v>
      </c>
      <c r="F172">
        <v>45</v>
      </c>
      <c r="G172" t="s">
        <v>208</v>
      </c>
      <c r="H172" t="s">
        <v>21</v>
      </c>
      <c r="I172" s="1">
        <v>43403.75</v>
      </c>
      <c r="J172">
        <v>291</v>
      </c>
      <c r="K172">
        <v>151</v>
      </c>
      <c r="L172">
        <v>24.4</v>
      </c>
      <c r="M172" s="1"/>
      <c r="N172" s="1"/>
      <c r="O172" t="s">
        <v>249</v>
      </c>
      <c r="P172" t="s">
        <v>243</v>
      </c>
      <c r="Q172" t="s">
        <v>245</v>
      </c>
      <c r="R172" t="s">
        <v>238</v>
      </c>
      <c r="S172" t="s">
        <v>238</v>
      </c>
      <c r="T172" t="s">
        <v>175</v>
      </c>
      <c r="U172" t="s">
        <v>175</v>
      </c>
      <c r="V172" t="str">
        <f>VLOOKUP(Table_Query_from_Reporte_1[[#This Row],[Asset_ID]],B:C,2,TRUE)</f>
        <v>BUSHING</v>
      </c>
    </row>
    <row r="173" spans="5:22" x14ac:dyDescent="0.25">
      <c r="E173">
        <v>6241</v>
      </c>
      <c r="F173">
        <v>45</v>
      </c>
      <c r="G173" t="s">
        <v>208</v>
      </c>
      <c r="H173" t="s">
        <v>21</v>
      </c>
      <c r="I173" s="1">
        <v>43403.791666666664</v>
      </c>
      <c r="J173">
        <v>291</v>
      </c>
      <c r="K173">
        <v>87</v>
      </c>
      <c r="L173">
        <v>9.1</v>
      </c>
      <c r="M173" s="1"/>
      <c r="N173" s="1"/>
      <c r="O173" t="s">
        <v>66</v>
      </c>
      <c r="P173" t="s">
        <v>243</v>
      </c>
      <c r="Q173" t="s">
        <v>212</v>
      </c>
      <c r="R173" t="s">
        <v>92</v>
      </c>
      <c r="S173" t="s">
        <v>82</v>
      </c>
      <c r="T173" t="s">
        <v>175</v>
      </c>
      <c r="U173" t="s">
        <v>175</v>
      </c>
      <c r="V173" t="str">
        <f>VLOOKUP(Table_Query_from_Reporte_1[[#This Row],[Asset_ID]],B:C,2,TRUE)</f>
        <v>BUSHING</v>
      </c>
    </row>
    <row r="174" spans="5:22" x14ac:dyDescent="0.25">
      <c r="E174">
        <v>6242</v>
      </c>
      <c r="F174">
        <v>45</v>
      </c>
      <c r="G174" t="s">
        <v>208</v>
      </c>
      <c r="H174" t="s">
        <v>21</v>
      </c>
      <c r="I174" s="1">
        <v>43403.791666666664</v>
      </c>
      <c r="J174">
        <v>291</v>
      </c>
      <c r="K174">
        <v>148</v>
      </c>
      <c r="L174">
        <v>4</v>
      </c>
      <c r="M174" s="1"/>
      <c r="N174" s="1"/>
      <c r="O174" t="s">
        <v>66</v>
      </c>
      <c r="P174" t="s">
        <v>243</v>
      </c>
      <c r="Q174" t="s">
        <v>237</v>
      </c>
      <c r="R174" t="s">
        <v>238</v>
      </c>
      <c r="S174" t="s">
        <v>238</v>
      </c>
      <c r="T174" t="s">
        <v>175</v>
      </c>
      <c r="U174" t="s">
        <v>175</v>
      </c>
      <c r="V174" t="str">
        <f>VLOOKUP(Table_Query_from_Reporte_1[[#This Row],[Asset_ID]],B:C,2,TRUE)</f>
        <v>BUSHING</v>
      </c>
    </row>
    <row r="175" spans="5:22" x14ac:dyDescent="0.25">
      <c r="E175">
        <v>6254</v>
      </c>
      <c r="F175">
        <v>45</v>
      </c>
      <c r="G175" t="s">
        <v>208</v>
      </c>
      <c r="H175" t="s">
        <v>21</v>
      </c>
      <c r="I175" s="1">
        <v>43403.833333333336</v>
      </c>
      <c r="J175">
        <v>291</v>
      </c>
      <c r="K175">
        <v>94</v>
      </c>
      <c r="L175">
        <v>33</v>
      </c>
      <c r="M175" s="1"/>
      <c r="N175" s="1"/>
      <c r="O175" t="s">
        <v>215</v>
      </c>
      <c r="P175" t="s">
        <v>243</v>
      </c>
      <c r="Q175" t="s">
        <v>157</v>
      </c>
      <c r="R175" t="s">
        <v>103</v>
      </c>
      <c r="S175" t="s">
        <v>82</v>
      </c>
      <c r="T175" t="s">
        <v>175</v>
      </c>
      <c r="U175" t="s">
        <v>175</v>
      </c>
      <c r="V175" t="str">
        <f>VLOOKUP(Table_Query_from_Reporte_1[[#This Row],[Asset_ID]],B:C,2,TRUE)</f>
        <v>BUSHING</v>
      </c>
    </row>
    <row r="176" spans="5:22" x14ac:dyDescent="0.25">
      <c r="E176">
        <v>6275</v>
      </c>
      <c r="F176">
        <v>45</v>
      </c>
      <c r="G176" t="s">
        <v>208</v>
      </c>
      <c r="H176" t="s">
        <v>21</v>
      </c>
      <c r="I176" s="1">
        <v>43403.875</v>
      </c>
      <c r="J176">
        <v>291</v>
      </c>
      <c r="K176">
        <v>87</v>
      </c>
      <c r="L176">
        <v>6.9</v>
      </c>
      <c r="M176" s="1"/>
      <c r="N176" s="1"/>
      <c r="O176" t="s">
        <v>66</v>
      </c>
      <c r="P176" t="s">
        <v>243</v>
      </c>
      <c r="Q176" t="s">
        <v>212</v>
      </c>
      <c r="R176" t="s">
        <v>92</v>
      </c>
      <c r="S176" t="s">
        <v>82</v>
      </c>
      <c r="T176" t="s">
        <v>175</v>
      </c>
      <c r="U176" t="s">
        <v>175</v>
      </c>
      <c r="V176" t="str">
        <f>VLOOKUP(Table_Query_from_Reporte_1[[#This Row],[Asset_ID]],B:C,2,TRUE)</f>
        <v>BUSHING</v>
      </c>
    </row>
    <row r="177" spans="5:22" x14ac:dyDescent="0.25">
      <c r="E177">
        <v>6043</v>
      </c>
      <c r="F177">
        <v>46</v>
      </c>
      <c r="G177" t="s">
        <v>208</v>
      </c>
      <c r="H177" t="s">
        <v>24</v>
      </c>
      <c r="I177" s="1">
        <v>43403.25</v>
      </c>
      <c r="J177">
        <v>285</v>
      </c>
      <c r="K177">
        <v>87</v>
      </c>
      <c r="L177">
        <v>3.9</v>
      </c>
      <c r="M177" s="1"/>
      <c r="N177" s="1"/>
      <c r="O177" t="s">
        <v>66</v>
      </c>
      <c r="P177" t="s">
        <v>250</v>
      </c>
      <c r="Q177" t="s">
        <v>212</v>
      </c>
      <c r="R177" t="s">
        <v>92</v>
      </c>
      <c r="S177" t="s">
        <v>82</v>
      </c>
      <c r="T177" t="s">
        <v>251</v>
      </c>
      <c r="U177" t="s">
        <v>251</v>
      </c>
      <c r="V177" t="str">
        <f>VLOOKUP(Table_Query_from_Reporte_1[[#This Row],[Asset_ID]],B:C,2,TRUE)</f>
        <v>BUSHING</v>
      </c>
    </row>
    <row r="178" spans="5:22" x14ac:dyDescent="0.25">
      <c r="E178">
        <v>6044</v>
      </c>
      <c r="F178">
        <v>46</v>
      </c>
      <c r="G178" t="s">
        <v>208</v>
      </c>
      <c r="H178" t="s">
        <v>24</v>
      </c>
      <c r="I178" s="1">
        <v>43403.25</v>
      </c>
      <c r="J178">
        <v>285</v>
      </c>
      <c r="K178">
        <v>148</v>
      </c>
      <c r="L178">
        <v>1.4</v>
      </c>
      <c r="M178" s="1"/>
      <c r="N178" s="1"/>
      <c r="O178" t="s">
        <v>66</v>
      </c>
      <c r="P178" t="s">
        <v>250</v>
      </c>
      <c r="Q178" t="s">
        <v>237</v>
      </c>
      <c r="R178" t="s">
        <v>238</v>
      </c>
      <c r="S178" t="s">
        <v>238</v>
      </c>
      <c r="T178" t="s">
        <v>251</v>
      </c>
      <c r="U178" t="s">
        <v>251</v>
      </c>
      <c r="V178" t="str">
        <f>VLOOKUP(Table_Query_from_Reporte_1[[#This Row],[Asset_ID]],B:C,2,TRUE)</f>
        <v>BUSHING</v>
      </c>
    </row>
    <row r="179" spans="5:22" x14ac:dyDescent="0.25">
      <c r="E179">
        <v>6058</v>
      </c>
      <c r="F179">
        <v>46</v>
      </c>
      <c r="G179" t="s">
        <v>208</v>
      </c>
      <c r="H179" t="s">
        <v>24</v>
      </c>
      <c r="I179" s="1">
        <v>43403.291666666664</v>
      </c>
      <c r="J179">
        <v>285</v>
      </c>
      <c r="K179">
        <v>87</v>
      </c>
      <c r="L179">
        <v>8.9</v>
      </c>
      <c r="M179" s="1"/>
      <c r="N179" s="1"/>
      <c r="O179" t="s">
        <v>66</v>
      </c>
      <c r="P179" t="s">
        <v>250</v>
      </c>
      <c r="Q179" t="s">
        <v>212</v>
      </c>
      <c r="R179" t="s">
        <v>92</v>
      </c>
      <c r="S179" t="s">
        <v>82</v>
      </c>
      <c r="T179" t="s">
        <v>251</v>
      </c>
      <c r="U179" t="s">
        <v>251</v>
      </c>
      <c r="V179" t="str">
        <f>VLOOKUP(Table_Query_from_Reporte_1[[#This Row],[Asset_ID]],B:C,2,TRUE)</f>
        <v>BUSHING</v>
      </c>
    </row>
    <row r="180" spans="5:22" x14ac:dyDescent="0.25">
      <c r="E180">
        <v>6062</v>
      </c>
      <c r="F180">
        <v>46</v>
      </c>
      <c r="G180" t="s">
        <v>208</v>
      </c>
      <c r="H180" t="s">
        <v>24</v>
      </c>
      <c r="I180" s="1">
        <v>43403.291666666664</v>
      </c>
      <c r="J180">
        <v>285</v>
      </c>
      <c r="K180">
        <v>148</v>
      </c>
      <c r="L180">
        <v>1.3</v>
      </c>
      <c r="M180" s="1"/>
      <c r="N180" s="1"/>
      <c r="O180" t="s">
        <v>66</v>
      </c>
      <c r="P180" t="s">
        <v>250</v>
      </c>
      <c r="Q180" t="s">
        <v>237</v>
      </c>
      <c r="R180" t="s">
        <v>238</v>
      </c>
      <c r="S180" t="s">
        <v>238</v>
      </c>
      <c r="T180" t="s">
        <v>251</v>
      </c>
      <c r="U180" t="s">
        <v>251</v>
      </c>
      <c r="V180" t="str">
        <f>VLOOKUP(Table_Query_from_Reporte_1[[#This Row],[Asset_ID]],B:C,2,TRUE)</f>
        <v>BUSHING</v>
      </c>
    </row>
    <row r="181" spans="5:22" x14ac:dyDescent="0.25">
      <c r="E181">
        <v>6075</v>
      </c>
      <c r="F181">
        <v>46</v>
      </c>
      <c r="G181" t="s">
        <v>208</v>
      </c>
      <c r="H181" t="s">
        <v>24</v>
      </c>
      <c r="I181" s="1">
        <v>43403.333333333336</v>
      </c>
      <c r="J181">
        <v>285</v>
      </c>
      <c r="K181">
        <v>87</v>
      </c>
      <c r="L181">
        <v>4.7</v>
      </c>
      <c r="M181" s="1"/>
      <c r="N181" s="1"/>
      <c r="O181" t="s">
        <v>66</v>
      </c>
      <c r="P181" t="s">
        <v>250</v>
      </c>
      <c r="Q181" t="s">
        <v>212</v>
      </c>
      <c r="R181" t="s">
        <v>92</v>
      </c>
      <c r="S181" t="s">
        <v>82</v>
      </c>
      <c r="T181" t="s">
        <v>251</v>
      </c>
      <c r="U181" t="s">
        <v>251</v>
      </c>
      <c r="V181" t="str">
        <f>VLOOKUP(Table_Query_from_Reporte_1[[#This Row],[Asset_ID]],B:C,2,TRUE)</f>
        <v>BUSHING</v>
      </c>
    </row>
    <row r="182" spans="5:22" x14ac:dyDescent="0.25">
      <c r="E182">
        <v>6099</v>
      </c>
      <c r="F182">
        <v>46</v>
      </c>
      <c r="G182" t="s">
        <v>208</v>
      </c>
      <c r="H182" t="s">
        <v>24</v>
      </c>
      <c r="I182" s="1">
        <v>43403.416666666664</v>
      </c>
      <c r="J182">
        <v>285</v>
      </c>
      <c r="K182">
        <v>87</v>
      </c>
      <c r="L182">
        <v>7.8</v>
      </c>
      <c r="M182" s="1"/>
      <c r="N182" s="1"/>
      <c r="O182" t="s">
        <v>66</v>
      </c>
      <c r="P182" t="s">
        <v>250</v>
      </c>
      <c r="Q182" t="s">
        <v>212</v>
      </c>
      <c r="R182" t="s">
        <v>92</v>
      </c>
      <c r="S182" t="s">
        <v>82</v>
      </c>
      <c r="T182" t="s">
        <v>251</v>
      </c>
      <c r="U182" t="s">
        <v>251</v>
      </c>
      <c r="V182" t="str">
        <f>VLOOKUP(Table_Query_from_Reporte_1[[#This Row],[Asset_ID]],B:C,2,TRUE)</f>
        <v>BUSHING</v>
      </c>
    </row>
    <row r="183" spans="5:22" x14ac:dyDescent="0.25">
      <c r="E183">
        <v>6121</v>
      </c>
      <c r="F183">
        <v>46</v>
      </c>
      <c r="G183" t="s">
        <v>208</v>
      </c>
      <c r="H183" t="s">
        <v>24</v>
      </c>
      <c r="I183" s="1">
        <v>43403.458333333336</v>
      </c>
      <c r="J183">
        <v>285</v>
      </c>
      <c r="K183">
        <v>87</v>
      </c>
      <c r="L183">
        <v>8.9</v>
      </c>
      <c r="M183" s="1"/>
      <c r="N183" s="1"/>
      <c r="O183" t="s">
        <v>66</v>
      </c>
      <c r="P183" t="s">
        <v>250</v>
      </c>
      <c r="Q183" t="s">
        <v>212</v>
      </c>
      <c r="R183" t="s">
        <v>92</v>
      </c>
      <c r="S183" t="s">
        <v>82</v>
      </c>
      <c r="T183" t="s">
        <v>251</v>
      </c>
      <c r="U183" t="s">
        <v>251</v>
      </c>
      <c r="V183" t="str">
        <f>VLOOKUP(Table_Query_from_Reporte_1[[#This Row],[Asset_ID]],B:C,2,TRUE)</f>
        <v>BUSHING</v>
      </c>
    </row>
    <row r="184" spans="5:22" x14ac:dyDescent="0.25">
      <c r="E184">
        <v>6122</v>
      </c>
      <c r="F184">
        <v>46</v>
      </c>
      <c r="G184" t="s">
        <v>208</v>
      </c>
      <c r="H184" t="s">
        <v>24</v>
      </c>
      <c r="I184" s="1">
        <v>43403.458333333336</v>
      </c>
      <c r="J184">
        <v>285</v>
      </c>
      <c r="K184">
        <v>148</v>
      </c>
      <c r="L184">
        <v>1.3</v>
      </c>
      <c r="M184" s="1"/>
      <c r="N184" s="1"/>
      <c r="O184" t="s">
        <v>66</v>
      </c>
      <c r="P184" t="s">
        <v>250</v>
      </c>
      <c r="Q184" t="s">
        <v>237</v>
      </c>
      <c r="R184" t="s">
        <v>238</v>
      </c>
      <c r="S184" t="s">
        <v>238</v>
      </c>
      <c r="T184" t="s">
        <v>251</v>
      </c>
      <c r="U184" t="s">
        <v>251</v>
      </c>
      <c r="V184" t="str">
        <f>VLOOKUP(Table_Query_from_Reporte_1[[#This Row],[Asset_ID]],B:C,2,TRUE)</f>
        <v>BUSHING</v>
      </c>
    </row>
    <row r="185" spans="5:22" x14ac:dyDescent="0.25">
      <c r="E185">
        <v>6135</v>
      </c>
      <c r="F185">
        <v>46</v>
      </c>
      <c r="G185" t="s">
        <v>208</v>
      </c>
      <c r="H185" t="s">
        <v>24</v>
      </c>
      <c r="I185" s="1">
        <v>43403.5</v>
      </c>
      <c r="J185">
        <v>285</v>
      </c>
      <c r="K185">
        <v>151</v>
      </c>
      <c r="L185">
        <v>19.3</v>
      </c>
      <c r="M185" s="1"/>
      <c r="N185" s="1"/>
      <c r="O185" t="s">
        <v>252</v>
      </c>
      <c r="P185" t="s">
        <v>250</v>
      </c>
      <c r="Q185" t="s">
        <v>245</v>
      </c>
      <c r="R185" t="s">
        <v>238</v>
      </c>
      <c r="S185" t="s">
        <v>238</v>
      </c>
      <c r="T185" t="s">
        <v>251</v>
      </c>
      <c r="U185" t="s">
        <v>251</v>
      </c>
      <c r="V185" t="str">
        <f>VLOOKUP(Table_Query_from_Reporte_1[[#This Row],[Asset_ID]],B:C,2,TRUE)</f>
        <v>BUSHING</v>
      </c>
    </row>
    <row r="186" spans="5:22" x14ac:dyDescent="0.25">
      <c r="E186">
        <v>6148</v>
      </c>
      <c r="F186">
        <v>46</v>
      </c>
      <c r="G186" t="s">
        <v>208</v>
      </c>
      <c r="H186" t="s">
        <v>24</v>
      </c>
      <c r="I186" s="1">
        <v>43403.541666666664</v>
      </c>
      <c r="J186">
        <v>285</v>
      </c>
      <c r="K186">
        <v>87</v>
      </c>
      <c r="L186">
        <v>13.6</v>
      </c>
      <c r="M186" s="1"/>
      <c r="N186" s="1"/>
      <c r="O186" t="s">
        <v>66</v>
      </c>
      <c r="P186" t="s">
        <v>250</v>
      </c>
      <c r="Q186" t="s">
        <v>212</v>
      </c>
      <c r="R186" t="s">
        <v>92</v>
      </c>
      <c r="S186" t="s">
        <v>82</v>
      </c>
      <c r="T186" t="s">
        <v>251</v>
      </c>
      <c r="U186" t="s">
        <v>251</v>
      </c>
      <c r="V186" t="str">
        <f>VLOOKUP(Table_Query_from_Reporte_1[[#This Row],[Asset_ID]],B:C,2,TRUE)</f>
        <v>BUSHING</v>
      </c>
    </row>
    <row r="187" spans="5:22" x14ac:dyDescent="0.25">
      <c r="E187">
        <v>6074</v>
      </c>
      <c r="F187">
        <v>46</v>
      </c>
      <c r="G187" t="s">
        <v>208</v>
      </c>
      <c r="H187" t="s">
        <v>24</v>
      </c>
      <c r="I187" s="1">
        <v>43403.333333333336</v>
      </c>
      <c r="J187">
        <v>287</v>
      </c>
      <c r="K187">
        <v>26</v>
      </c>
      <c r="L187">
        <v>30</v>
      </c>
      <c r="M187" s="1"/>
      <c r="N187" s="1"/>
      <c r="O187" t="s">
        <v>66</v>
      </c>
      <c r="P187" t="s">
        <v>250</v>
      </c>
      <c r="Q187" t="s">
        <v>187</v>
      </c>
      <c r="R187" t="s">
        <v>89</v>
      </c>
      <c r="S187" t="s">
        <v>82</v>
      </c>
      <c r="T187" t="s">
        <v>251</v>
      </c>
      <c r="U187" t="s">
        <v>253</v>
      </c>
      <c r="V187" t="str">
        <f>VLOOKUP(Table_Query_from_Reporte_1[[#This Row],[Asset_ID]],B:C,2,TRUE)</f>
        <v>BUSHING</v>
      </c>
    </row>
    <row r="188" spans="5:22" x14ac:dyDescent="0.25">
      <c r="E188">
        <v>6080</v>
      </c>
      <c r="F188">
        <v>46</v>
      </c>
      <c r="G188" t="s">
        <v>208</v>
      </c>
      <c r="H188" t="s">
        <v>24</v>
      </c>
      <c r="I188" s="1">
        <v>43403.375</v>
      </c>
      <c r="J188">
        <v>287</v>
      </c>
      <c r="K188">
        <v>94</v>
      </c>
      <c r="L188">
        <v>18.3</v>
      </c>
      <c r="M188" s="1"/>
      <c r="N188" s="1"/>
      <c r="O188" t="s">
        <v>66</v>
      </c>
      <c r="P188" t="s">
        <v>250</v>
      </c>
      <c r="Q188" t="s">
        <v>157</v>
      </c>
      <c r="R188" t="s">
        <v>103</v>
      </c>
      <c r="S188" t="s">
        <v>82</v>
      </c>
      <c r="T188" t="s">
        <v>251</v>
      </c>
      <c r="U188" t="s">
        <v>253</v>
      </c>
      <c r="V188" t="str">
        <f>VLOOKUP(Table_Query_from_Reporte_1[[#This Row],[Asset_ID]],B:C,2,TRUE)</f>
        <v>BUSHING</v>
      </c>
    </row>
    <row r="189" spans="5:22" x14ac:dyDescent="0.25">
      <c r="E189">
        <v>6181</v>
      </c>
      <c r="F189">
        <v>46</v>
      </c>
      <c r="G189" t="s">
        <v>208</v>
      </c>
      <c r="H189" t="s">
        <v>21</v>
      </c>
      <c r="I189" s="1">
        <v>43403.583333333336</v>
      </c>
      <c r="J189">
        <v>285</v>
      </c>
      <c r="K189">
        <v>148</v>
      </c>
      <c r="L189">
        <v>1.4</v>
      </c>
      <c r="M189" s="1"/>
      <c r="N189" s="1"/>
      <c r="O189" t="s">
        <v>66</v>
      </c>
      <c r="P189" t="s">
        <v>250</v>
      </c>
      <c r="Q189" t="s">
        <v>237</v>
      </c>
      <c r="R189" t="s">
        <v>238</v>
      </c>
      <c r="S189" t="s">
        <v>238</v>
      </c>
      <c r="T189" t="s">
        <v>251</v>
      </c>
      <c r="U189" t="s">
        <v>251</v>
      </c>
      <c r="V189" t="str">
        <f>VLOOKUP(Table_Query_from_Reporte_1[[#This Row],[Asset_ID]],B:C,2,TRUE)</f>
        <v>BUSHING</v>
      </c>
    </row>
    <row r="190" spans="5:22" x14ac:dyDescent="0.25">
      <c r="E190">
        <v>6185</v>
      </c>
      <c r="F190">
        <v>46</v>
      </c>
      <c r="G190" t="s">
        <v>208</v>
      </c>
      <c r="H190" t="s">
        <v>21</v>
      </c>
      <c r="I190" s="1">
        <v>43403.625</v>
      </c>
      <c r="J190">
        <v>285</v>
      </c>
      <c r="K190">
        <v>87</v>
      </c>
      <c r="L190">
        <v>8.1999999999999993</v>
      </c>
      <c r="M190" s="1"/>
      <c r="N190" s="1"/>
      <c r="O190" t="s">
        <v>66</v>
      </c>
      <c r="P190" t="s">
        <v>250</v>
      </c>
      <c r="Q190" t="s">
        <v>212</v>
      </c>
      <c r="R190" t="s">
        <v>92</v>
      </c>
      <c r="S190" t="s">
        <v>82</v>
      </c>
      <c r="T190" t="s">
        <v>251</v>
      </c>
      <c r="U190" t="s">
        <v>251</v>
      </c>
      <c r="V190" t="str">
        <f>VLOOKUP(Table_Query_from_Reporte_1[[#This Row],[Asset_ID]],B:C,2,TRUE)</f>
        <v>BUSHING</v>
      </c>
    </row>
    <row r="191" spans="5:22" x14ac:dyDescent="0.25">
      <c r="E191">
        <v>6186</v>
      </c>
      <c r="F191">
        <v>46</v>
      </c>
      <c r="G191" t="s">
        <v>208</v>
      </c>
      <c r="H191" t="s">
        <v>21</v>
      </c>
      <c r="I191" s="1">
        <v>43403.625</v>
      </c>
      <c r="J191">
        <v>285</v>
      </c>
      <c r="K191">
        <v>148</v>
      </c>
      <c r="L191">
        <v>1.4</v>
      </c>
      <c r="M191" s="1"/>
      <c r="N191" s="1"/>
      <c r="O191" t="s">
        <v>66</v>
      </c>
      <c r="P191" t="s">
        <v>250</v>
      </c>
      <c r="Q191" t="s">
        <v>237</v>
      </c>
      <c r="R191" t="s">
        <v>238</v>
      </c>
      <c r="S191" t="s">
        <v>238</v>
      </c>
      <c r="T191" t="s">
        <v>251</v>
      </c>
      <c r="U191" t="s">
        <v>251</v>
      </c>
      <c r="V191" t="str">
        <f>VLOOKUP(Table_Query_from_Reporte_1[[#This Row],[Asset_ID]],B:C,2,TRUE)</f>
        <v>BUSHING</v>
      </c>
    </row>
    <row r="192" spans="5:22" x14ac:dyDescent="0.25">
      <c r="E192">
        <v>6196</v>
      </c>
      <c r="F192">
        <v>46</v>
      </c>
      <c r="G192" t="s">
        <v>208</v>
      </c>
      <c r="H192" t="s">
        <v>21</v>
      </c>
      <c r="I192" s="1">
        <v>43403.666666666664</v>
      </c>
      <c r="J192">
        <v>285</v>
      </c>
      <c r="K192">
        <v>87</v>
      </c>
      <c r="L192">
        <v>7.1</v>
      </c>
      <c r="M192" s="1"/>
      <c r="N192" s="1"/>
      <c r="O192" t="s">
        <v>66</v>
      </c>
      <c r="P192" t="s">
        <v>250</v>
      </c>
      <c r="Q192" t="s">
        <v>212</v>
      </c>
      <c r="R192" t="s">
        <v>92</v>
      </c>
      <c r="S192" t="s">
        <v>82</v>
      </c>
      <c r="T192" t="s">
        <v>251</v>
      </c>
      <c r="U192" t="s">
        <v>251</v>
      </c>
      <c r="V192" t="str">
        <f>VLOOKUP(Table_Query_from_Reporte_1[[#This Row],[Asset_ID]],B:C,2,TRUE)</f>
        <v>BUSHING</v>
      </c>
    </row>
    <row r="193" spans="5:22" x14ac:dyDescent="0.25">
      <c r="E193">
        <v>6197</v>
      </c>
      <c r="F193">
        <v>46</v>
      </c>
      <c r="G193" t="s">
        <v>208</v>
      </c>
      <c r="H193" t="s">
        <v>21</v>
      </c>
      <c r="I193" s="1">
        <v>43403.666666666664</v>
      </c>
      <c r="J193">
        <v>285</v>
      </c>
      <c r="K193">
        <v>148</v>
      </c>
      <c r="L193">
        <v>1.3</v>
      </c>
      <c r="M193" s="1"/>
      <c r="N193" s="1"/>
      <c r="O193" t="s">
        <v>66</v>
      </c>
      <c r="P193" t="s">
        <v>250</v>
      </c>
      <c r="Q193" t="s">
        <v>237</v>
      </c>
      <c r="R193" t="s">
        <v>238</v>
      </c>
      <c r="S193" t="s">
        <v>238</v>
      </c>
      <c r="T193" t="s">
        <v>251</v>
      </c>
      <c r="U193" t="s">
        <v>251</v>
      </c>
      <c r="V193" t="str">
        <f>VLOOKUP(Table_Query_from_Reporte_1[[#This Row],[Asset_ID]],B:C,2,TRUE)</f>
        <v>BUSHING</v>
      </c>
    </row>
    <row r="194" spans="5:22" x14ac:dyDescent="0.25">
      <c r="E194">
        <v>6217</v>
      </c>
      <c r="F194">
        <v>46</v>
      </c>
      <c r="G194" t="s">
        <v>208</v>
      </c>
      <c r="H194" t="s">
        <v>21</v>
      </c>
      <c r="I194" s="1">
        <v>43403.708333333336</v>
      </c>
      <c r="J194">
        <v>285</v>
      </c>
      <c r="K194">
        <v>87</v>
      </c>
      <c r="L194">
        <v>1.9</v>
      </c>
      <c r="M194" s="1"/>
      <c r="N194" s="1"/>
      <c r="O194" t="s">
        <v>66</v>
      </c>
      <c r="P194" t="s">
        <v>250</v>
      </c>
      <c r="Q194" t="s">
        <v>212</v>
      </c>
      <c r="R194" t="s">
        <v>92</v>
      </c>
      <c r="S194" t="s">
        <v>82</v>
      </c>
      <c r="T194" t="s">
        <v>251</v>
      </c>
      <c r="U194" t="s">
        <v>251</v>
      </c>
      <c r="V194" t="str">
        <f>VLOOKUP(Table_Query_from_Reporte_1[[#This Row],[Asset_ID]],B:C,2,TRUE)</f>
        <v>BUSHING</v>
      </c>
    </row>
    <row r="195" spans="5:22" x14ac:dyDescent="0.25">
      <c r="E195">
        <v>6225</v>
      </c>
      <c r="F195">
        <v>46</v>
      </c>
      <c r="G195" t="s">
        <v>208</v>
      </c>
      <c r="H195" t="s">
        <v>21</v>
      </c>
      <c r="I195" s="1">
        <v>43403.75</v>
      </c>
      <c r="J195">
        <v>285</v>
      </c>
      <c r="K195">
        <v>87</v>
      </c>
      <c r="L195">
        <v>8.1999999999999993</v>
      </c>
      <c r="M195" s="1"/>
      <c r="N195" s="1"/>
      <c r="O195" t="s">
        <v>66</v>
      </c>
      <c r="P195" t="s">
        <v>250</v>
      </c>
      <c r="Q195" t="s">
        <v>212</v>
      </c>
      <c r="R195" t="s">
        <v>92</v>
      </c>
      <c r="S195" t="s">
        <v>82</v>
      </c>
      <c r="T195" t="s">
        <v>251</v>
      </c>
      <c r="U195" t="s">
        <v>251</v>
      </c>
      <c r="V195" t="str">
        <f>VLOOKUP(Table_Query_from_Reporte_1[[#This Row],[Asset_ID]],B:C,2,TRUE)</f>
        <v>BUSHING</v>
      </c>
    </row>
    <row r="196" spans="5:22" x14ac:dyDescent="0.25">
      <c r="E196">
        <v>6226</v>
      </c>
      <c r="F196">
        <v>46</v>
      </c>
      <c r="G196" t="s">
        <v>208</v>
      </c>
      <c r="H196" t="s">
        <v>21</v>
      </c>
      <c r="I196" s="1">
        <v>43403.75</v>
      </c>
      <c r="J196">
        <v>285</v>
      </c>
      <c r="K196">
        <v>148</v>
      </c>
      <c r="L196">
        <v>1.4</v>
      </c>
      <c r="M196" s="1"/>
      <c r="N196" s="1"/>
      <c r="O196" t="s">
        <v>66</v>
      </c>
      <c r="P196" t="s">
        <v>250</v>
      </c>
      <c r="Q196" t="s">
        <v>237</v>
      </c>
      <c r="R196" t="s">
        <v>238</v>
      </c>
      <c r="S196" t="s">
        <v>238</v>
      </c>
      <c r="T196" t="s">
        <v>251</v>
      </c>
      <c r="U196" t="s">
        <v>251</v>
      </c>
      <c r="V196" t="str">
        <f>VLOOKUP(Table_Query_from_Reporte_1[[#This Row],[Asset_ID]],B:C,2,TRUE)</f>
        <v>BUSHING</v>
      </c>
    </row>
    <row r="197" spans="5:22" x14ac:dyDescent="0.25">
      <c r="E197">
        <v>6235</v>
      </c>
      <c r="F197">
        <v>46</v>
      </c>
      <c r="G197" t="s">
        <v>208</v>
      </c>
      <c r="H197" t="s">
        <v>21</v>
      </c>
      <c r="I197" s="1">
        <v>43403.791666666664</v>
      </c>
      <c r="J197">
        <v>285</v>
      </c>
      <c r="K197">
        <v>87</v>
      </c>
      <c r="L197">
        <v>10.199999999999999</v>
      </c>
      <c r="M197" s="1"/>
      <c r="N197" s="1"/>
      <c r="O197" t="s">
        <v>66</v>
      </c>
      <c r="P197" t="s">
        <v>250</v>
      </c>
      <c r="Q197" t="s">
        <v>212</v>
      </c>
      <c r="R197" t="s">
        <v>92</v>
      </c>
      <c r="S197" t="s">
        <v>82</v>
      </c>
      <c r="T197" t="s">
        <v>251</v>
      </c>
      <c r="U197" t="s">
        <v>251</v>
      </c>
      <c r="V197" t="str">
        <f>VLOOKUP(Table_Query_from_Reporte_1[[#This Row],[Asset_ID]],B:C,2,TRUE)</f>
        <v>BUSHING</v>
      </c>
    </row>
    <row r="198" spans="5:22" x14ac:dyDescent="0.25">
      <c r="E198">
        <v>6239</v>
      </c>
      <c r="F198">
        <v>46</v>
      </c>
      <c r="G198" t="s">
        <v>208</v>
      </c>
      <c r="H198" t="s">
        <v>21</v>
      </c>
      <c r="I198" s="1">
        <v>43403.791666666664</v>
      </c>
      <c r="J198">
        <v>285</v>
      </c>
      <c r="K198">
        <v>148</v>
      </c>
      <c r="L198">
        <v>1.5</v>
      </c>
      <c r="M198" s="1"/>
      <c r="N198" s="1"/>
      <c r="O198" t="s">
        <v>66</v>
      </c>
      <c r="P198" t="s">
        <v>250</v>
      </c>
      <c r="Q198" t="s">
        <v>237</v>
      </c>
      <c r="R198" t="s">
        <v>238</v>
      </c>
      <c r="S198" t="s">
        <v>238</v>
      </c>
      <c r="T198" t="s">
        <v>251</v>
      </c>
      <c r="U198" t="s">
        <v>251</v>
      </c>
      <c r="V198" t="str">
        <f>VLOOKUP(Table_Query_from_Reporte_1[[#This Row],[Asset_ID]],B:C,2,TRUE)</f>
        <v>BUSHING</v>
      </c>
    </row>
    <row r="199" spans="5:22" x14ac:dyDescent="0.25">
      <c r="E199">
        <v>6260</v>
      </c>
      <c r="F199">
        <v>46</v>
      </c>
      <c r="G199" t="s">
        <v>208</v>
      </c>
      <c r="H199" t="s">
        <v>21</v>
      </c>
      <c r="I199" s="1">
        <v>43403.833333333336</v>
      </c>
      <c r="J199">
        <v>285</v>
      </c>
      <c r="K199">
        <v>94</v>
      </c>
      <c r="L199">
        <v>37.6</v>
      </c>
      <c r="M199" s="1"/>
      <c r="N199" s="1"/>
      <c r="O199" t="s">
        <v>254</v>
      </c>
      <c r="P199" t="s">
        <v>250</v>
      </c>
      <c r="Q199" t="s">
        <v>157</v>
      </c>
      <c r="R199" t="s">
        <v>103</v>
      </c>
      <c r="S199" t="s">
        <v>82</v>
      </c>
      <c r="T199" t="s">
        <v>251</v>
      </c>
      <c r="U199" t="s">
        <v>251</v>
      </c>
      <c r="V199" t="str">
        <f>VLOOKUP(Table_Query_from_Reporte_1[[#This Row],[Asset_ID]],B:C,2,TRUE)</f>
        <v>BUSHING</v>
      </c>
    </row>
    <row r="200" spans="5:22" x14ac:dyDescent="0.25">
      <c r="E200">
        <v>6271</v>
      </c>
      <c r="F200">
        <v>46</v>
      </c>
      <c r="G200" t="s">
        <v>208</v>
      </c>
      <c r="H200" t="s">
        <v>21</v>
      </c>
      <c r="I200" s="1">
        <v>43403.583333333336</v>
      </c>
      <c r="J200">
        <v>285</v>
      </c>
      <c r="K200">
        <v>87</v>
      </c>
      <c r="L200">
        <v>7.8</v>
      </c>
      <c r="M200" s="1"/>
      <c r="N200" s="1"/>
      <c r="O200" t="s">
        <v>66</v>
      </c>
      <c r="P200" t="s">
        <v>250</v>
      </c>
      <c r="Q200" t="s">
        <v>212</v>
      </c>
      <c r="R200" t="s">
        <v>92</v>
      </c>
      <c r="S200" t="s">
        <v>82</v>
      </c>
      <c r="T200" t="s">
        <v>251</v>
      </c>
      <c r="U200" t="s">
        <v>251</v>
      </c>
      <c r="V200" t="str">
        <f>VLOOKUP(Table_Query_from_Reporte_1[[#This Row],[Asset_ID]],B:C,2,TRUE)</f>
        <v>BUSHING</v>
      </c>
    </row>
    <row r="201" spans="5:22" x14ac:dyDescent="0.25">
      <c r="E201">
        <v>6273</v>
      </c>
      <c r="F201">
        <v>46</v>
      </c>
      <c r="G201" t="s">
        <v>208</v>
      </c>
      <c r="H201" t="s">
        <v>21</v>
      </c>
      <c r="I201" s="1">
        <v>43403.875</v>
      </c>
      <c r="J201">
        <v>285</v>
      </c>
      <c r="K201">
        <v>149</v>
      </c>
      <c r="L201">
        <v>12.3</v>
      </c>
      <c r="M201" s="1"/>
      <c r="N201" s="1"/>
      <c r="O201" t="s">
        <v>255</v>
      </c>
      <c r="P201" t="s">
        <v>250</v>
      </c>
      <c r="Q201" t="s">
        <v>256</v>
      </c>
      <c r="R201" t="s">
        <v>238</v>
      </c>
      <c r="S201" t="s">
        <v>238</v>
      </c>
      <c r="T201" t="s">
        <v>251</v>
      </c>
      <c r="U201" t="s">
        <v>251</v>
      </c>
      <c r="V201" t="str">
        <f>VLOOKUP(Table_Query_from_Reporte_1[[#This Row],[Asset_ID]],B:C,2,TRUE)</f>
        <v>BUSHING</v>
      </c>
    </row>
    <row r="202" spans="5:22" x14ac:dyDescent="0.25">
      <c r="E202">
        <v>6158</v>
      </c>
      <c r="F202">
        <v>48</v>
      </c>
      <c r="G202" t="s">
        <v>208</v>
      </c>
      <c r="H202" t="s">
        <v>24</v>
      </c>
      <c r="I202" s="1">
        <v>43403.5</v>
      </c>
      <c r="J202">
        <v>258</v>
      </c>
      <c r="K202">
        <v>182</v>
      </c>
      <c r="L202">
        <v>1.6160000000000001</v>
      </c>
      <c r="M202" s="1"/>
      <c r="N202" s="1"/>
      <c r="O202" t="s">
        <v>66</v>
      </c>
      <c r="P202" t="s">
        <v>149</v>
      </c>
      <c r="Q202" t="s">
        <v>257</v>
      </c>
      <c r="R202" t="s">
        <v>84</v>
      </c>
      <c r="S202" t="s">
        <v>84</v>
      </c>
      <c r="T202" t="s">
        <v>191</v>
      </c>
      <c r="U202" t="s">
        <v>191</v>
      </c>
      <c r="V202" t="str">
        <f>VLOOKUP(Table_Query_from_Reporte_1[[#This Row],[Asset_ID]],B:C,2,TRUE)</f>
        <v>TOYOTA</v>
      </c>
    </row>
    <row r="203" spans="5:22" x14ac:dyDescent="0.25">
      <c r="E203">
        <v>6156</v>
      </c>
      <c r="F203">
        <v>48</v>
      </c>
      <c r="G203" t="s">
        <v>208</v>
      </c>
      <c r="H203" t="s">
        <v>24</v>
      </c>
      <c r="I203" s="1">
        <v>43403.458333333336</v>
      </c>
      <c r="J203">
        <v>259</v>
      </c>
      <c r="K203">
        <v>183</v>
      </c>
      <c r="L203">
        <v>3</v>
      </c>
      <c r="M203" s="1"/>
      <c r="N203" s="1"/>
      <c r="O203" t="s">
        <v>66</v>
      </c>
      <c r="P203" t="s">
        <v>149</v>
      </c>
      <c r="Q203" t="s">
        <v>258</v>
      </c>
      <c r="R203" t="s">
        <v>169</v>
      </c>
      <c r="S203" t="s">
        <v>82</v>
      </c>
      <c r="T203" t="s">
        <v>191</v>
      </c>
      <c r="U203" t="s">
        <v>259</v>
      </c>
      <c r="V203" t="str">
        <f>VLOOKUP(Table_Query_from_Reporte_1[[#This Row],[Asset_ID]],B:C,2,TRUE)</f>
        <v>TOYOTA</v>
      </c>
    </row>
    <row r="204" spans="5:22" x14ac:dyDescent="0.25">
      <c r="E204">
        <v>6144</v>
      </c>
      <c r="F204">
        <v>48</v>
      </c>
      <c r="G204" t="s">
        <v>208</v>
      </c>
      <c r="H204" t="s">
        <v>24</v>
      </c>
      <c r="I204" s="1">
        <v>43403.416666666664</v>
      </c>
      <c r="J204">
        <v>261</v>
      </c>
      <c r="K204">
        <v>9</v>
      </c>
      <c r="L204">
        <v>2</v>
      </c>
      <c r="M204" s="1"/>
      <c r="N204" s="1"/>
      <c r="O204" t="s">
        <v>260</v>
      </c>
      <c r="P204" t="s">
        <v>149</v>
      </c>
      <c r="Q204" t="s">
        <v>98</v>
      </c>
      <c r="R204" t="s">
        <v>85</v>
      </c>
      <c r="S204" t="s">
        <v>85</v>
      </c>
      <c r="T204" t="s">
        <v>155</v>
      </c>
      <c r="U204" t="s">
        <v>155</v>
      </c>
      <c r="V204" t="str">
        <f>VLOOKUP(Table_Query_from_Reporte_1[[#This Row],[Asset_ID]],B:C,2,TRUE)</f>
        <v>TOYOTA</v>
      </c>
    </row>
    <row r="205" spans="5:22" x14ac:dyDescent="0.25">
      <c r="E205">
        <v>6157</v>
      </c>
      <c r="F205">
        <v>48</v>
      </c>
      <c r="G205" t="s">
        <v>208</v>
      </c>
      <c r="H205" t="s">
        <v>24</v>
      </c>
      <c r="I205" s="1">
        <v>43403.5</v>
      </c>
      <c r="J205">
        <v>261</v>
      </c>
      <c r="K205">
        <v>130</v>
      </c>
      <c r="L205">
        <v>5</v>
      </c>
      <c r="M205" s="1"/>
      <c r="N205" s="1"/>
      <c r="O205" t="s">
        <v>66</v>
      </c>
      <c r="P205" t="s">
        <v>149</v>
      </c>
      <c r="Q205" t="s">
        <v>154</v>
      </c>
      <c r="R205" t="s">
        <v>87</v>
      </c>
      <c r="S205" t="s">
        <v>82</v>
      </c>
      <c r="T205" t="s">
        <v>155</v>
      </c>
      <c r="U205" t="s">
        <v>155</v>
      </c>
      <c r="V205" t="str">
        <f>VLOOKUP(Table_Query_from_Reporte_1[[#This Row],[Asset_ID]],B:C,2,TRUE)</f>
        <v>TOYOTA</v>
      </c>
    </row>
    <row r="206" spans="5:22" x14ac:dyDescent="0.25">
      <c r="E206">
        <v>6064</v>
      </c>
      <c r="F206">
        <v>48</v>
      </c>
      <c r="G206" t="s">
        <v>208</v>
      </c>
      <c r="H206" t="s">
        <v>24</v>
      </c>
      <c r="I206" s="1">
        <v>43403.25</v>
      </c>
      <c r="J206">
        <v>266</v>
      </c>
      <c r="K206">
        <v>183</v>
      </c>
      <c r="L206">
        <v>10</v>
      </c>
      <c r="M206" s="1"/>
      <c r="N206" s="1"/>
      <c r="O206" t="s">
        <v>66</v>
      </c>
      <c r="P206" t="s">
        <v>149</v>
      </c>
      <c r="Q206" t="s">
        <v>258</v>
      </c>
      <c r="R206" t="s">
        <v>169</v>
      </c>
      <c r="S206" t="s">
        <v>82</v>
      </c>
      <c r="T206" t="s">
        <v>150</v>
      </c>
      <c r="U206" t="s">
        <v>151</v>
      </c>
      <c r="V206" t="str">
        <f>VLOOKUP(Table_Query_from_Reporte_1[[#This Row],[Asset_ID]],B:C,2,TRUE)</f>
        <v>TOYOTA</v>
      </c>
    </row>
    <row r="207" spans="5:22" x14ac:dyDescent="0.25">
      <c r="E207">
        <v>6154</v>
      </c>
      <c r="F207">
        <v>48</v>
      </c>
      <c r="G207" t="s">
        <v>208</v>
      </c>
      <c r="H207" t="s">
        <v>24</v>
      </c>
      <c r="I207" s="1">
        <v>43403.458333333336</v>
      </c>
      <c r="J207">
        <v>269</v>
      </c>
      <c r="K207">
        <v>28</v>
      </c>
      <c r="L207">
        <v>5</v>
      </c>
      <c r="M207" s="1"/>
      <c r="N207" s="1"/>
      <c r="O207" t="s">
        <v>261</v>
      </c>
      <c r="P207" t="s">
        <v>149</v>
      </c>
      <c r="Q207" t="s">
        <v>99</v>
      </c>
      <c r="R207" t="s">
        <v>89</v>
      </c>
      <c r="S207" t="s">
        <v>82</v>
      </c>
      <c r="T207" t="s">
        <v>141</v>
      </c>
      <c r="U207" t="s">
        <v>141</v>
      </c>
      <c r="V207" t="str">
        <f>VLOOKUP(Table_Query_from_Reporte_1[[#This Row],[Asset_ID]],B:C,2,TRUE)</f>
        <v>TOYOTA</v>
      </c>
    </row>
    <row r="208" spans="5:22" x14ac:dyDescent="0.25">
      <c r="E208">
        <v>6065</v>
      </c>
      <c r="F208">
        <v>48</v>
      </c>
      <c r="G208" t="s">
        <v>208</v>
      </c>
      <c r="H208" t="s">
        <v>24</v>
      </c>
      <c r="I208" s="1">
        <v>43403.291666666664</v>
      </c>
      <c r="J208">
        <v>274</v>
      </c>
      <c r="K208">
        <v>130</v>
      </c>
      <c r="L208">
        <v>7</v>
      </c>
      <c r="M208" s="1"/>
      <c r="N208" s="1"/>
      <c r="O208" t="s">
        <v>66</v>
      </c>
      <c r="P208" t="s">
        <v>149</v>
      </c>
      <c r="Q208" t="s">
        <v>154</v>
      </c>
      <c r="R208" t="s">
        <v>87</v>
      </c>
      <c r="S208" t="s">
        <v>82</v>
      </c>
      <c r="T208" t="s">
        <v>153</v>
      </c>
      <c r="U208" t="s">
        <v>153</v>
      </c>
      <c r="V208" t="str">
        <f>VLOOKUP(Table_Query_from_Reporte_1[[#This Row],[Asset_ID]],B:C,2,TRUE)</f>
        <v>TOYOTA</v>
      </c>
    </row>
    <row r="209" spans="5:22" x14ac:dyDescent="0.25">
      <c r="E209">
        <v>6155</v>
      </c>
      <c r="F209">
        <v>48</v>
      </c>
      <c r="G209" t="s">
        <v>208</v>
      </c>
      <c r="H209" t="s">
        <v>24</v>
      </c>
      <c r="I209" s="1">
        <v>43403.458333333336</v>
      </c>
      <c r="J209">
        <v>274</v>
      </c>
      <c r="K209">
        <v>130</v>
      </c>
      <c r="L209">
        <v>6</v>
      </c>
      <c r="M209" s="1"/>
      <c r="N209" s="1"/>
      <c r="O209" t="s">
        <v>66</v>
      </c>
      <c r="P209" t="s">
        <v>149</v>
      </c>
      <c r="Q209" t="s">
        <v>154</v>
      </c>
      <c r="R209" t="s">
        <v>87</v>
      </c>
      <c r="S209" t="s">
        <v>82</v>
      </c>
      <c r="T209" t="s">
        <v>153</v>
      </c>
      <c r="U209" t="s">
        <v>153</v>
      </c>
      <c r="V209" t="str">
        <f>VLOOKUP(Table_Query_from_Reporte_1[[#This Row],[Asset_ID]],B:C,2,TRUE)</f>
        <v>TOYOTA</v>
      </c>
    </row>
    <row r="210" spans="5:22" x14ac:dyDescent="0.25">
      <c r="E210">
        <v>6153</v>
      </c>
      <c r="F210">
        <v>48</v>
      </c>
      <c r="G210" t="s">
        <v>208</v>
      </c>
      <c r="H210" t="s">
        <v>24</v>
      </c>
      <c r="I210" s="1">
        <v>43403.458333333336</v>
      </c>
      <c r="J210">
        <v>275</v>
      </c>
      <c r="K210">
        <v>94</v>
      </c>
      <c r="L210">
        <v>3</v>
      </c>
      <c r="M210" s="1"/>
      <c r="N210" s="1"/>
      <c r="O210" t="s">
        <v>66</v>
      </c>
      <c r="P210" t="s">
        <v>149</v>
      </c>
      <c r="Q210" t="s">
        <v>157</v>
      </c>
      <c r="R210" t="s">
        <v>103</v>
      </c>
      <c r="S210" t="s">
        <v>82</v>
      </c>
      <c r="T210" t="s">
        <v>153</v>
      </c>
      <c r="U210" t="s">
        <v>262</v>
      </c>
      <c r="V210" t="str">
        <f>VLOOKUP(Table_Query_from_Reporte_1[[#This Row],[Asset_ID]],B:C,2,TRUE)</f>
        <v>TOYOTA</v>
      </c>
    </row>
    <row r="211" spans="5:22" x14ac:dyDescent="0.25">
      <c r="E211">
        <v>6063</v>
      </c>
      <c r="F211">
        <v>48</v>
      </c>
      <c r="G211" t="s">
        <v>208</v>
      </c>
      <c r="H211" t="s">
        <v>24</v>
      </c>
      <c r="I211" s="1">
        <v>43403.25</v>
      </c>
      <c r="J211">
        <v>276</v>
      </c>
      <c r="K211">
        <v>34</v>
      </c>
      <c r="L211">
        <v>18</v>
      </c>
      <c r="M211" s="1"/>
      <c r="N211" s="1"/>
      <c r="O211" t="s">
        <v>66</v>
      </c>
      <c r="P211" t="s">
        <v>149</v>
      </c>
      <c r="Q211" t="s">
        <v>181</v>
      </c>
      <c r="R211" t="s">
        <v>169</v>
      </c>
      <c r="S211" t="s">
        <v>82</v>
      </c>
      <c r="T211" t="s">
        <v>153</v>
      </c>
      <c r="U211" t="s">
        <v>263</v>
      </c>
      <c r="V211" t="str">
        <f>VLOOKUP(Table_Query_from_Reporte_1[[#This Row],[Asset_ID]],B:C,2,TRUE)</f>
        <v>TOYOTA</v>
      </c>
    </row>
    <row r="212" spans="5:22" x14ac:dyDescent="0.25">
      <c r="E212">
        <v>6159</v>
      </c>
      <c r="F212">
        <v>48</v>
      </c>
      <c r="G212" t="s">
        <v>208</v>
      </c>
      <c r="H212" t="s">
        <v>24</v>
      </c>
      <c r="I212" s="1">
        <v>43403.5</v>
      </c>
      <c r="J212">
        <v>276</v>
      </c>
      <c r="K212">
        <v>94</v>
      </c>
      <c r="L212">
        <v>1</v>
      </c>
      <c r="M212" s="1"/>
      <c r="N212" s="1"/>
      <c r="O212" t="s">
        <v>66</v>
      </c>
      <c r="P212" t="s">
        <v>149</v>
      </c>
      <c r="Q212" t="s">
        <v>157</v>
      </c>
      <c r="R212" t="s">
        <v>103</v>
      </c>
      <c r="S212" t="s">
        <v>82</v>
      </c>
      <c r="T212" t="s">
        <v>153</v>
      </c>
      <c r="U212" t="s">
        <v>263</v>
      </c>
      <c r="V212" t="str">
        <f>VLOOKUP(Table_Query_from_Reporte_1[[#This Row],[Asset_ID]],B:C,2,TRUE)</f>
        <v>TOYOTA</v>
      </c>
    </row>
    <row r="213" spans="5:22" x14ac:dyDescent="0.25">
      <c r="E213">
        <v>6076</v>
      </c>
      <c r="F213">
        <v>48</v>
      </c>
      <c r="G213" t="s">
        <v>208</v>
      </c>
      <c r="H213" t="s">
        <v>24</v>
      </c>
      <c r="I213" s="1">
        <v>43403.333333333336</v>
      </c>
      <c r="J213">
        <v>279</v>
      </c>
      <c r="K213">
        <v>34</v>
      </c>
      <c r="L213">
        <v>1</v>
      </c>
      <c r="M213" s="1"/>
      <c r="N213" s="1"/>
      <c r="O213" t="s">
        <v>66</v>
      </c>
      <c r="P213" t="s">
        <v>149</v>
      </c>
      <c r="Q213" t="s">
        <v>181</v>
      </c>
      <c r="R213" t="s">
        <v>169</v>
      </c>
      <c r="S213" t="s">
        <v>82</v>
      </c>
      <c r="T213" t="s">
        <v>158</v>
      </c>
      <c r="U213" t="s">
        <v>263</v>
      </c>
      <c r="V213" t="str">
        <f>VLOOKUP(Table_Query_from_Reporte_1[[#This Row],[Asset_ID]],B:C,2,TRUE)</f>
        <v>TOYOTA</v>
      </c>
    </row>
    <row r="214" spans="5:22" x14ac:dyDescent="0.25">
      <c r="E214">
        <v>6077</v>
      </c>
      <c r="F214">
        <v>48</v>
      </c>
      <c r="G214" t="s">
        <v>208</v>
      </c>
      <c r="H214" t="s">
        <v>24</v>
      </c>
      <c r="I214" s="1">
        <v>43403.375</v>
      </c>
      <c r="J214">
        <v>279</v>
      </c>
      <c r="K214">
        <v>34</v>
      </c>
      <c r="L214">
        <v>7</v>
      </c>
      <c r="M214" s="1"/>
      <c r="N214" s="1"/>
      <c r="O214" t="s">
        <v>66</v>
      </c>
      <c r="P214" t="s">
        <v>149</v>
      </c>
      <c r="Q214" t="s">
        <v>181</v>
      </c>
      <c r="R214" t="s">
        <v>169</v>
      </c>
      <c r="S214" t="s">
        <v>82</v>
      </c>
      <c r="T214" t="s">
        <v>158</v>
      </c>
      <c r="U214" t="s">
        <v>263</v>
      </c>
      <c r="V214" t="str">
        <f>VLOOKUP(Table_Query_from_Reporte_1[[#This Row],[Asset_ID]],B:C,2,TRUE)</f>
        <v>TOYOTA</v>
      </c>
    </row>
    <row r="215" spans="5:22" x14ac:dyDescent="0.25">
      <c r="E215">
        <v>6160</v>
      </c>
      <c r="F215">
        <v>48</v>
      </c>
      <c r="G215" t="s">
        <v>208</v>
      </c>
      <c r="H215" t="s">
        <v>24</v>
      </c>
      <c r="I215" s="1">
        <v>43403.541666666664</v>
      </c>
      <c r="J215">
        <v>279</v>
      </c>
      <c r="K215">
        <v>34</v>
      </c>
      <c r="L215">
        <v>3.8079999999999998</v>
      </c>
      <c r="M215" s="1"/>
      <c r="N215" s="1"/>
      <c r="O215" t="s">
        <v>66</v>
      </c>
      <c r="P215" t="s">
        <v>149</v>
      </c>
      <c r="Q215" t="s">
        <v>181</v>
      </c>
      <c r="R215" t="s">
        <v>169</v>
      </c>
      <c r="S215" t="s">
        <v>82</v>
      </c>
      <c r="T215" t="s">
        <v>158</v>
      </c>
      <c r="U215" t="s">
        <v>263</v>
      </c>
      <c r="V215" t="str">
        <f>VLOOKUP(Table_Query_from_Reporte_1[[#This Row],[Asset_ID]],B:C,2,TRUE)</f>
        <v>TOYOTA</v>
      </c>
    </row>
    <row r="216" spans="5:22" x14ac:dyDescent="0.25">
      <c r="E216">
        <v>6266</v>
      </c>
      <c r="F216">
        <v>48</v>
      </c>
      <c r="G216" t="s">
        <v>208</v>
      </c>
      <c r="H216" t="s">
        <v>21</v>
      </c>
      <c r="I216" s="1">
        <v>43403.791666666664</v>
      </c>
      <c r="J216">
        <v>261</v>
      </c>
      <c r="K216">
        <v>183</v>
      </c>
      <c r="L216">
        <v>12</v>
      </c>
      <c r="M216" s="1"/>
      <c r="N216" s="1"/>
      <c r="O216" t="s">
        <v>66</v>
      </c>
      <c r="P216" t="s">
        <v>149</v>
      </c>
      <c r="Q216" t="s">
        <v>258</v>
      </c>
      <c r="R216" t="s">
        <v>169</v>
      </c>
      <c r="S216" t="s">
        <v>82</v>
      </c>
      <c r="T216" t="s">
        <v>155</v>
      </c>
      <c r="U216" t="s">
        <v>155</v>
      </c>
      <c r="V216" t="str">
        <f>VLOOKUP(Table_Query_from_Reporte_1[[#This Row],[Asset_ID]],B:C,2,TRUE)</f>
        <v>TOYOTA</v>
      </c>
    </row>
    <row r="217" spans="5:22" x14ac:dyDescent="0.25">
      <c r="E217">
        <v>6174</v>
      </c>
      <c r="F217">
        <v>48</v>
      </c>
      <c r="G217" t="s">
        <v>208</v>
      </c>
      <c r="H217" t="s">
        <v>21</v>
      </c>
      <c r="I217" s="1">
        <v>43403.583333333336</v>
      </c>
      <c r="J217">
        <v>269</v>
      </c>
      <c r="K217">
        <v>160</v>
      </c>
      <c r="L217">
        <v>2</v>
      </c>
      <c r="M217" s="1"/>
      <c r="N217" s="1"/>
      <c r="O217" t="s">
        <v>66</v>
      </c>
      <c r="P217" t="s">
        <v>149</v>
      </c>
      <c r="Q217" t="s">
        <v>160</v>
      </c>
      <c r="R217" t="s">
        <v>104</v>
      </c>
      <c r="S217" t="s">
        <v>104</v>
      </c>
      <c r="T217" t="s">
        <v>141</v>
      </c>
      <c r="U217" t="s">
        <v>141</v>
      </c>
      <c r="V217" t="str">
        <f>VLOOKUP(Table_Query_from_Reporte_1[[#This Row],[Asset_ID]],B:C,2,TRUE)</f>
        <v>TOYOTA</v>
      </c>
    </row>
    <row r="218" spans="5:22" x14ac:dyDescent="0.25">
      <c r="E218">
        <v>6264</v>
      </c>
      <c r="F218">
        <v>48</v>
      </c>
      <c r="G218" t="s">
        <v>208</v>
      </c>
      <c r="H218" t="s">
        <v>21</v>
      </c>
      <c r="I218" s="1">
        <v>43403.75</v>
      </c>
      <c r="J218">
        <v>269</v>
      </c>
      <c r="K218">
        <v>54</v>
      </c>
      <c r="L218">
        <v>2</v>
      </c>
      <c r="M218" s="1"/>
      <c r="N218" s="1"/>
      <c r="O218" t="s">
        <v>66</v>
      </c>
      <c r="P218" t="s">
        <v>149</v>
      </c>
      <c r="Q218" t="s">
        <v>100</v>
      </c>
      <c r="R218" t="s">
        <v>101</v>
      </c>
      <c r="S218" t="s">
        <v>82</v>
      </c>
      <c r="T218" t="s">
        <v>141</v>
      </c>
      <c r="U218" t="s">
        <v>141</v>
      </c>
      <c r="V218" t="str">
        <f>VLOOKUP(Table_Query_from_Reporte_1[[#This Row],[Asset_ID]],B:C,2,TRUE)</f>
        <v>TOYOTA</v>
      </c>
    </row>
    <row r="219" spans="5:22" x14ac:dyDescent="0.25">
      <c r="E219">
        <v>6265</v>
      </c>
      <c r="F219">
        <v>48</v>
      </c>
      <c r="G219" t="s">
        <v>208</v>
      </c>
      <c r="H219" t="s">
        <v>21</v>
      </c>
      <c r="I219" s="1">
        <v>43403.75</v>
      </c>
      <c r="J219">
        <v>269</v>
      </c>
      <c r="K219">
        <v>77</v>
      </c>
      <c r="L219">
        <v>7</v>
      </c>
      <c r="M219" s="1"/>
      <c r="N219" s="1"/>
      <c r="O219" t="s">
        <v>66</v>
      </c>
      <c r="P219" t="s">
        <v>149</v>
      </c>
      <c r="Q219" t="s">
        <v>264</v>
      </c>
      <c r="R219" t="s">
        <v>92</v>
      </c>
      <c r="S219" t="s">
        <v>82</v>
      </c>
      <c r="T219" t="s">
        <v>141</v>
      </c>
      <c r="U219" t="s">
        <v>141</v>
      </c>
      <c r="V219" t="str">
        <f>VLOOKUP(Table_Query_from_Reporte_1[[#This Row],[Asset_ID]],B:C,2,TRUE)</f>
        <v>TOYOTA</v>
      </c>
    </row>
    <row r="220" spans="5:22" x14ac:dyDescent="0.25">
      <c r="E220">
        <v>6191</v>
      </c>
      <c r="F220">
        <v>48</v>
      </c>
      <c r="G220" t="s">
        <v>208</v>
      </c>
      <c r="H220" t="s">
        <v>21</v>
      </c>
      <c r="I220" s="1">
        <v>43403.625</v>
      </c>
      <c r="J220">
        <v>274</v>
      </c>
      <c r="K220">
        <v>130</v>
      </c>
      <c r="L220">
        <v>5</v>
      </c>
      <c r="M220" s="1"/>
      <c r="N220" s="1"/>
      <c r="O220" t="s">
        <v>66</v>
      </c>
      <c r="P220" t="s">
        <v>149</v>
      </c>
      <c r="Q220" t="s">
        <v>154</v>
      </c>
      <c r="R220" t="s">
        <v>87</v>
      </c>
      <c r="S220" t="s">
        <v>82</v>
      </c>
      <c r="T220" t="s">
        <v>153</v>
      </c>
      <c r="U220" t="s">
        <v>153</v>
      </c>
      <c r="V220" t="str">
        <f>VLOOKUP(Table_Query_from_Reporte_1[[#This Row],[Asset_ID]],B:C,2,TRUE)</f>
        <v>TOYOTA</v>
      </c>
    </row>
    <row r="221" spans="5:22" x14ac:dyDescent="0.25">
      <c r="E221">
        <v>6258</v>
      </c>
      <c r="F221">
        <v>48</v>
      </c>
      <c r="G221" t="s">
        <v>208</v>
      </c>
      <c r="H221" t="s">
        <v>21</v>
      </c>
      <c r="I221" s="1">
        <v>43403.75</v>
      </c>
      <c r="J221">
        <v>274</v>
      </c>
      <c r="K221">
        <v>130</v>
      </c>
      <c r="L221">
        <v>5</v>
      </c>
      <c r="M221" s="1"/>
      <c r="N221" s="1"/>
      <c r="O221" t="s">
        <v>66</v>
      </c>
      <c r="P221" t="s">
        <v>149</v>
      </c>
      <c r="Q221" t="s">
        <v>154</v>
      </c>
      <c r="R221" t="s">
        <v>87</v>
      </c>
      <c r="S221" t="s">
        <v>82</v>
      </c>
      <c r="T221" t="s">
        <v>153</v>
      </c>
      <c r="U221" t="s">
        <v>153</v>
      </c>
      <c r="V221" t="str">
        <f>VLOOKUP(Table_Query_from_Reporte_1[[#This Row],[Asset_ID]],B:C,2,TRUE)</f>
        <v>TOYOTA</v>
      </c>
    </row>
    <row r="222" spans="5:22" x14ac:dyDescent="0.25">
      <c r="E222">
        <v>6192</v>
      </c>
      <c r="F222">
        <v>48</v>
      </c>
      <c r="G222" t="s">
        <v>208</v>
      </c>
      <c r="H222" t="s">
        <v>21</v>
      </c>
      <c r="I222" s="1">
        <v>43403.625</v>
      </c>
      <c r="J222">
        <v>278</v>
      </c>
      <c r="K222">
        <v>183</v>
      </c>
      <c r="L222">
        <v>2</v>
      </c>
      <c r="M222" s="1"/>
      <c r="N222" s="1"/>
      <c r="O222" t="s">
        <v>66</v>
      </c>
      <c r="P222" t="s">
        <v>149</v>
      </c>
      <c r="Q222" t="s">
        <v>258</v>
      </c>
      <c r="R222" t="s">
        <v>169</v>
      </c>
      <c r="S222" t="s">
        <v>82</v>
      </c>
      <c r="T222" t="s">
        <v>158</v>
      </c>
      <c r="U222" t="s">
        <v>158</v>
      </c>
      <c r="V222" t="str">
        <f>VLOOKUP(Table_Query_from_Reporte_1[[#This Row],[Asset_ID]],B:C,2,TRUE)</f>
        <v>TOYOTA</v>
      </c>
    </row>
    <row r="223" spans="5:22" x14ac:dyDescent="0.25">
      <c r="E223">
        <v>6256</v>
      </c>
      <c r="F223">
        <v>48</v>
      </c>
      <c r="G223" t="s">
        <v>208</v>
      </c>
      <c r="H223" t="s">
        <v>21</v>
      </c>
      <c r="I223" s="1">
        <v>43403.666666666664</v>
      </c>
      <c r="J223">
        <v>278</v>
      </c>
      <c r="K223">
        <v>183</v>
      </c>
      <c r="L223">
        <v>4</v>
      </c>
      <c r="M223" s="1"/>
      <c r="N223" s="1"/>
      <c r="O223" t="s">
        <v>66</v>
      </c>
      <c r="P223" t="s">
        <v>149</v>
      </c>
      <c r="Q223" t="s">
        <v>258</v>
      </c>
      <c r="R223" t="s">
        <v>169</v>
      </c>
      <c r="S223" t="s">
        <v>82</v>
      </c>
      <c r="T223" t="s">
        <v>158</v>
      </c>
      <c r="U223" t="s">
        <v>158</v>
      </c>
      <c r="V223" t="str">
        <f>VLOOKUP(Table_Query_from_Reporte_1[[#This Row],[Asset_ID]],B:C,2,TRUE)</f>
        <v>TOYOTA</v>
      </c>
    </row>
    <row r="224" spans="5:22" x14ac:dyDescent="0.25">
      <c r="E224">
        <v>6263</v>
      </c>
      <c r="F224">
        <v>48</v>
      </c>
      <c r="G224" t="s">
        <v>208</v>
      </c>
      <c r="H224" t="s">
        <v>21</v>
      </c>
      <c r="I224" s="1">
        <v>43403.75</v>
      </c>
      <c r="J224">
        <v>278</v>
      </c>
      <c r="K224">
        <v>183</v>
      </c>
      <c r="L224">
        <v>5</v>
      </c>
      <c r="M224" s="1"/>
      <c r="N224" s="1"/>
      <c r="O224" t="s">
        <v>66</v>
      </c>
      <c r="P224" t="s">
        <v>149</v>
      </c>
      <c r="Q224" t="s">
        <v>258</v>
      </c>
      <c r="R224" t="s">
        <v>169</v>
      </c>
      <c r="S224" t="s">
        <v>82</v>
      </c>
      <c r="T224" t="s">
        <v>158</v>
      </c>
      <c r="U224" t="s">
        <v>158</v>
      </c>
      <c r="V224" t="str">
        <f>VLOOKUP(Table_Query_from_Reporte_1[[#This Row],[Asset_ID]],B:C,2,TRUE)</f>
        <v>TOYOTA</v>
      </c>
    </row>
    <row r="225" spans="5:22" x14ac:dyDescent="0.25">
      <c r="E225">
        <v>6267</v>
      </c>
      <c r="F225">
        <v>48</v>
      </c>
      <c r="G225" t="s">
        <v>208</v>
      </c>
      <c r="H225" t="s">
        <v>21</v>
      </c>
      <c r="I225" s="1">
        <v>43403.833333333336</v>
      </c>
      <c r="J225">
        <v>278</v>
      </c>
      <c r="K225">
        <v>183</v>
      </c>
      <c r="L225">
        <v>11</v>
      </c>
      <c r="M225" s="1"/>
      <c r="N225" s="1"/>
      <c r="O225" t="s">
        <v>66</v>
      </c>
      <c r="P225" t="s">
        <v>149</v>
      </c>
      <c r="Q225" t="s">
        <v>258</v>
      </c>
      <c r="R225" t="s">
        <v>169</v>
      </c>
      <c r="S225" t="s">
        <v>82</v>
      </c>
      <c r="T225" t="s">
        <v>158</v>
      </c>
      <c r="U225" t="s">
        <v>158</v>
      </c>
      <c r="V225" t="str">
        <f>VLOOKUP(Table_Query_from_Reporte_1[[#This Row],[Asset_ID]],B:C,2,TRUE)</f>
        <v>TOYOTA</v>
      </c>
    </row>
    <row r="226" spans="5:22" x14ac:dyDescent="0.25">
      <c r="E226">
        <v>6297</v>
      </c>
      <c r="F226">
        <v>48</v>
      </c>
      <c r="G226" t="s">
        <v>208</v>
      </c>
      <c r="H226" t="s">
        <v>26</v>
      </c>
      <c r="I226" s="1">
        <v>43404.166666666664</v>
      </c>
      <c r="J226">
        <v>258</v>
      </c>
      <c r="K226">
        <v>182</v>
      </c>
      <c r="L226">
        <v>1</v>
      </c>
      <c r="M226" s="1"/>
      <c r="N226" s="1"/>
      <c r="O226" t="s">
        <v>66</v>
      </c>
      <c r="P226" t="s">
        <v>149</v>
      </c>
      <c r="Q226" t="s">
        <v>257</v>
      </c>
      <c r="R226" t="s">
        <v>84</v>
      </c>
      <c r="S226" t="s">
        <v>84</v>
      </c>
      <c r="T226" t="s">
        <v>191</v>
      </c>
      <c r="U226" t="s">
        <v>191</v>
      </c>
      <c r="V226" t="str">
        <f>VLOOKUP(Table_Query_from_Reporte_1[[#This Row],[Asset_ID]],B:C,2,TRUE)</f>
        <v>TOYOTA</v>
      </c>
    </row>
    <row r="227" spans="5:22" x14ac:dyDescent="0.25">
      <c r="E227">
        <v>6295</v>
      </c>
      <c r="F227">
        <v>48</v>
      </c>
      <c r="G227" t="s">
        <v>208</v>
      </c>
      <c r="H227" t="s">
        <v>26</v>
      </c>
      <c r="I227" s="1">
        <v>43404.208333333336</v>
      </c>
      <c r="J227">
        <v>259</v>
      </c>
      <c r="K227">
        <v>183</v>
      </c>
      <c r="L227">
        <v>5</v>
      </c>
      <c r="M227" s="1"/>
      <c r="N227" s="1"/>
      <c r="O227" t="s">
        <v>265</v>
      </c>
      <c r="P227" t="s">
        <v>149</v>
      </c>
      <c r="Q227" t="s">
        <v>258</v>
      </c>
      <c r="R227" t="s">
        <v>169</v>
      </c>
      <c r="S227" t="s">
        <v>82</v>
      </c>
      <c r="T227" t="s">
        <v>191</v>
      </c>
      <c r="U227" t="s">
        <v>259</v>
      </c>
      <c r="V227" t="str">
        <f>VLOOKUP(Table_Query_from_Reporte_1[[#This Row],[Asset_ID]],B:C,2,TRUE)</f>
        <v>TOYOTA</v>
      </c>
    </row>
    <row r="228" spans="5:22" x14ac:dyDescent="0.25">
      <c r="E228">
        <v>6284</v>
      </c>
      <c r="F228">
        <v>48</v>
      </c>
      <c r="G228" t="s">
        <v>208</v>
      </c>
      <c r="H228" t="s">
        <v>26</v>
      </c>
      <c r="I228" s="1">
        <v>43404</v>
      </c>
      <c r="J228">
        <v>261</v>
      </c>
      <c r="K228">
        <v>183</v>
      </c>
      <c r="L228">
        <v>7</v>
      </c>
      <c r="M228" s="1"/>
      <c r="N228" s="1"/>
      <c r="O228" t="s">
        <v>266</v>
      </c>
      <c r="P228" t="s">
        <v>149</v>
      </c>
      <c r="Q228" t="s">
        <v>258</v>
      </c>
      <c r="R228" t="s">
        <v>169</v>
      </c>
      <c r="S228" t="s">
        <v>82</v>
      </c>
      <c r="T228" t="s">
        <v>155</v>
      </c>
      <c r="U228" t="s">
        <v>155</v>
      </c>
      <c r="V228" t="str">
        <f>VLOOKUP(Table_Query_from_Reporte_1[[#This Row],[Asset_ID]],B:C,2,TRUE)</f>
        <v>TOYOTA</v>
      </c>
    </row>
    <row r="229" spans="5:22" x14ac:dyDescent="0.25">
      <c r="E229">
        <v>6285</v>
      </c>
      <c r="F229">
        <v>48</v>
      </c>
      <c r="G229" t="s">
        <v>208</v>
      </c>
      <c r="H229" t="s">
        <v>26</v>
      </c>
      <c r="I229" s="1">
        <v>43404</v>
      </c>
      <c r="J229">
        <v>265</v>
      </c>
      <c r="K229">
        <v>28</v>
      </c>
      <c r="L229">
        <v>3</v>
      </c>
      <c r="M229" s="1"/>
      <c r="N229" s="1"/>
      <c r="O229" t="s">
        <v>192</v>
      </c>
      <c r="P229" t="s">
        <v>149</v>
      </c>
      <c r="Q229" t="s">
        <v>99</v>
      </c>
      <c r="R229" t="s">
        <v>89</v>
      </c>
      <c r="S229" t="s">
        <v>82</v>
      </c>
      <c r="T229" t="s">
        <v>150</v>
      </c>
      <c r="U229" t="s">
        <v>150</v>
      </c>
      <c r="V229" t="str">
        <f>VLOOKUP(Table_Query_from_Reporte_1[[#This Row],[Asset_ID]],B:C,2,TRUE)</f>
        <v>TOYOTA</v>
      </c>
    </row>
    <row r="230" spans="5:22" x14ac:dyDescent="0.25">
      <c r="E230">
        <v>6281</v>
      </c>
      <c r="F230">
        <v>48</v>
      </c>
      <c r="G230" t="s">
        <v>208</v>
      </c>
      <c r="H230" t="s">
        <v>26</v>
      </c>
      <c r="I230" s="1">
        <v>43403.958333333336</v>
      </c>
      <c r="J230">
        <v>266</v>
      </c>
      <c r="K230">
        <v>109</v>
      </c>
      <c r="L230">
        <v>7</v>
      </c>
      <c r="M230" s="1"/>
      <c r="N230" s="1"/>
      <c r="O230" t="s">
        <v>66</v>
      </c>
      <c r="P230" t="s">
        <v>149</v>
      </c>
      <c r="Q230" t="s">
        <v>156</v>
      </c>
      <c r="R230" t="s">
        <v>152</v>
      </c>
      <c r="S230" t="s">
        <v>82</v>
      </c>
      <c r="T230" t="s">
        <v>150</v>
      </c>
      <c r="U230" t="s">
        <v>151</v>
      </c>
      <c r="V230" t="str">
        <f>VLOOKUP(Table_Query_from_Reporte_1[[#This Row],[Asset_ID]],B:C,2,TRUE)</f>
        <v>TOYOTA</v>
      </c>
    </row>
    <row r="231" spans="5:22" x14ac:dyDescent="0.25">
      <c r="E231">
        <v>6287</v>
      </c>
      <c r="F231">
        <v>48</v>
      </c>
      <c r="G231" t="s">
        <v>208</v>
      </c>
      <c r="H231" t="s">
        <v>26</v>
      </c>
      <c r="I231" s="1">
        <v>43404.083333333336</v>
      </c>
      <c r="J231">
        <v>266</v>
      </c>
      <c r="K231">
        <v>109</v>
      </c>
      <c r="L231">
        <v>10</v>
      </c>
      <c r="M231" s="1"/>
      <c r="N231" s="1"/>
      <c r="O231" t="s">
        <v>66</v>
      </c>
      <c r="P231" t="s">
        <v>149</v>
      </c>
      <c r="Q231" t="s">
        <v>156</v>
      </c>
      <c r="R231" t="s">
        <v>152</v>
      </c>
      <c r="S231" t="s">
        <v>82</v>
      </c>
      <c r="T231" t="s">
        <v>150</v>
      </c>
      <c r="U231" t="s">
        <v>151</v>
      </c>
      <c r="V231" t="str">
        <f>VLOOKUP(Table_Query_from_Reporte_1[[#This Row],[Asset_ID]],B:C,2,TRUE)</f>
        <v>TOYOTA</v>
      </c>
    </row>
    <row r="232" spans="5:22" x14ac:dyDescent="0.25">
      <c r="E232">
        <v>6278</v>
      </c>
      <c r="F232">
        <v>48</v>
      </c>
      <c r="G232" t="s">
        <v>208</v>
      </c>
      <c r="H232" t="s">
        <v>26</v>
      </c>
      <c r="I232" s="1">
        <v>43403.916666666664</v>
      </c>
      <c r="J232">
        <v>269</v>
      </c>
      <c r="K232">
        <v>2</v>
      </c>
      <c r="L232">
        <v>3</v>
      </c>
      <c r="M232" s="1"/>
      <c r="N232" s="1"/>
      <c r="O232" t="s">
        <v>66</v>
      </c>
      <c r="P232" t="s">
        <v>149</v>
      </c>
      <c r="Q232" t="s">
        <v>170</v>
      </c>
      <c r="R232" t="s">
        <v>85</v>
      </c>
      <c r="S232" t="s">
        <v>85</v>
      </c>
      <c r="T232" t="s">
        <v>141</v>
      </c>
      <c r="U232" t="s">
        <v>141</v>
      </c>
      <c r="V232" t="str">
        <f>VLOOKUP(Table_Query_from_Reporte_1[[#This Row],[Asset_ID]],B:C,2,TRUE)</f>
        <v>TOYOTA</v>
      </c>
    </row>
    <row r="233" spans="5:22" x14ac:dyDescent="0.25">
      <c r="E233">
        <v>6291</v>
      </c>
      <c r="F233">
        <v>48</v>
      </c>
      <c r="G233" t="s">
        <v>208</v>
      </c>
      <c r="H233" t="s">
        <v>26</v>
      </c>
      <c r="I233" s="1">
        <v>43404.125</v>
      </c>
      <c r="J233">
        <v>269</v>
      </c>
      <c r="K233">
        <v>49</v>
      </c>
      <c r="L233">
        <v>3</v>
      </c>
      <c r="M233" s="1"/>
      <c r="N233" s="1"/>
      <c r="O233" t="s">
        <v>267</v>
      </c>
      <c r="P233" t="s">
        <v>149</v>
      </c>
      <c r="Q233" t="s">
        <v>268</v>
      </c>
      <c r="R233" t="s">
        <v>101</v>
      </c>
      <c r="S233" t="s">
        <v>82</v>
      </c>
      <c r="T233" t="s">
        <v>141</v>
      </c>
      <c r="U233" t="s">
        <v>141</v>
      </c>
      <c r="V233" t="str">
        <f>VLOOKUP(Table_Query_from_Reporte_1[[#This Row],[Asset_ID]],B:C,2,TRUE)</f>
        <v>TOYOTA</v>
      </c>
    </row>
    <row r="234" spans="5:22" x14ac:dyDescent="0.25">
      <c r="E234">
        <v>6294</v>
      </c>
      <c r="F234">
        <v>48</v>
      </c>
      <c r="G234" t="s">
        <v>208</v>
      </c>
      <c r="H234" t="s">
        <v>26</v>
      </c>
      <c r="I234" s="1">
        <v>43404.166666666664</v>
      </c>
      <c r="J234">
        <v>269</v>
      </c>
      <c r="K234">
        <v>182</v>
      </c>
      <c r="L234">
        <v>3</v>
      </c>
      <c r="M234" s="1"/>
      <c r="N234" s="1"/>
      <c r="O234" t="s">
        <v>66</v>
      </c>
      <c r="P234" t="s">
        <v>149</v>
      </c>
      <c r="Q234" t="s">
        <v>257</v>
      </c>
      <c r="R234" t="s">
        <v>84</v>
      </c>
      <c r="S234" t="s">
        <v>84</v>
      </c>
      <c r="T234" t="s">
        <v>141</v>
      </c>
      <c r="U234" t="s">
        <v>141</v>
      </c>
      <c r="V234" t="str">
        <f>VLOOKUP(Table_Query_from_Reporte_1[[#This Row],[Asset_ID]],B:C,2,TRUE)</f>
        <v>TOYOTA</v>
      </c>
    </row>
    <row r="235" spans="5:22" x14ac:dyDescent="0.25">
      <c r="E235">
        <v>6279</v>
      </c>
      <c r="F235">
        <v>48</v>
      </c>
      <c r="G235" t="s">
        <v>208</v>
      </c>
      <c r="H235" t="s">
        <v>26</v>
      </c>
      <c r="I235" s="1">
        <v>43403.916666666664</v>
      </c>
      <c r="J235">
        <v>274</v>
      </c>
      <c r="K235">
        <v>130</v>
      </c>
      <c r="L235">
        <v>6</v>
      </c>
      <c r="M235" s="1"/>
      <c r="N235" s="1"/>
      <c r="O235" t="s">
        <v>66</v>
      </c>
      <c r="P235" t="s">
        <v>149</v>
      </c>
      <c r="Q235" t="s">
        <v>154</v>
      </c>
      <c r="R235" t="s">
        <v>87</v>
      </c>
      <c r="S235" t="s">
        <v>82</v>
      </c>
      <c r="T235" t="s">
        <v>153</v>
      </c>
      <c r="U235" t="s">
        <v>153</v>
      </c>
      <c r="V235" t="str">
        <f>VLOOKUP(Table_Query_from_Reporte_1[[#This Row],[Asset_ID]],B:C,2,TRUE)</f>
        <v>TOYOTA</v>
      </c>
    </row>
    <row r="236" spans="5:22" x14ac:dyDescent="0.25">
      <c r="E236">
        <v>6283</v>
      </c>
      <c r="F236">
        <v>48</v>
      </c>
      <c r="G236" t="s">
        <v>208</v>
      </c>
      <c r="H236" t="s">
        <v>26</v>
      </c>
      <c r="I236" s="1">
        <v>43403.958333333336</v>
      </c>
      <c r="J236">
        <v>274</v>
      </c>
      <c r="K236">
        <v>160</v>
      </c>
      <c r="L236">
        <v>3</v>
      </c>
      <c r="M236" s="1"/>
      <c r="N236" s="1"/>
      <c r="O236" t="s">
        <v>269</v>
      </c>
      <c r="P236" t="s">
        <v>149</v>
      </c>
      <c r="Q236" t="s">
        <v>160</v>
      </c>
      <c r="R236" t="s">
        <v>104</v>
      </c>
      <c r="S236" t="s">
        <v>104</v>
      </c>
      <c r="T236" t="s">
        <v>153</v>
      </c>
      <c r="U236" t="s">
        <v>153</v>
      </c>
      <c r="V236" t="str">
        <f>VLOOKUP(Table_Query_from_Reporte_1[[#This Row],[Asset_ID]],B:C,2,TRUE)</f>
        <v>TOYOTA</v>
      </c>
    </row>
    <row r="237" spans="5:22" x14ac:dyDescent="0.25">
      <c r="E237">
        <v>6288</v>
      </c>
      <c r="F237">
        <v>48</v>
      </c>
      <c r="G237" t="s">
        <v>208</v>
      </c>
      <c r="H237" t="s">
        <v>26</v>
      </c>
      <c r="I237" s="1">
        <v>43404.083333333336</v>
      </c>
      <c r="J237">
        <v>274</v>
      </c>
      <c r="K237">
        <v>130</v>
      </c>
      <c r="L237">
        <v>5</v>
      </c>
      <c r="M237" s="1"/>
      <c r="N237" s="1"/>
      <c r="O237" t="s">
        <v>66</v>
      </c>
      <c r="P237" t="s">
        <v>149</v>
      </c>
      <c r="Q237" t="s">
        <v>154</v>
      </c>
      <c r="R237" t="s">
        <v>87</v>
      </c>
      <c r="S237" t="s">
        <v>82</v>
      </c>
      <c r="T237" t="s">
        <v>153</v>
      </c>
      <c r="U237" t="s">
        <v>153</v>
      </c>
      <c r="V237" t="str">
        <f>VLOOKUP(Table_Query_from_Reporte_1[[#This Row],[Asset_ID]],B:C,2,TRUE)</f>
        <v>TOYOTA</v>
      </c>
    </row>
    <row r="238" spans="5:22" x14ac:dyDescent="0.25">
      <c r="E238">
        <v>6292</v>
      </c>
      <c r="F238">
        <v>48</v>
      </c>
      <c r="G238" t="s">
        <v>208</v>
      </c>
      <c r="H238" t="s">
        <v>26</v>
      </c>
      <c r="I238" s="1">
        <v>43404.125</v>
      </c>
      <c r="J238">
        <v>274</v>
      </c>
      <c r="K238">
        <v>98</v>
      </c>
      <c r="L238">
        <v>4</v>
      </c>
      <c r="M238" s="1"/>
      <c r="N238" s="1"/>
      <c r="O238" t="s">
        <v>270</v>
      </c>
      <c r="P238" t="s">
        <v>149</v>
      </c>
      <c r="Q238" t="s">
        <v>161</v>
      </c>
      <c r="R238" t="s">
        <v>103</v>
      </c>
      <c r="S238" t="s">
        <v>82</v>
      </c>
      <c r="T238" t="s">
        <v>153</v>
      </c>
      <c r="U238" t="s">
        <v>153</v>
      </c>
      <c r="V238" t="str">
        <f>VLOOKUP(Table_Query_from_Reporte_1[[#This Row],[Asset_ID]],B:C,2,TRUE)</f>
        <v>TOYOTA</v>
      </c>
    </row>
    <row r="239" spans="5:22" x14ac:dyDescent="0.25">
      <c r="E239">
        <v>6296</v>
      </c>
      <c r="F239">
        <v>48</v>
      </c>
      <c r="G239" t="s">
        <v>208</v>
      </c>
      <c r="H239" t="s">
        <v>26</v>
      </c>
      <c r="I239" s="1">
        <v>43404.208333333336</v>
      </c>
      <c r="J239">
        <v>274</v>
      </c>
      <c r="K239">
        <v>130</v>
      </c>
      <c r="L239">
        <v>6</v>
      </c>
      <c r="M239" s="1"/>
      <c r="N239" s="1"/>
      <c r="O239" t="s">
        <v>66</v>
      </c>
      <c r="P239" t="s">
        <v>149</v>
      </c>
      <c r="Q239" t="s">
        <v>154</v>
      </c>
      <c r="R239" t="s">
        <v>87</v>
      </c>
      <c r="S239" t="s">
        <v>82</v>
      </c>
      <c r="T239" t="s">
        <v>153</v>
      </c>
      <c r="U239" t="s">
        <v>153</v>
      </c>
      <c r="V239" t="str">
        <f>VLOOKUP(Table_Query_from_Reporte_1[[#This Row],[Asset_ID]],B:C,2,TRUE)</f>
        <v>TOYOTA</v>
      </c>
    </row>
    <row r="240" spans="5:22" x14ac:dyDescent="0.25">
      <c r="E240">
        <v>6290</v>
      </c>
      <c r="F240">
        <v>48</v>
      </c>
      <c r="G240" t="s">
        <v>208</v>
      </c>
      <c r="H240" t="s">
        <v>26</v>
      </c>
      <c r="I240" s="1">
        <v>43404.125</v>
      </c>
      <c r="J240">
        <v>278</v>
      </c>
      <c r="K240">
        <v>183</v>
      </c>
      <c r="L240">
        <v>3</v>
      </c>
      <c r="M240" s="1"/>
      <c r="N240" s="1"/>
      <c r="O240" t="s">
        <v>66</v>
      </c>
      <c r="P240" t="s">
        <v>149</v>
      </c>
      <c r="Q240" t="s">
        <v>258</v>
      </c>
      <c r="R240" t="s">
        <v>169</v>
      </c>
      <c r="S240" t="s">
        <v>82</v>
      </c>
      <c r="T240" t="s">
        <v>158</v>
      </c>
      <c r="U240" t="s">
        <v>158</v>
      </c>
      <c r="V240" t="str">
        <f>VLOOKUP(Table_Query_from_Reporte_1[[#This Row],[Asset_ID]],B:C,2,TRUE)</f>
        <v>TOYOTA</v>
      </c>
    </row>
    <row r="241" spans="5:22" x14ac:dyDescent="0.25">
      <c r="E241">
        <v>6293</v>
      </c>
      <c r="F241">
        <v>48</v>
      </c>
      <c r="G241" t="s">
        <v>208</v>
      </c>
      <c r="H241" t="s">
        <v>26</v>
      </c>
      <c r="I241" s="1">
        <v>43404.166666666664</v>
      </c>
      <c r="J241">
        <v>278</v>
      </c>
      <c r="K241">
        <v>34</v>
      </c>
      <c r="L241">
        <v>3</v>
      </c>
      <c r="M241" s="1"/>
      <c r="N241" s="1"/>
      <c r="O241" t="s">
        <v>66</v>
      </c>
      <c r="P241" t="s">
        <v>149</v>
      </c>
      <c r="Q241" t="s">
        <v>181</v>
      </c>
      <c r="R241" t="s">
        <v>169</v>
      </c>
      <c r="S241" t="s">
        <v>82</v>
      </c>
      <c r="T241" t="s">
        <v>158</v>
      </c>
      <c r="U241" t="s">
        <v>158</v>
      </c>
      <c r="V241" t="str">
        <f>VLOOKUP(Table_Query_from_Reporte_1[[#This Row],[Asset_ID]],B:C,2,TRUE)</f>
        <v>TOYOTA</v>
      </c>
    </row>
    <row r="242" spans="5:22" x14ac:dyDescent="0.25">
      <c r="E242">
        <v>6282</v>
      </c>
      <c r="F242">
        <v>48</v>
      </c>
      <c r="G242" t="s">
        <v>208</v>
      </c>
      <c r="H242" t="s">
        <v>26</v>
      </c>
      <c r="I242" s="1">
        <v>43403.958333333336</v>
      </c>
      <c r="J242">
        <v>279</v>
      </c>
      <c r="K242">
        <v>34</v>
      </c>
      <c r="L242">
        <v>3</v>
      </c>
      <c r="M242" s="1"/>
      <c r="N242" s="1"/>
      <c r="O242" t="s">
        <v>66</v>
      </c>
      <c r="P242" t="s">
        <v>149</v>
      </c>
      <c r="Q242" t="s">
        <v>181</v>
      </c>
      <c r="R242" t="s">
        <v>169</v>
      </c>
      <c r="S242" t="s">
        <v>82</v>
      </c>
      <c r="T242" t="s">
        <v>158</v>
      </c>
      <c r="U242" t="s">
        <v>263</v>
      </c>
      <c r="V242" t="str">
        <f>VLOOKUP(Table_Query_from_Reporte_1[[#This Row],[Asset_ID]],B:C,2,TRUE)</f>
        <v>TOYOTA</v>
      </c>
    </row>
    <row r="243" spans="5:22" x14ac:dyDescent="0.25">
      <c r="E243">
        <v>6286</v>
      </c>
      <c r="F243">
        <v>48</v>
      </c>
      <c r="G243" t="s">
        <v>208</v>
      </c>
      <c r="H243" t="s">
        <v>26</v>
      </c>
      <c r="I243" s="1">
        <v>43404</v>
      </c>
      <c r="J243">
        <v>279</v>
      </c>
      <c r="K243">
        <v>34</v>
      </c>
      <c r="L243">
        <v>3</v>
      </c>
      <c r="M243" s="1"/>
      <c r="N243" s="1"/>
      <c r="O243" t="s">
        <v>66</v>
      </c>
      <c r="P243" t="s">
        <v>149</v>
      </c>
      <c r="Q243" t="s">
        <v>181</v>
      </c>
      <c r="R243" t="s">
        <v>169</v>
      </c>
      <c r="S243" t="s">
        <v>82</v>
      </c>
      <c r="T243" t="s">
        <v>158</v>
      </c>
      <c r="U243" t="s">
        <v>263</v>
      </c>
      <c r="V243" t="str">
        <f>VLOOKUP(Table_Query_from_Reporte_1[[#This Row],[Asset_ID]],B:C,2,TRUE)</f>
        <v>TOYOTA</v>
      </c>
    </row>
    <row r="244" spans="5:22" x14ac:dyDescent="0.25">
      <c r="E244">
        <v>6289</v>
      </c>
      <c r="F244">
        <v>48</v>
      </c>
      <c r="G244" t="s">
        <v>208</v>
      </c>
      <c r="H244" t="s">
        <v>26</v>
      </c>
      <c r="I244" s="1">
        <v>43404.041666666664</v>
      </c>
      <c r="J244">
        <v>279</v>
      </c>
      <c r="K244">
        <v>34</v>
      </c>
      <c r="L244">
        <v>1</v>
      </c>
      <c r="M244" s="1"/>
      <c r="N244" s="1"/>
      <c r="O244" t="s">
        <v>66</v>
      </c>
      <c r="P244" t="s">
        <v>149</v>
      </c>
      <c r="Q244" t="s">
        <v>181</v>
      </c>
      <c r="R244" t="s">
        <v>169</v>
      </c>
      <c r="S244" t="s">
        <v>82</v>
      </c>
      <c r="T244" t="s">
        <v>158</v>
      </c>
      <c r="U244" t="s">
        <v>263</v>
      </c>
      <c r="V244" t="str">
        <f>VLOOKUP(Table_Query_from_Reporte_1[[#This Row],[Asset_ID]],B:C,2,TRUE)</f>
        <v>TOYOTA</v>
      </c>
    </row>
    <row r="245" spans="5:22" x14ac:dyDescent="0.25">
      <c r="E245">
        <v>6280</v>
      </c>
      <c r="F245">
        <v>48</v>
      </c>
      <c r="G245" t="s">
        <v>208</v>
      </c>
      <c r="H245" t="s">
        <v>26</v>
      </c>
      <c r="I245" s="1">
        <v>43403.916666666664</v>
      </c>
      <c r="J245">
        <v>280</v>
      </c>
      <c r="K245">
        <v>183</v>
      </c>
      <c r="L245">
        <v>3</v>
      </c>
      <c r="M245" s="1"/>
      <c r="N245" s="1"/>
      <c r="O245" t="s">
        <v>66</v>
      </c>
      <c r="P245" t="s">
        <v>149</v>
      </c>
      <c r="Q245" t="s">
        <v>258</v>
      </c>
      <c r="R245" t="s">
        <v>169</v>
      </c>
      <c r="S245" t="s">
        <v>82</v>
      </c>
      <c r="T245" t="s">
        <v>159</v>
      </c>
      <c r="U245" t="s">
        <v>159</v>
      </c>
      <c r="V245" t="str">
        <f>VLOOKUP(Table_Query_from_Reporte_1[[#This Row],[Asset_ID]],B:C,2,TRUE)</f>
        <v>TOYOTA</v>
      </c>
    </row>
    <row r="246" spans="5:22" x14ac:dyDescent="0.25">
      <c r="E246">
        <v>6052</v>
      </c>
      <c r="F246">
        <v>80</v>
      </c>
      <c r="G246" t="s">
        <v>208</v>
      </c>
      <c r="H246" t="s">
        <v>24</v>
      </c>
      <c r="I246" s="1">
        <v>43403.25</v>
      </c>
      <c r="J246">
        <v>294</v>
      </c>
      <c r="K246">
        <v>148</v>
      </c>
      <c r="L246">
        <v>39.299999999999997</v>
      </c>
      <c r="M246" s="1"/>
      <c r="N246" s="1"/>
      <c r="O246" t="s">
        <v>66</v>
      </c>
      <c r="P246" t="s">
        <v>271</v>
      </c>
      <c r="Q246" t="s">
        <v>237</v>
      </c>
      <c r="R246" t="s">
        <v>238</v>
      </c>
      <c r="S246" t="s">
        <v>238</v>
      </c>
      <c r="T246" t="s">
        <v>272</v>
      </c>
      <c r="U246" t="s">
        <v>273</v>
      </c>
      <c r="V246" t="str">
        <f>VLOOKUP(Table_Query_from_Reporte_1[[#This Row],[Asset_ID]],B:C,2,TRUE)</f>
        <v>FORD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26"/>
  <sheetViews>
    <sheetView workbookViewId="0">
      <selection activeCell="L1" sqref="L1"/>
    </sheetView>
  </sheetViews>
  <sheetFormatPr defaultRowHeight="15" x14ac:dyDescent="0.25"/>
  <cols>
    <col min="1" max="1" width="5.140625" bestFit="1" customWidth="1"/>
    <col min="2" max="2" width="11" bestFit="1" customWidth="1"/>
    <col min="3" max="3" width="17.28515625" bestFit="1" customWidth="1"/>
    <col min="4" max="4" width="7.42578125" bestFit="1" customWidth="1"/>
    <col min="5" max="5" width="22.85546875" customWidth="1"/>
    <col min="6" max="6" width="11.140625" bestFit="1" customWidth="1"/>
    <col min="7" max="7" width="18.28515625" customWidth="1"/>
    <col min="8" max="8" width="6.42578125" bestFit="1" customWidth="1"/>
    <col min="9" max="9" width="8.85546875" bestFit="1" customWidth="1"/>
    <col min="10" max="11" width="15.85546875" customWidth="1"/>
    <col min="12" max="14" width="12" customWidth="1"/>
    <col min="15" max="15" width="12.5703125" bestFit="1" customWidth="1"/>
    <col min="16" max="16" width="20.140625" bestFit="1" customWidth="1"/>
    <col min="17" max="17" width="11.140625" bestFit="1" customWidth="1"/>
    <col min="18" max="18" width="13.28515625" bestFit="1" customWidth="1"/>
    <col min="19" max="19" width="14.7109375" bestFit="1" customWidth="1"/>
    <col min="20" max="21" width="12" customWidth="1"/>
    <col min="22" max="22" width="9.855468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73</v>
      </c>
    </row>
    <row r="2" spans="1:22" x14ac:dyDescent="0.25">
      <c r="A2">
        <v>629</v>
      </c>
      <c r="B2">
        <v>18</v>
      </c>
      <c r="C2" t="s">
        <v>208</v>
      </c>
      <c r="D2" t="s">
        <v>24</v>
      </c>
      <c r="E2" t="s">
        <v>31</v>
      </c>
      <c r="F2">
        <v>629</v>
      </c>
      <c r="G2" t="s">
        <v>209</v>
      </c>
      <c r="H2">
        <v>78</v>
      </c>
      <c r="I2">
        <v>47</v>
      </c>
      <c r="J2" s="1">
        <v>43403.25</v>
      </c>
      <c r="K2" s="1">
        <v>43403.292256944442</v>
      </c>
      <c r="L2">
        <v>1.01416666666667</v>
      </c>
      <c r="M2">
        <v>1.01416666666667</v>
      </c>
      <c r="N2">
        <v>0.58416666666666694</v>
      </c>
      <c r="O2">
        <v>25.8</v>
      </c>
      <c r="P2">
        <v>0</v>
      </c>
      <c r="Q2">
        <v>0</v>
      </c>
      <c r="R2">
        <v>0.57600657354149598</v>
      </c>
      <c r="S2">
        <v>1.0314934708657999</v>
      </c>
      <c r="T2">
        <v>1</v>
      </c>
      <c r="U2">
        <v>0.594147019783832</v>
      </c>
      <c r="V2" t="str">
        <f>VLOOKUP(Table_Query_from_Reporte[[#This Row],[Asset_ID]],Datos!B:C,2,TRUE)</f>
        <v>BUSHING</v>
      </c>
    </row>
    <row r="3" spans="1:22" x14ac:dyDescent="0.25">
      <c r="A3">
        <v>629</v>
      </c>
      <c r="B3">
        <v>18</v>
      </c>
      <c r="C3" t="s">
        <v>208</v>
      </c>
      <c r="D3" t="s">
        <v>24</v>
      </c>
      <c r="E3" t="s">
        <v>31</v>
      </c>
      <c r="F3">
        <v>629</v>
      </c>
      <c r="G3" t="s">
        <v>214</v>
      </c>
      <c r="H3">
        <v>78</v>
      </c>
      <c r="I3">
        <v>418</v>
      </c>
      <c r="J3" s="1">
        <v>43403.292256944442</v>
      </c>
      <c r="K3" s="1">
        <v>43403.583333333336</v>
      </c>
      <c r="L3">
        <v>6.9858333333333302</v>
      </c>
      <c r="M3">
        <v>5.8958333333333304</v>
      </c>
      <c r="N3">
        <v>5.3591666666666704</v>
      </c>
      <c r="O3">
        <v>32.200000000000003</v>
      </c>
      <c r="P3">
        <v>65.400000000000006</v>
      </c>
      <c r="Q3">
        <v>0</v>
      </c>
      <c r="R3">
        <v>0.90897526501766801</v>
      </c>
      <c r="S3">
        <v>0.99996411612023495</v>
      </c>
      <c r="T3">
        <v>1</v>
      </c>
      <c r="U3">
        <v>0.90894264745854902</v>
      </c>
      <c r="V3" t="str">
        <f>VLOOKUP(Table_Query_from_Reporte[[#This Row],[Asset_ID]],Datos!B:C,2,TRUE)</f>
        <v>BUSHING</v>
      </c>
    </row>
    <row r="4" spans="1:22" x14ac:dyDescent="0.25">
      <c r="A4">
        <v>635</v>
      </c>
      <c r="B4">
        <v>21</v>
      </c>
      <c r="C4" t="s">
        <v>208</v>
      </c>
      <c r="D4" t="s">
        <v>24</v>
      </c>
      <c r="E4" t="s">
        <v>22</v>
      </c>
      <c r="F4">
        <v>635</v>
      </c>
      <c r="G4" t="s">
        <v>23</v>
      </c>
      <c r="H4">
        <v>78</v>
      </c>
      <c r="I4">
        <v>515</v>
      </c>
      <c r="J4" s="1">
        <v>43403.25</v>
      </c>
      <c r="K4" s="1">
        <v>43403.583333333336</v>
      </c>
      <c r="L4">
        <v>8</v>
      </c>
      <c r="M4">
        <v>7.6666666666666696</v>
      </c>
      <c r="N4">
        <v>6.5833333333333304</v>
      </c>
      <c r="O4">
        <v>65</v>
      </c>
      <c r="P4">
        <v>20</v>
      </c>
      <c r="Q4">
        <v>14</v>
      </c>
      <c r="R4">
        <v>0.85869565217391297</v>
      </c>
      <c r="S4">
        <v>1.0029211295034099</v>
      </c>
      <c r="T4">
        <v>0.97281553398058296</v>
      </c>
      <c r="U4">
        <v>0.837792642140468</v>
      </c>
      <c r="V4" t="str">
        <f>VLOOKUP(Table_Query_from_Reporte[[#This Row],[Asset_ID]],Datos!B:C,2,TRUE)</f>
        <v>FORD</v>
      </c>
    </row>
    <row r="5" spans="1:22" x14ac:dyDescent="0.25">
      <c r="A5">
        <v>624</v>
      </c>
      <c r="B5">
        <v>22</v>
      </c>
      <c r="C5" t="s">
        <v>208</v>
      </c>
      <c r="D5" t="s">
        <v>24</v>
      </c>
      <c r="E5" t="s">
        <v>25</v>
      </c>
      <c r="F5">
        <v>624</v>
      </c>
      <c r="G5" t="s">
        <v>165</v>
      </c>
      <c r="H5">
        <v>78</v>
      </c>
      <c r="I5">
        <v>460</v>
      </c>
      <c r="J5" s="1">
        <v>43403.25</v>
      </c>
      <c r="K5" s="1">
        <v>43403.583333333336</v>
      </c>
      <c r="L5">
        <v>8</v>
      </c>
      <c r="M5">
        <v>7.3666666666666698</v>
      </c>
      <c r="N5">
        <v>5.9</v>
      </c>
      <c r="O5">
        <v>88</v>
      </c>
      <c r="P5">
        <v>38</v>
      </c>
      <c r="Q5">
        <v>10</v>
      </c>
      <c r="R5">
        <v>0.80090497737556599</v>
      </c>
      <c r="S5">
        <v>0.99956540634506696</v>
      </c>
      <c r="T5">
        <v>0.97826086956521696</v>
      </c>
      <c r="U5">
        <v>0.78315349808562496</v>
      </c>
      <c r="V5" t="str">
        <f>VLOOKUP(Table_Query_from_Reporte[[#This Row],[Asset_ID]],Datos!B:C,2,TRUE)</f>
        <v>FORD</v>
      </c>
    </row>
    <row r="6" spans="1:22" x14ac:dyDescent="0.25">
      <c r="A6">
        <v>632</v>
      </c>
      <c r="B6">
        <v>23</v>
      </c>
      <c r="C6" t="s">
        <v>208</v>
      </c>
      <c r="D6" t="s">
        <v>24</v>
      </c>
      <c r="E6" t="s">
        <v>30</v>
      </c>
      <c r="F6">
        <v>632</v>
      </c>
      <c r="G6" t="s">
        <v>226</v>
      </c>
      <c r="H6">
        <v>78</v>
      </c>
      <c r="I6">
        <v>503</v>
      </c>
      <c r="J6" s="1">
        <v>43403.25</v>
      </c>
      <c r="K6" s="1">
        <v>43403.583333333336</v>
      </c>
      <c r="L6">
        <v>8</v>
      </c>
      <c r="M6">
        <v>7.5</v>
      </c>
      <c r="N6">
        <v>6.4550000000000001</v>
      </c>
      <c r="O6">
        <v>62.7</v>
      </c>
      <c r="P6">
        <v>30</v>
      </c>
      <c r="Q6">
        <v>4</v>
      </c>
      <c r="R6">
        <v>0.86066666666666702</v>
      </c>
      <c r="S6">
        <v>0.999026792984965</v>
      </c>
      <c r="T6">
        <v>0.99204771371769396</v>
      </c>
      <c r="U6">
        <v>0.85299145299145296</v>
      </c>
      <c r="V6" t="str">
        <f>VLOOKUP(Table_Query_from_Reporte[[#This Row],[Asset_ID]],Datos!B:C,2,TRUE)</f>
        <v>BUSHING</v>
      </c>
    </row>
    <row r="7" spans="1:22" x14ac:dyDescent="0.25">
      <c r="A7">
        <v>627</v>
      </c>
      <c r="B7">
        <v>37</v>
      </c>
      <c r="C7" t="s">
        <v>208</v>
      </c>
      <c r="D7" t="s">
        <v>24</v>
      </c>
      <c r="E7" t="s">
        <v>32</v>
      </c>
      <c r="F7">
        <v>627</v>
      </c>
      <c r="G7" t="s">
        <v>233</v>
      </c>
      <c r="H7">
        <v>141</v>
      </c>
      <c r="I7">
        <v>826</v>
      </c>
      <c r="J7" s="1">
        <v>43403.25</v>
      </c>
      <c r="K7" s="1">
        <v>43403.583333333336</v>
      </c>
      <c r="L7">
        <v>8</v>
      </c>
      <c r="M7">
        <v>7.5</v>
      </c>
      <c r="N7">
        <v>5.8466666666666702</v>
      </c>
      <c r="O7">
        <v>99.2</v>
      </c>
      <c r="P7">
        <v>30</v>
      </c>
      <c r="Q7">
        <v>6</v>
      </c>
      <c r="R7">
        <v>0.779555555555556</v>
      </c>
      <c r="S7">
        <v>1.0019651131759599</v>
      </c>
      <c r="T7">
        <v>0.99273607748184001</v>
      </c>
      <c r="U7">
        <v>0.77541371158392403</v>
      </c>
      <c r="V7" t="str">
        <f>VLOOKUP(Table_Query_from_Reporte[[#This Row],[Asset_ID]],Datos!B:C,2,TRUE)</f>
        <v>FORD</v>
      </c>
    </row>
    <row r="8" spans="1:22" x14ac:dyDescent="0.25">
      <c r="A8">
        <v>626</v>
      </c>
      <c r="B8">
        <v>42</v>
      </c>
      <c r="C8" t="s">
        <v>208</v>
      </c>
      <c r="D8" t="s">
        <v>24</v>
      </c>
      <c r="E8" t="s">
        <v>33</v>
      </c>
      <c r="F8">
        <v>626</v>
      </c>
      <c r="G8" t="s">
        <v>236</v>
      </c>
      <c r="H8">
        <v>156</v>
      </c>
      <c r="I8">
        <v>951</v>
      </c>
      <c r="J8" s="1">
        <v>43403.25</v>
      </c>
      <c r="K8" s="1">
        <v>43403.583333333336</v>
      </c>
      <c r="L8">
        <v>8</v>
      </c>
      <c r="M8">
        <v>7.5</v>
      </c>
      <c r="N8">
        <v>6.13</v>
      </c>
      <c r="O8">
        <v>82.2</v>
      </c>
      <c r="P8">
        <v>30</v>
      </c>
      <c r="Q8">
        <v>3</v>
      </c>
      <c r="R8">
        <v>0.81733333333333302</v>
      </c>
      <c r="S8">
        <v>0.99447860459279702</v>
      </c>
      <c r="T8">
        <v>0.99684542586750802</v>
      </c>
      <c r="U8">
        <v>0.81025641025641004</v>
      </c>
      <c r="V8" t="str">
        <f>VLOOKUP(Table_Query_from_Reporte[[#This Row],[Asset_ID]],Datos!B:C,2,TRUE)</f>
        <v>FORD</v>
      </c>
    </row>
    <row r="9" spans="1:22" x14ac:dyDescent="0.25">
      <c r="A9">
        <v>625</v>
      </c>
      <c r="B9">
        <v>43</v>
      </c>
      <c r="C9" t="s">
        <v>208</v>
      </c>
      <c r="D9" t="s">
        <v>24</v>
      </c>
      <c r="E9" t="s">
        <v>34</v>
      </c>
      <c r="F9">
        <v>625</v>
      </c>
      <c r="G9" t="s">
        <v>239</v>
      </c>
      <c r="H9">
        <v>156</v>
      </c>
      <c r="I9">
        <v>1119</v>
      </c>
      <c r="J9" s="1">
        <v>43403.25</v>
      </c>
      <c r="K9" s="1">
        <v>43403.583333333336</v>
      </c>
      <c r="L9">
        <v>8</v>
      </c>
      <c r="M9">
        <v>7.5</v>
      </c>
      <c r="N9">
        <v>7.1933333333333298</v>
      </c>
      <c r="O9">
        <v>18.399999999999999</v>
      </c>
      <c r="P9">
        <v>30</v>
      </c>
      <c r="Q9">
        <v>0</v>
      </c>
      <c r="R9">
        <v>0.95911111111111103</v>
      </c>
      <c r="S9">
        <v>0.99718400228131499</v>
      </c>
      <c r="T9">
        <v>1</v>
      </c>
      <c r="U9">
        <v>0.95641025641025601</v>
      </c>
      <c r="V9" t="str">
        <f>VLOOKUP(Table_Query_from_Reporte[[#This Row],[Asset_ID]],Datos!B:C,2,TRUE)</f>
        <v>FORD</v>
      </c>
    </row>
    <row r="10" spans="1:22" x14ac:dyDescent="0.25">
      <c r="A10">
        <v>628</v>
      </c>
      <c r="B10">
        <v>44</v>
      </c>
      <c r="C10" t="s">
        <v>208</v>
      </c>
      <c r="D10" t="s">
        <v>24</v>
      </c>
      <c r="E10" t="s">
        <v>74</v>
      </c>
      <c r="F10">
        <v>628</v>
      </c>
      <c r="G10" t="s">
        <v>242</v>
      </c>
      <c r="H10">
        <v>156</v>
      </c>
      <c r="I10">
        <v>469</v>
      </c>
      <c r="J10" s="1">
        <v>43403.25</v>
      </c>
      <c r="K10" s="1">
        <v>43403.583333333336</v>
      </c>
      <c r="L10">
        <v>8</v>
      </c>
      <c r="M10">
        <v>3.17166666666667</v>
      </c>
      <c r="N10">
        <v>3.0083333333333302</v>
      </c>
      <c r="O10">
        <v>9.8000000000000007</v>
      </c>
      <c r="P10">
        <v>289.7</v>
      </c>
      <c r="Q10">
        <v>0</v>
      </c>
      <c r="R10">
        <v>0.94850236468733595</v>
      </c>
      <c r="S10">
        <v>0.99936075005327096</v>
      </c>
      <c r="T10">
        <v>1</v>
      </c>
      <c r="U10">
        <v>0.94789603460123695</v>
      </c>
      <c r="V10" t="str">
        <f>VLOOKUP(Table_Query_from_Reporte[[#This Row],[Asset_ID]],Datos!B:C,2,TRUE)</f>
        <v>BUSHING</v>
      </c>
    </row>
    <row r="11" spans="1:22" x14ac:dyDescent="0.25">
      <c r="A11">
        <v>630</v>
      </c>
      <c r="B11">
        <v>45</v>
      </c>
      <c r="C11" t="s">
        <v>208</v>
      </c>
      <c r="D11" t="s">
        <v>24</v>
      </c>
      <c r="E11" t="s">
        <v>75</v>
      </c>
      <c r="F11">
        <v>630</v>
      </c>
      <c r="G11" t="s">
        <v>243</v>
      </c>
      <c r="H11">
        <v>156</v>
      </c>
      <c r="I11">
        <v>927</v>
      </c>
      <c r="J11" s="1">
        <v>43403.25</v>
      </c>
      <c r="K11" s="1">
        <v>43403.583333333336</v>
      </c>
      <c r="L11">
        <v>8</v>
      </c>
      <c r="M11">
        <v>7.5</v>
      </c>
      <c r="N11">
        <v>6.0133333333333301</v>
      </c>
      <c r="O11">
        <v>89.2</v>
      </c>
      <c r="P11">
        <v>30</v>
      </c>
      <c r="Q11">
        <v>0</v>
      </c>
      <c r="R11">
        <v>0.80177777777777803</v>
      </c>
      <c r="S11">
        <v>0.98818864062766498</v>
      </c>
      <c r="T11">
        <v>1</v>
      </c>
      <c r="U11">
        <v>0.79230769230769205</v>
      </c>
      <c r="V11" t="str">
        <f>VLOOKUP(Table_Query_from_Reporte[[#This Row],[Asset_ID]],Datos!B:C,2,TRUE)</f>
        <v>BUSHING</v>
      </c>
    </row>
    <row r="12" spans="1:22" x14ac:dyDescent="0.25">
      <c r="A12">
        <v>631</v>
      </c>
      <c r="B12">
        <v>46</v>
      </c>
      <c r="C12" t="s">
        <v>208</v>
      </c>
      <c r="D12" t="s">
        <v>24</v>
      </c>
      <c r="E12" t="s">
        <v>76</v>
      </c>
      <c r="F12">
        <v>631</v>
      </c>
      <c r="G12" t="s">
        <v>250</v>
      </c>
      <c r="H12">
        <v>156</v>
      </c>
      <c r="I12">
        <v>850</v>
      </c>
      <c r="J12" s="1">
        <v>43403.25</v>
      </c>
      <c r="K12" s="1">
        <v>43403.583333333336</v>
      </c>
      <c r="L12">
        <v>8</v>
      </c>
      <c r="M12">
        <v>7.5</v>
      </c>
      <c r="N12">
        <v>5.51</v>
      </c>
      <c r="O12">
        <v>119.4</v>
      </c>
      <c r="P12">
        <v>30</v>
      </c>
      <c r="Q12">
        <v>0</v>
      </c>
      <c r="R12">
        <v>0.73466666666666702</v>
      </c>
      <c r="S12">
        <v>0.98887803062031798</v>
      </c>
      <c r="T12">
        <v>1</v>
      </c>
      <c r="U12">
        <v>0.72649572649572702</v>
      </c>
      <c r="V12" t="str">
        <f>VLOOKUP(Table_Query_from_Reporte[[#This Row],[Asset_ID]],Datos!B:C,2,TRUE)</f>
        <v>BUSHING</v>
      </c>
    </row>
    <row r="13" spans="1:22" x14ac:dyDescent="0.25">
      <c r="A13">
        <v>634</v>
      </c>
      <c r="B13">
        <v>48</v>
      </c>
      <c r="C13" t="s">
        <v>208</v>
      </c>
      <c r="D13" t="s">
        <v>24</v>
      </c>
      <c r="E13" t="s">
        <v>29</v>
      </c>
      <c r="F13">
        <v>634</v>
      </c>
      <c r="G13" t="s">
        <v>149</v>
      </c>
      <c r="H13">
        <v>63</v>
      </c>
      <c r="I13">
        <v>385</v>
      </c>
      <c r="J13" s="1">
        <v>43403.25</v>
      </c>
      <c r="K13" s="1">
        <v>43403.583333333336</v>
      </c>
      <c r="L13">
        <v>8</v>
      </c>
      <c r="M13">
        <v>7.3333333333333304</v>
      </c>
      <c r="N13">
        <v>6.1096000000000004</v>
      </c>
      <c r="O13">
        <v>73.424000000000007</v>
      </c>
      <c r="P13">
        <v>40</v>
      </c>
      <c r="Q13">
        <v>0</v>
      </c>
      <c r="R13">
        <v>0.83312727272727305</v>
      </c>
      <c r="S13">
        <v>1.0002473338861999</v>
      </c>
      <c r="T13">
        <v>1</v>
      </c>
      <c r="U13">
        <v>0.83333333333333304</v>
      </c>
      <c r="V13" t="str">
        <f>VLOOKUP(Table_Query_from_Reporte[[#This Row],[Asset_ID]],Datos!B:C,2,TRUE)</f>
        <v>TOYOTA</v>
      </c>
    </row>
    <row r="14" spans="1:22" x14ac:dyDescent="0.25">
      <c r="A14">
        <v>633</v>
      </c>
      <c r="B14">
        <v>80</v>
      </c>
      <c r="C14" t="s">
        <v>208</v>
      </c>
      <c r="D14" t="s">
        <v>24</v>
      </c>
      <c r="E14" t="s">
        <v>78</v>
      </c>
      <c r="F14">
        <v>633</v>
      </c>
      <c r="G14" t="s">
        <v>271</v>
      </c>
      <c r="H14">
        <v>144</v>
      </c>
      <c r="I14">
        <v>91</v>
      </c>
      <c r="J14" s="1">
        <v>43403.25</v>
      </c>
      <c r="K14" s="1">
        <v>43403.583333333336</v>
      </c>
      <c r="L14">
        <v>8</v>
      </c>
      <c r="M14">
        <v>1.2933333333333299</v>
      </c>
      <c r="N14">
        <v>0.63833333333333397</v>
      </c>
      <c r="O14">
        <v>39.299999999999997</v>
      </c>
      <c r="P14">
        <v>402.4</v>
      </c>
      <c r="Q14">
        <v>0</v>
      </c>
      <c r="R14">
        <v>0.49355670103092802</v>
      </c>
      <c r="S14">
        <v>0.98999129677980802</v>
      </c>
      <c r="T14">
        <v>1</v>
      </c>
      <c r="U14">
        <v>0.48861683848797199</v>
      </c>
      <c r="V14" t="str">
        <f>VLOOKUP(Table_Query_from_Reporte[[#This Row],[Asset_ID]],Datos!B:C,2,TRUE)</f>
        <v>FORD</v>
      </c>
    </row>
    <row r="15" spans="1:22" x14ac:dyDescent="0.25">
      <c r="A15">
        <v>637</v>
      </c>
      <c r="B15">
        <v>18</v>
      </c>
      <c r="C15" t="s">
        <v>208</v>
      </c>
      <c r="D15" t="s">
        <v>21</v>
      </c>
      <c r="E15" t="s">
        <v>31</v>
      </c>
      <c r="F15">
        <v>637</v>
      </c>
      <c r="G15" t="s">
        <v>214</v>
      </c>
      <c r="H15">
        <v>78</v>
      </c>
      <c r="I15">
        <v>385</v>
      </c>
      <c r="J15" s="1">
        <v>43403.583333333336</v>
      </c>
      <c r="K15" s="1">
        <v>43403.895833333336</v>
      </c>
      <c r="L15">
        <v>7.5</v>
      </c>
      <c r="M15">
        <v>5.9466666666666699</v>
      </c>
      <c r="N15">
        <v>4.95</v>
      </c>
      <c r="O15">
        <v>59.8</v>
      </c>
      <c r="P15">
        <v>93.2</v>
      </c>
      <c r="Q15">
        <v>0</v>
      </c>
      <c r="R15">
        <v>0.832399103139013</v>
      </c>
      <c r="S15">
        <v>0.99715099715099698</v>
      </c>
      <c r="T15">
        <v>1</v>
      </c>
      <c r="U15">
        <v>0.83002759572266305</v>
      </c>
      <c r="V15" t="str">
        <f>VLOOKUP(Table_Query_from_Reporte[[#This Row],[Asset_ID]],Datos!B:C,2,TRUE)</f>
        <v>BUSHING</v>
      </c>
    </row>
    <row r="16" spans="1:22" x14ac:dyDescent="0.25">
      <c r="A16">
        <v>640</v>
      </c>
      <c r="B16">
        <v>21</v>
      </c>
      <c r="C16" t="s">
        <v>208</v>
      </c>
      <c r="D16" t="s">
        <v>21</v>
      </c>
      <c r="E16" t="s">
        <v>22</v>
      </c>
      <c r="F16">
        <v>640</v>
      </c>
      <c r="G16" t="s">
        <v>23</v>
      </c>
      <c r="H16">
        <v>78</v>
      </c>
      <c r="I16">
        <v>439</v>
      </c>
      <c r="J16" s="1">
        <v>43403.583333333336</v>
      </c>
      <c r="K16" s="1">
        <v>43403.895833333336</v>
      </c>
      <c r="L16">
        <v>7.5</v>
      </c>
      <c r="M16">
        <v>7.0333333333333297</v>
      </c>
      <c r="N16">
        <v>5.65</v>
      </c>
      <c r="O16">
        <v>83</v>
      </c>
      <c r="P16">
        <v>28</v>
      </c>
      <c r="Q16">
        <v>16</v>
      </c>
      <c r="R16">
        <v>0.80331753554502405</v>
      </c>
      <c r="S16">
        <v>0.99614250056727904</v>
      </c>
      <c r="T16">
        <v>0.96355353075170802</v>
      </c>
      <c r="U16">
        <v>0.77105359095880399</v>
      </c>
      <c r="V16" t="str">
        <f>VLOOKUP(Table_Query_from_Reporte[[#This Row],[Asset_ID]],Datos!B:C,2,TRUE)</f>
        <v>FORD</v>
      </c>
    </row>
    <row r="17" spans="1:22" x14ac:dyDescent="0.25">
      <c r="A17">
        <v>638</v>
      </c>
      <c r="B17">
        <v>22</v>
      </c>
      <c r="C17" t="s">
        <v>208</v>
      </c>
      <c r="D17" t="s">
        <v>21</v>
      </c>
      <c r="E17" t="s">
        <v>25</v>
      </c>
      <c r="F17">
        <v>638</v>
      </c>
      <c r="G17" t="s">
        <v>165</v>
      </c>
      <c r="H17">
        <v>78</v>
      </c>
      <c r="I17">
        <v>409</v>
      </c>
      <c r="J17" s="1">
        <v>43403.583333333336</v>
      </c>
      <c r="K17" s="1">
        <v>43403.895833333336</v>
      </c>
      <c r="L17">
        <v>7.5</v>
      </c>
      <c r="M17">
        <v>6.8666666666666698</v>
      </c>
      <c r="N17">
        <v>5.2666666666666702</v>
      </c>
      <c r="O17">
        <v>96</v>
      </c>
      <c r="P17">
        <v>38</v>
      </c>
      <c r="Q17">
        <v>16</v>
      </c>
      <c r="R17">
        <v>0.76699029126213603</v>
      </c>
      <c r="S17">
        <v>0.99561830574488797</v>
      </c>
      <c r="T17">
        <v>0.96088019559902205</v>
      </c>
      <c r="U17">
        <v>0.73375653472740898</v>
      </c>
      <c r="V17" t="str">
        <f>VLOOKUP(Table_Query_from_Reporte[[#This Row],[Asset_ID]],Datos!B:C,2,TRUE)</f>
        <v>FORD</v>
      </c>
    </row>
    <row r="18" spans="1:22" x14ac:dyDescent="0.25">
      <c r="A18">
        <v>639</v>
      </c>
      <c r="B18">
        <v>23</v>
      </c>
      <c r="C18" t="s">
        <v>208</v>
      </c>
      <c r="D18" t="s">
        <v>21</v>
      </c>
      <c r="E18" t="s">
        <v>30</v>
      </c>
      <c r="F18">
        <v>639</v>
      </c>
      <c r="G18" t="s">
        <v>226</v>
      </c>
      <c r="H18">
        <v>78</v>
      </c>
      <c r="I18">
        <v>427</v>
      </c>
      <c r="J18" s="1">
        <v>43403.583333333336</v>
      </c>
      <c r="K18" s="1">
        <v>43403.895833333336</v>
      </c>
      <c r="L18">
        <v>7.5</v>
      </c>
      <c r="M18">
        <v>6.23166666666667</v>
      </c>
      <c r="N18">
        <v>5.4766666666666701</v>
      </c>
      <c r="O18">
        <v>45.3</v>
      </c>
      <c r="P18">
        <v>76.099999999999994</v>
      </c>
      <c r="Q18">
        <v>0</v>
      </c>
      <c r="R18">
        <v>0.87884461085851795</v>
      </c>
      <c r="S18">
        <v>0.999578631958425</v>
      </c>
      <c r="T18">
        <v>1</v>
      </c>
      <c r="U18">
        <v>0.87847429382599196</v>
      </c>
      <c r="V18" t="str">
        <f>VLOOKUP(Table_Query_from_Reporte[[#This Row],[Asset_ID]],Datos!B:C,2,TRUE)</f>
        <v>BUSHING</v>
      </c>
    </row>
    <row r="19" spans="1:22" x14ac:dyDescent="0.25">
      <c r="A19">
        <v>644</v>
      </c>
      <c r="B19">
        <v>37</v>
      </c>
      <c r="C19" t="s">
        <v>208</v>
      </c>
      <c r="D19" t="s">
        <v>21</v>
      </c>
      <c r="E19" t="s">
        <v>32</v>
      </c>
      <c r="F19">
        <v>644</v>
      </c>
      <c r="G19" t="s">
        <v>233</v>
      </c>
      <c r="H19">
        <v>141</v>
      </c>
      <c r="I19">
        <v>895</v>
      </c>
      <c r="J19" s="1">
        <v>43403.583333333336</v>
      </c>
      <c r="K19" s="1">
        <v>43403.895833333336</v>
      </c>
      <c r="L19">
        <v>7.5</v>
      </c>
      <c r="M19">
        <v>6.85</v>
      </c>
      <c r="N19">
        <v>6.4063333333333299</v>
      </c>
      <c r="O19">
        <v>26.62</v>
      </c>
      <c r="P19">
        <v>39</v>
      </c>
      <c r="Q19">
        <v>290</v>
      </c>
      <c r="R19">
        <v>0.93523114355231096</v>
      </c>
      <c r="S19">
        <v>0.99081914727557996</v>
      </c>
      <c r="T19">
        <v>0.67597765363128504</v>
      </c>
      <c r="U19">
        <v>0.62639126158306202</v>
      </c>
      <c r="V19" t="str">
        <f>VLOOKUP(Table_Query_from_Reporte[[#This Row],[Asset_ID]],Datos!B:C,2,TRUE)</f>
        <v>FORD</v>
      </c>
    </row>
    <row r="20" spans="1:22" x14ac:dyDescent="0.25">
      <c r="A20">
        <v>645</v>
      </c>
      <c r="B20">
        <v>42</v>
      </c>
      <c r="C20" t="s">
        <v>208</v>
      </c>
      <c r="D20" t="s">
        <v>21</v>
      </c>
      <c r="E20" t="s">
        <v>33</v>
      </c>
      <c r="F20">
        <v>645</v>
      </c>
      <c r="G20" t="s">
        <v>236</v>
      </c>
      <c r="H20">
        <v>156</v>
      </c>
      <c r="I20">
        <v>879</v>
      </c>
      <c r="J20" s="1">
        <v>43403.583333333336</v>
      </c>
      <c r="K20" s="1">
        <v>43403.895833333336</v>
      </c>
      <c r="L20">
        <v>7.5</v>
      </c>
      <c r="M20">
        <v>6.30833333333333</v>
      </c>
      <c r="N20">
        <v>5.6796666666666704</v>
      </c>
      <c r="O20">
        <v>37.72</v>
      </c>
      <c r="P20">
        <v>71.5</v>
      </c>
      <c r="Q20">
        <v>0</v>
      </c>
      <c r="R20">
        <v>0.90034346103038299</v>
      </c>
      <c r="S20">
        <v>0.99206797076390396</v>
      </c>
      <c r="T20">
        <v>1</v>
      </c>
      <c r="U20">
        <v>0.89320191037496199</v>
      </c>
      <c r="V20" t="str">
        <f>VLOOKUP(Table_Query_from_Reporte[[#This Row],[Asset_ID]],Datos!B:C,2,TRUE)</f>
        <v>FORD</v>
      </c>
    </row>
    <row r="21" spans="1:22" x14ac:dyDescent="0.25">
      <c r="A21">
        <v>646</v>
      </c>
      <c r="B21">
        <v>43</v>
      </c>
      <c r="C21" t="s">
        <v>208</v>
      </c>
      <c r="D21" t="s">
        <v>21</v>
      </c>
      <c r="E21" t="s">
        <v>34</v>
      </c>
      <c r="F21">
        <v>646</v>
      </c>
      <c r="G21" t="s">
        <v>239</v>
      </c>
      <c r="H21">
        <v>156</v>
      </c>
      <c r="I21">
        <v>1004</v>
      </c>
      <c r="J21" s="1">
        <v>43403.583333333336</v>
      </c>
      <c r="K21" s="1">
        <v>43403.895833333336</v>
      </c>
      <c r="L21">
        <v>7.5</v>
      </c>
      <c r="M21">
        <v>6.7640000000000002</v>
      </c>
      <c r="N21">
        <v>6.5625</v>
      </c>
      <c r="O21">
        <v>12.09</v>
      </c>
      <c r="P21">
        <v>44.16</v>
      </c>
      <c r="Q21">
        <v>0</v>
      </c>
      <c r="R21">
        <v>0.97020993494973395</v>
      </c>
      <c r="S21">
        <v>0.980708180708181</v>
      </c>
      <c r="T21">
        <v>1</v>
      </c>
      <c r="U21">
        <v>0.95149282020955595</v>
      </c>
      <c r="V21" t="str">
        <f>VLOOKUP(Table_Query_from_Reporte[[#This Row],[Asset_ID]],Datos!B:C,2,TRUE)</f>
        <v>FORD</v>
      </c>
    </row>
    <row r="22" spans="1:22" x14ac:dyDescent="0.25">
      <c r="A22">
        <v>641</v>
      </c>
      <c r="B22">
        <v>44</v>
      </c>
      <c r="C22" t="s">
        <v>208</v>
      </c>
      <c r="D22" t="s">
        <v>21</v>
      </c>
      <c r="E22" t="s">
        <v>74</v>
      </c>
      <c r="F22">
        <v>641</v>
      </c>
      <c r="G22" t="s">
        <v>242</v>
      </c>
      <c r="H22">
        <v>156</v>
      </c>
      <c r="I22">
        <v>784</v>
      </c>
      <c r="J22" s="1">
        <v>43403.583333333336</v>
      </c>
      <c r="K22" s="1">
        <v>43403.895833333336</v>
      </c>
      <c r="L22">
        <v>7.5</v>
      </c>
      <c r="M22">
        <v>5.8983333333333299</v>
      </c>
      <c r="N22">
        <v>5.01833333333333</v>
      </c>
      <c r="O22">
        <v>52.8</v>
      </c>
      <c r="P22">
        <v>96.1</v>
      </c>
      <c r="Q22">
        <v>0</v>
      </c>
      <c r="R22">
        <v>0.85080531223509503</v>
      </c>
      <c r="S22">
        <v>1.00145619906497</v>
      </c>
      <c r="T22">
        <v>1</v>
      </c>
      <c r="U22">
        <v>0.85204425413523999</v>
      </c>
      <c r="V22" t="str">
        <f>VLOOKUP(Table_Query_from_Reporte[[#This Row],[Asset_ID]],Datos!B:C,2,TRUE)</f>
        <v>BUSHING</v>
      </c>
    </row>
    <row r="23" spans="1:22" x14ac:dyDescent="0.25">
      <c r="A23">
        <v>642</v>
      </c>
      <c r="B23">
        <v>45</v>
      </c>
      <c r="C23" t="s">
        <v>208</v>
      </c>
      <c r="D23" t="s">
        <v>21</v>
      </c>
      <c r="E23" t="s">
        <v>75</v>
      </c>
      <c r="F23">
        <v>642</v>
      </c>
      <c r="G23" t="s">
        <v>243</v>
      </c>
      <c r="H23">
        <v>156</v>
      </c>
      <c r="I23">
        <v>769</v>
      </c>
      <c r="J23" s="1">
        <v>43403.583333333336</v>
      </c>
      <c r="K23" s="1">
        <v>43403.895833333336</v>
      </c>
      <c r="L23">
        <v>7.5</v>
      </c>
      <c r="M23">
        <v>7</v>
      </c>
      <c r="N23">
        <v>4.9166666666666696</v>
      </c>
      <c r="O23">
        <v>125</v>
      </c>
      <c r="P23">
        <v>30</v>
      </c>
      <c r="Q23">
        <v>0</v>
      </c>
      <c r="R23">
        <v>0.702380952380952</v>
      </c>
      <c r="S23">
        <v>1.0026075619296</v>
      </c>
      <c r="T23">
        <v>1</v>
      </c>
      <c r="U23">
        <v>0.70421245421245404</v>
      </c>
      <c r="V23" t="str">
        <f>VLOOKUP(Table_Query_from_Reporte[[#This Row],[Asset_ID]],Datos!B:C,2,TRUE)</f>
        <v>BUSHING</v>
      </c>
    </row>
    <row r="24" spans="1:22" x14ac:dyDescent="0.25">
      <c r="A24">
        <v>636</v>
      </c>
      <c r="B24">
        <v>46</v>
      </c>
      <c r="C24" t="s">
        <v>208</v>
      </c>
      <c r="D24" t="s">
        <v>21</v>
      </c>
      <c r="E24" t="s">
        <v>76</v>
      </c>
      <c r="F24">
        <v>636</v>
      </c>
      <c r="G24" t="s">
        <v>250</v>
      </c>
      <c r="H24">
        <v>156</v>
      </c>
      <c r="I24">
        <v>829</v>
      </c>
      <c r="J24" s="1">
        <v>43403.583333333336</v>
      </c>
      <c r="K24" s="1">
        <v>43403.895833333336</v>
      </c>
      <c r="L24">
        <v>7.5</v>
      </c>
      <c r="M24">
        <v>7</v>
      </c>
      <c r="N24">
        <v>5.3283333333333296</v>
      </c>
      <c r="O24">
        <v>100.3</v>
      </c>
      <c r="P24">
        <v>30</v>
      </c>
      <c r="Q24">
        <v>0</v>
      </c>
      <c r="R24">
        <v>0.76119047619047597</v>
      </c>
      <c r="S24">
        <v>0.99732922691946801</v>
      </c>
      <c r="T24">
        <v>1</v>
      </c>
      <c r="U24">
        <v>0.75915750915750901</v>
      </c>
      <c r="V24" t="str">
        <f>VLOOKUP(Table_Query_from_Reporte[[#This Row],[Asset_ID]],Datos!B:C,2,TRUE)</f>
        <v>BUSHING</v>
      </c>
    </row>
    <row r="25" spans="1:22" x14ac:dyDescent="0.25">
      <c r="A25">
        <v>643</v>
      </c>
      <c r="B25">
        <v>48</v>
      </c>
      <c r="C25" t="s">
        <v>208</v>
      </c>
      <c r="D25" t="s">
        <v>21</v>
      </c>
      <c r="E25" t="s">
        <v>29</v>
      </c>
      <c r="F25">
        <v>643</v>
      </c>
      <c r="G25" t="s">
        <v>149</v>
      </c>
      <c r="H25">
        <v>63</v>
      </c>
      <c r="I25">
        <v>369</v>
      </c>
      <c r="J25" s="1">
        <v>43403.583333333336</v>
      </c>
      <c r="K25" s="1">
        <v>43403.895833333336</v>
      </c>
      <c r="L25">
        <v>7.5</v>
      </c>
      <c r="M25">
        <v>6.8666666666666698</v>
      </c>
      <c r="N25">
        <v>5.95</v>
      </c>
      <c r="O25">
        <v>55</v>
      </c>
      <c r="P25">
        <v>38</v>
      </c>
      <c r="Q25">
        <v>0</v>
      </c>
      <c r="R25">
        <v>0.86650485436893199</v>
      </c>
      <c r="S25">
        <v>0.98439375750300095</v>
      </c>
      <c r="T25">
        <v>1</v>
      </c>
      <c r="U25">
        <v>0.85298196948682403</v>
      </c>
      <c r="V25" t="str">
        <f>VLOOKUP(Table_Query_from_Reporte[[#This Row],[Asset_ID]],Datos!B:C,2,TRUE)</f>
        <v>TOYOTA</v>
      </c>
    </row>
    <row r="26" spans="1:22" x14ac:dyDescent="0.25">
      <c r="A26">
        <v>647</v>
      </c>
      <c r="B26">
        <v>48</v>
      </c>
      <c r="C26" t="s">
        <v>208</v>
      </c>
      <c r="D26" t="s">
        <v>26</v>
      </c>
      <c r="E26" t="s">
        <v>29</v>
      </c>
      <c r="F26">
        <v>647</v>
      </c>
      <c r="G26" t="s">
        <v>149</v>
      </c>
      <c r="H26">
        <v>63</v>
      </c>
      <c r="I26">
        <v>402</v>
      </c>
      <c r="J26" s="1">
        <v>43403.895833333336</v>
      </c>
      <c r="K26" s="1">
        <v>43404.25</v>
      </c>
      <c r="L26">
        <v>8.5</v>
      </c>
      <c r="M26">
        <v>7.7333333333333298</v>
      </c>
      <c r="N26">
        <v>6.3666666666666698</v>
      </c>
      <c r="O26">
        <v>82</v>
      </c>
      <c r="P26">
        <v>46</v>
      </c>
      <c r="Q26">
        <v>0</v>
      </c>
      <c r="R26">
        <v>0.82327586206896597</v>
      </c>
      <c r="S26">
        <v>1.00224382946896</v>
      </c>
      <c r="T26">
        <v>1</v>
      </c>
      <c r="U26">
        <v>0.82512315270935999</v>
      </c>
      <c r="V26" t="str">
        <f>VLOOKUP(Table_Query_from_Reporte[[#This Row],[Asset_ID]],Datos!B:C,2,TRUE)</f>
        <v>TOYOTA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5" tint="-0.249977111117893"/>
  </sheetPr>
  <dimension ref="A2:X11"/>
  <sheetViews>
    <sheetView workbookViewId="0">
      <selection activeCell="B4" sqref="B4"/>
    </sheetView>
  </sheetViews>
  <sheetFormatPr defaultRowHeight="15" x14ac:dyDescent="0.25"/>
  <cols>
    <col min="1" max="1" width="10.85546875" customWidth="1"/>
    <col min="2" max="2" width="18.42578125" bestFit="1" customWidth="1"/>
    <col min="4" max="5" width="12" bestFit="1" customWidth="1"/>
    <col min="18" max="18" width="16" bestFit="1" customWidth="1"/>
    <col min="20" max="20" width="5" customWidth="1"/>
    <col min="21" max="21" width="18.42578125" bestFit="1" customWidth="1"/>
    <col min="22" max="22" width="4.7109375" customWidth="1"/>
  </cols>
  <sheetData>
    <row r="2" spans="1:24" x14ac:dyDescent="0.25">
      <c r="A2" t="s">
        <v>39</v>
      </c>
      <c r="B2" s="2" t="s">
        <v>25</v>
      </c>
      <c r="C2">
        <f>VLOOKUP(B2,Datos!A:B,2,FALSE)</f>
        <v>22</v>
      </c>
    </row>
    <row r="3" spans="1:24" x14ac:dyDescent="0.25">
      <c r="A3" t="s">
        <v>40</v>
      </c>
      <c r="B3" s="3" t="s">
        <v>207</v>
      </c>
    </row>
    <row r="4" spans="1:24" x14ac:dyDescent="0.25">
      <c r="A4" t="s">
        <v>41</v>
      </c>
      <c r="B4" s="3" t="s">
        <v>207</v>
      </c>
    </row>
    <row r="6" spans="1:24" x14ac:dyDescent="0.25">
      <c r="R6" s="50" t="s">
        <v>67</v>
      </c>
      <c r="S6" s="50"/>
      <c r="U6" s="31" t="s">
        <v>195</v>
      </c>
      <c r="W6" s="50" t="s">
        <v>166</v>
      </c>
      <c r="X6" s="50"/>
    </row>
    <row r="7" spans="1:24" x14ac:dyDescent="0.25">
      <c r="B7" s="4" t="s">
        <v>57</v>
      </c>
      <c r="C7" s="4" t="s">
        <v>42</v>
      </c>
      <c r="D7" s="4" t="s">
        <v>43</v>
      </c>
      <c r="E7" s="4" t="s">
        <v>44</v>
      </c>
      <c r="F7" s="4" t="s">
        <v>53</v>
      </c>
      <c r="G7" s="4" t="s">
        <v>45</v>
      </c>
      <c r="H7" s="4" t="s">
        <v>46</v>
      </c>
      <c r="I7" s="4" t="s">
        <v>47</v>
      </c>
      <c r="J7" s="4" t="s">
        <v>48</v>
      </c>
      <c r="K7" s="4" t="s">
        <v>49</v>
      </c>
      <c r="L7" s="4" t="s">
        <v>50</v>
      </c>
      <c r="M7" s="4" t="s">
        <v>51</v>
      </c>
      <c r="N7" s="4" t="s">
        <v>52</v>
      </c>
      <c r="O7" s="4" t="s">
        <v>20</v>
      </c>
      <c r="P7" s="4" t="s">
        <v>7</v>
      </c>
      <c r="R7" s="10" t="s">
        <v>68</v>
      </c>
      <c r="S7" s="10" t="s">
        <v>69</v>
      </c>
      <c r="U7" s="32" t="s">
        <v>68</v>
      </c>
      <c r="W7" s="10" t="s">
        <v>167</v>
      </c>
      <c r="X7" s="10" t="s">
        <v>69</v>
      </c>
    </row>
    <row r="8" spans="1:24" x14ac:dyDescent="0.25">
      <c r="B8" s="9" t="s">
        <v>54</v>
      </c>
      <c r="C8" s="6">
        <f>AVERAGEIFS(Datos2!H:H,Datos2!B:B,Linea!C2,Datos2!D:D,1)</f>
        <v>78</v>
      </c>
      <c r="D8" s="6">
        <f>60/C8</f>
        <v>0.76923076923076927</v>
      </c>
      <c r="E8" s="6">
        <f>SUMIFS(Datos2!I:I,Datos2!B:B,Linea!C2,Datos2!D:D,1)</f>
        <v>460</v>
      </c>
      <c r="F8" s="6">
        <f>SUMIFS(Datos2!L:L,Datos2!B:B,Linea!C2,Datos2!D:D,1)</f>
        <v>8</v>
      </c>
      <c r="G8" s="6">
        <f>SUMIFS(Datos2!M:M,Datos2!B:B,Linea!C2,Datos2!D:D,1)</f>
        <v>7.3666666666666698</v>
      </c>
      <c r="H8" s="6">
        <f>SUMIFS(Datos2!N:N,Datos2!B:B,Linea!C2,Datos2!D:D,1)</f>
        <v>5.9</v>
      </c>
      <c r="I8" s="6">
        <f>SUMIFS(Datos2!O:O,Datos2!B:B,Linea!C2,Datos2!D:D,1)</f>
        <v>88</v>
      </c>
      <c r="J8" s="6">
        <f>SUMIFS(Datos2!Q:Q,Datos2!B:B,Linea!C2,Datos2!D:D,1)</f>
        <v>10</v>
      </c>
      <c r="K8" s="6"/>
      <c r="L8" s="7">
        <f>H8/G8</f>
        <v>0.80090497737556532</v>
      </c>
      <c r="M8" s="7">
        <f>(D8*E8)/(H8*60)</f>
        <v>0.99956540634506741</v>
      </c>
      <c r="N8" s="7">
        <f>(E8- (J8+K8))/E8</f>
        <v>0.97826086956521741</v>
      </c>
      <c r="O8" s="7">
        <f>L8*M8*N8</f>
        <v>0.78315349808562451</v>
      </c>
      <c r="P8" s="8">
        <f>E8/G8</f>
        <v>62.443438914027119</v>
      </c>
      <c r="R8" s="6">
        <f>SUMIFS(Datos!L:L,Datos!F:F,Linea!C2,Datos!H:H,1)</f>
        <v>88</v>
      </c>
      <c r="S8" s="7">
        <f>R8/(G8*60)</f>
        <v>0.19909502262443432</v>
      </c>
      <c r="U8" s="6">
        <f>SUMIFS(Datos2!P:P,Datos2!B:B,Linea!C2,Datos2!D:D,1)</f>
        <v>38</v>
      </c>
      <c r="W8" s="6">
        <v>1</v>
      </c>
      <c r="X8" s="7">
        <f>J8/E8</f>
        <v>2.1739130434782608E-2</v>
      </c>
    </row>
    <row r="9" spans="1:24" x14ac:dyDescent="0.25">
      <c r="B9" s="9" t="s">
        <v>55</v>
      </c>
      <c r="C9" s="6">
        <f>AVERAGEIFS(Datos2!H:H,Datos2!B:B,Linea!C2,Datos2!D:D,2)</f>
        <v>78</v>
      </c>
      <c r="D9" s="6">
        <f>60/C9</f>
        <v>0.76923076923076927</v>
      </c>
      <c r="E9" s="6">
        <f>SUMIFS(Datos2!I:I,Datos2!B:B,Linea!C2,Datos2!D:D,2)</f>
        <v>409</v>
      </c>
      <c r="F9" s="6">
        <f>SUMIFS(Datos2!L:L,Datos2!B:B,Linea!C2,Datos2!D:D,2)</f>
        <v>7.5</v>
      </c>
      <c r="G9" s="6">
        <f>SUMIFS(Datos2!M:M,Datos2!B:B,Linea!C2,Datos2!D:D,2)</f>
        <v>6.8666666666666698</v>
      </c>
      <c r="H9" s="6">
        <f>SUMIFS(Datos2!N:N,Datos2!B:B,Linea!C2,Datos2!D:D,2)</f>
        <v>5.2666666666666702</v>
      </c>
      <c r="I9" s="6">
        <f>SUMIFS(Datos2!O:O,Datos2!B:B,Linea!C2,Datos2!D:D,2)</f>
        <v>96</v>
      </c>
      <c r="J9" s="6">
        <f>SUMIFS(Datos2!Q:Q,Datos2!B:B,Linea!C2,Datos2!D:D,2)</f>
        <v>16</v>
      </c>
      <c r="K9" s="6"/>
      <c r="L9" s="7">
        <f>H9/G9</f>
        <v>0.76699029126213603</v>
      </c>
      <c r="M9" s="7">
        <f>(D9*E9)/(H9*60)</f>
        <v>0.99561830574488741</v>
      </c>
      <c r="N9" s="7">
        <f>(E9- (J9+K9))/E9</f>
        <v>0.96088019559902205</v>
      </c>
      <c r="O9" s="7">
        <f>L9*M9*N9</f>
        <v>0.73375653472740809</v>
      </c>
      <c r="P9" s="8">
        <f>E9/G9</f>
        <v>59.563106796116479</v>
      </c>
      <c r="R9" s="6">
        <f>SUMIFS(Datos!L:L,Datos!F:F,Linea!C2,Datos!H:H,2)</f>
        <v>96</v>
      </c>
      <c r="S9" s="7">
        <f t="shared" ref="S9:S11" si="0">R9/(G9*60)</f>
        <v>0.23300970873786397</v>
      </c>
      <c r="U9" s="6">
        <f>SUMIFS(Datos2!P:P,Datos2!B:B,Linea!C2,Datos2!D:D,2)</f>
        <v>38</v>
      </c>
      <c r="W9" s="6">
        <v>2</v>
      </c>
      <c r="X9" s="7">
        <f t="shared" ref="X9:X11" si="1">J9/E9</f>
        <v>3.9119804400977995E-2</v>
      </c>
    </row>
    <row r="10" spans="1:24" x14ac:dyDescent="0.25">
      <c r="B10" s="9" t="s">
        <v>56</v>
      </c>
      <c r="C10" s="6" t="e">
        <f>AVERAGEIFS(Datos2!H:H,Datos2!B:B,Linea!C2,Datos2!D:D,3)</f>
        <v>#DIV/0!</v>
      </c>
      <c r="D10" s="6" t="e">
        <f>60/C10</f>
        <v>#DIV/0!</v>
      </c>
      <c r="E10" s="6">
        <f>SUMIFS(Datos2!I:I,Datos2!B:B,Linea!C2,Datos2!D:D,3)</f>
        <v>0</v>
      </c>
      <c r="F10" s="6">
        <f>SUMIFS(Datos2!L:L,Datos2!B:B,Linea!C2,Datos2!D:D,3)</f>
        <v>0</v>
      </c>
      <c r="G10" s="6">
        <f>SUMIFS(Datos2!M:M,Datos2!B:B,Linea!C2,Datos2!D:D,3)</f>
        <v>0</v>
      </c>
      <c r="H10" s="6">
        <f>SUMIFS(Datos2!N:N,Datos2!B:B,Linea!C2,Datos2!D:D,3)</f>
        <v>0</v>
      </c>
      <c r="I10" s="6">
        <f>SUMIFS(Datos2!O:O,Datos2!B:B,Linea!C2,Datos2!D:D,3)</f>
        <v>0</v>
      </c>
      <c r="J10" s="6">
        <f>SUMIFS(Datos2!Q:Q,Datos2!B:B,Linea!C2,Datos2!D:D,3)</f>
        <v>0</v>
      </c>
      <c r="K10" s="6"/>
      <c r="L10" s="7" t="e">
        <f>H10/G10</f>
        <v>#DIV/0!</v>
      </c>
      <c r="M10" s="7" t="e">
        <f>(D10*E10)/(H10*60)</f>
        <v>#DIV/0!</v>
      </c>
      <c r="N10" s="7" t="e">
        <f>(E10- (J10+K10))/E10</f>
        <v>#DIV/0!</v>
      </c>
      <c r="O10" s="7" t="e">
        <f>L10*M10*N10</f>
        <v>#DIV/0!</v>
      </c>
      <c r="P10" s="8" t="e">
        <f>E10/G10</f>
        <v>#DIV/0!</v>
      </c>
      <c r="R10" s="6">
        <f>SUMIFS(Datos!L:L,Datos!F:F,Linea!C2,Datos!H:H,3)</f>
        <v>0</v>
      </c>
      <c r="S10" s="7" t="e">
        <f t="shared" si="0"/>
        <v>#DIV/0!</v>
      </c>
      <c r="U10" s="6">
        <f>SUMIFS(Datos2!P:P,Datos2!B:B,Linea!C2,Datos2!D:D,3)</f>
        <v>0</v>
      </c>
      <c r="W10" s="6">
        <v>3</v>
      </c>
      <c r="X10" s="7" t="e">
        <f t="shared" si="1"/>
        <v>#DIV/0!</v>
      </c>
    </row>
    <row r="11" spans="1:24" x14ac:dyDescent="0.25">
      <c r="B11" s="5" t="s">
        <v>8</v>
      </c>
      <c r="C11" s="6" t="e">
        <f>AVERAGE(C8:C10)</f>
        <v>#DIV/0!</v>
      </c>
      <c r="D11" s="6" t="e">
        <f>AVERAGE(D8:D10)</f>
        <v>#DIV/0!</v>
      </c>
      <c r="E11" s="6">
        <f t="shared" ref="E11:K11" si="2">SUM(E8:E10)</f>
        <v>869</v>
      </c>
      <c r="F11" s="6">
        <f t="shared" si="2"/>
        <v>15.5</v>
      </c>
      <c r="G11" s="6">
        <f t="shared" si="2"/>
        <v>14.23333333333334</v>
      </c>
      <c r="H11" s="6">
        <f t="shared" si="2"/>
        <v>11.166666666666671</v>
      </c>
      <c r="I11" s="6">
        <f t="shared" si="2"/>
        <v>184</v>
      </c>
      <c r="J11" s="6">
        <f t="shared" si="2"/>
        <v>26</v>
      </c>
      <c r="K11" s="6">
        <f t="shared" si="2"/>
        <v>0</v>
      </c>
      <c r="L11" s="7">
        <f>H11/G11</f>
        <v>0.78454332552693207</v>
      </c>
      <c r="M11" s="7" t="e">
        <f>(D11*E11)/(H11*60)</f>
        <v>#DIV/0!</v>
      </c>
      <c r="N11" s="7">
        <f>(E11- (J11+K11))/E11</f>
        <v>0.97008055235903334</v>
      </c>
      <c r="O11" s="7" t="e">
        <f>L11*M11*N11</f>
        <v>#DIV/0!</v>
      </c>
      <c r="P11" s="8">
        <f>E11/G11</f>
        <v>61.05386416861824</v>
      </c>
      <c r="R11" s="6">
        <f>SUM(R8:R10)</f>
        <v>184</v>
      </c>
      <c r="S11" s="7">
        <f t="shared" si="0"/>
        <v>0.21545667447306782</v>
      </c>
      <c r="U11" s="6">
        <f>SUM(U8:U10)</f>
        <v>76</v>
      </c>
      <c r="W11" s="6" t="s">
        <v>8</v>
      </c>
      <c r="X11" s="7">
        <f t="shared" si="1"/>
        <v>2.9919447640966629E-2</v>
      </c>
    </row>
  </sheetData>
  <mergeCells count="2">
    <mergeCell ref="R6:S6"/>
    <mergeCell ref="W6:X6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Datos!$A:$A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U9"/>
  <sheetViews>
    <sheetView workbookViewId="0">
      <selection activeCell="K60" sqref="K60"/>
    </sheetView>
  </sheetViews>
  <sheetFormatPr defaultRowHeight="15" x14ac:dyDescent="0.25"/>
  <cols>
    <col min="2" max="2" width="18.42578125" bestFit="1" customWidth="1"/>
    <col min="4" max="5" width="12" bestFit="1" customWidth="1"/>
    <col min="18" max="18" width="16" bestFit="1" customWidth="1"/>
  </cols>
  <sheetData>
    <row r="2" spans="1:21" x14ac:dyDescent="0.25">
      <c r="A2" t="s">
        <v>39</v>
      </c>
      <c r="B2" s="2" t="s">
        <v>71</v>
      </c>
    </row>
    <row r="4" spans="1:21" x14ac:dyDescent="0.25">
      <c r="R4" s="50" t="s">
        <v>67</v>
      </c>
      <c r="S4" s="50"/>
      <c r="U4" s="12"/>
    </row>
    <row r="5" spans="1:21" x14ac:dyDescent="0.25">
      <c r="B5" s="4" t="s">
        <v>57</v>
      </c>
      <c r="C5" s="4" t="s">
        <v>42</v>
      </c>
      <c r="D5" s="4" t="s">
        <v>43</v>
      </c>
      <c r="E5" s="4" t="s">
        <v>44</v>
      </c>
      <c r="F5" s="4" t="s">
        <v>53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20</v>
      </c>
      <c r="P5" s="4" t="s">
        <v>7</v>
      </c>
      <c r="R5" s="10" t="s">
        <v>68</v>
      </c>
      <c r="S5" s="10" t="s">
        <v>69</v>
      </c>
      <c r="U5" s="12"/>
    </row>
    <row r="6" spans="1:21" x14ac:dyDescent="0.25">
      <c r="B6" s="9" t="s">
        <v>54</v>
      </c>
      <c r="C6" s="6">
        <f>AVERAGEIFS(Datos2!H:H,Datos2!V:V,Cliente!B2,Datos2!D:D,1)</f>
        <v>125.5</v>
      </c>
      <c r="D6" s="6">
        <f>60/C6</f>
        <v>0.47808764940239046</v>
      </c>
      <c r="E6" s="6">
        <f>SUMIFS(Datos2!I:I,Datos2!V:V,Cliente!B2,Datos2!D:D,1)</f>
        <v>3962</v>
      </c>
      <c r="F6" s="6"/>
      <c r="G6" s="6">
        <f>SUMIFS(Datos2!M:M,Datos2!V:V,Cliente!B2,Datos2!D:D,1)</f>
        <v>38.826666666666668</v>
      </c>
      <c r="H6" s="6">
        <f>SUMIFS(Datos2!N:N,Datos2!V:V,Cliente!B2,Datos2!D:D,1)</f>
        <v>32.291666666666664</v>
      </c>
      <c r="I6" s="6">
        <f>SUMIFS(Datos2!O:O,Datos2!V:V,Cliente!B2,Datos2!D:D,1)</f>
        <v>392.09999999999997</v>
      </c>
      <c r="J6" s="6">
        <f>SUMIFS(Datos2!Q:Q,Datos2!V:V,Cliente!B2,Datos2!D:D,1)</f>
        <v>33</v>
      </c>
      <c r="K6" s="6"/>
      <c r="L6" s="7">
        <f>H6/G6</f>
        <v>0.8316878434065933</v>
      </c>
      <c r="M6" s="7">
        <f>AVERAGEIFS(Datos2!S:S,Datos2!V:V,Cliente!B2,Datos2!D:D,1)</f>
        <v>0.99768425877972611</v>
      </c>
      <c r="N6" s="7">
        <f>(E6- (J6+K6))/E6</f>
        <v>0.99167087329631498</v>
      </c>
      <c r="O6" s="7">
        <f>L6*M6*N6</f>
        <v>0.82285067783955412</v>
      </c>
      <c r="P6" s="8">
        <f>E6/G6</f>
        <v>102.04326923076923</v>
      </c>
      <c r="R6" s="6">
        <f>SUMIFS(Datos!L:L,Datos!V:V,Cliente!B2,Datos!H:H,1)</f>
        <v>392.09999999999997</v>
      </c>
      <c r="S6" s="11">
        <f>R6/(G6*60)</f>
        <v>0.16831215659340659</v>
      </c>
      <c r="U6" s="12"/>
    </row>
    <row r="7" spans="1:21" x14ac:dyDescent="0.25">
      <c r="B7" s="9" t="s">
        <v>55</v>
      </c>
      <c r="C7" s="6">
        <f>AVERAGEIFS(Datos2!H:H,Datos2!V:V,Cliente!B2,Datos2!D:D,2)</f>
        <v>121.8</v>
      </c>
      <c r="D7" s="6">
        <f>60/C7</f>
        <v>0.49261083743842365</v>
      </c>
      <c r="E7" s="6">
        <f>SUMIFS(Datos2!I:I,Datos2!V:V,Cliente!B2,Datos2!D:D,2)</f>
        <v>3626</v>
      </c>
      <c r="F7" s="6"/>
      <c r="G7" s="6">
        <f>SUMIFS(Datos2!M:M,Datos2!V:V,Cliente!B2,Datos2!D:D,2)</f>
        <v>33.822333333333333</v>
      </c>
      <c r="H7" s="6">
        <f>SUMIFS(Datos2!N:N,Datos2!V:V,Cliente!B2,Datos2!D:D,2)</f>
        <v>29.56516666666667</v>
      </c>
      <c r="I7" s="6">
        <f>SUMIFS(Datos2!O:O,Datos2!V:V,Cliente!B2,Datos2!D:D,2)</f>
        <v>255.43</v>
      </c>
      <c r="J7" s="6">
        <f>SUMIFS(Datos2!Q:Q,Datos2!V:V,Cliente!B2,Datos2!D:D,2)</f>
        <v>322</v>
      </c>
      <c r="K7" s="6"/>
      <c r="L7" s="7">
        <f>H7/G7</f>
        <v>0.87413149102663934</v>
      </c>
      <c r="M7" s="7">
        <f>AVERAGEIFS(Datos2!S:S,Datos2!V:V,Cliente!B2,Datos2!D:D,2)</f>
        <v>0.99107122101196643</v>
      </c>
      <c r="N7" s="7">
        <f>(E7- (J7+K7))/E7</f>
        <v>0.91119691119691115</v>
      </c>
      <c r="O7" s="7">
        <f>L7*M7*N7</f>
        <v>0.78939408932926869</v>
      </c>
      <c r="P7" s="8">
        <f>E7/G7</f>
        <v>107.20726935851064</v>
      </c>
      <c r="R7" s="6">
        <f>SUMIFS(Datos!L:L,Datos!V:V,Cliente!B2,Datos!H:H,2)</f>
        <v>255.43000000000004</v>
      </c>
      <c r="S7" s="11">
        <f t="shared" ref="S7:S9" si="0">R7/(G7*60)</f>
        <v>0.12586850897336083</v>
      </c>
      <c r="U7" s="12"/>
    </row>
    <row r="8" spans="1:21" x14ac:dyDescent="0.25">
      <c r="B8" s="9" t="s">
        <v>56</v>
      </c>
      <c r="C8" s="6" t="e">
        <f>AVERAGEIFS(Datos2!H:H,Datos2!V:V,Cliente!B2,Datos2!D:D,3)</f>
        <v>#DIV/0!</v>
      </c>
      <c r="D8" s="6" t="e">
        <f>60/C8</f>
        <v>#DIV/0!</v>
      </c>
      <c r="E8" s="6">
        <f>SUMIFS(Datos2!I:I,Datos2!V:V,Cliente!B2,Datos2!D:D,3)</f>
        <v>0</v>
      </c>
      <c r="F8" s="6"/>
      <c r="G8" s="6">
        <f>SUMIFS(Datos2!M:M,Datos2!V:V,Cliente!B2,Datos2!D:D,3)</f>
        <v>0</v>
      </c>
      <c r="H8" s="6">
        <f>SUMIFS(Datos2!N:N,Datos2!V:V,Cliente!B2,Datos2!D:D,3)</f>
        <v>0</v>
      </c>
      <c r="I8" s="6">
        <f>SUMIFS(Datos2!O:O,Datos2!V:V,Cliente!B2,Datos2!D:D,3)</f>
        <v>0</v>
      </c>
      <c r="J8" s="6">
        <f>SUMIFS(Datos2!Q:Q,Datos2!V:V,Cliente!B2,Datos2!D:D,3)</f>
        <v>0</v>
      </c>
      <c r="K8" s="6"/>
      <c r="L8" s="7" t="e">
        <f>H8/G8</f>
        <v>#DIV/0!</v>
      </c>
      <c r="M8" s="7" t="e">
        <f>AVERAGEIFS(Datos2!S:S,Datos2!V:V,Cliente!B2,Datos2!D:D,3)</f>
        <v>#DIV/0!</v>
      </c>
      <c r="N8" s="7" t="e">
        <f>(E8- (J8+K8))/E8</f>
        <v>#DIV/0!</v>
      </c>
      <c r="O8" s="7" t="e">
        <f>L8*M8*N8</f>
        <v>#DIV/0!</v>
      </c>
      <c r="P8" s="8" t="e">
        <f>E8/G8</f>
        <v>#DIV/0!</v>
      </c>
      <c r="R8" s="6">
        <f>SUMIFS(Datos!L:L,Datos!V:V,Cliente!B2,Datos!H:H,3)</f>
        <v>0</v>
      </c>
      <c r="S8" s="11" t="e">
        <f t="shared" si="0"/>
        <v>#DIV/0!</v>
      </c>
    </row>
    <row r="9" spans="1:21" x14ac:dyDescent="0.25">
      <c r="B9" s="5" t="s">
        <v>8</v>
      </c>
      <c r="C9" s="6" t="e">
        <f>AVERAGE(C6:C8)</f>
        <v>#DIV/0!</v>
      </c>
      <c r="D9" s="6" t="e">
        <f>AVERAGE(D6:D8)</f>
        <v>#DIV/0!</v>
      </c>
      <c r="E9" s="6">
        <f t="shared" ref="E9:K9" si="1">SUM(E6:E8)</f>
        <v>7588</v>
      </c>
      <c r="F9" s="6">
        <f t="shared" si="1"/>
        <v>0</v>
      </c>
      <c r="G9" s="6">
        <f t="shared" si="1"/>
        <v>72.649000000000001</v>
      </c>
      <c r="H9" s="6">
        <f t="shared" si="1"/>
        <v>61.856833333333334</v>
      </c>
      <c r="I9" s="6">
        <f t="shared" si="1"/>
        <v>647.53</v>
      </c>
      <c r="J9" s="6">
        <f t="shared" si="1"/>
        <v>355</v>
      </c>
      <c r="K9" s="6">
        <f t="shared" si="1"/>
        <v>0</v>
      </c>
      <c r="L9" s="7">
        <f>H9/G9</f>
        <v>0.85144782905935845</v>
      </c>
      <c r="M9" s="7">
        <f>AVERAGEIFS(Datos2!S:S,Datos2!V:V,Cliente!B2)</f>
        <v>0.99467833252165339</v>
      </c>
      <c r="N9" s="7">
        <f>(E9- (J9+K9))/E9</f>
        <v>0.95321560358460733</v>
      </c>
      <c r="O9" s="7">
        <f>L9*M9*N9</f>
        <v>0.80729421989441907</v>
      </c>
      <c r="P9" s="8">
        <f>E9/G9</f>
        <v>104.44741152665556</v>
      </c>
      <c r="R9" s="6">
        <f>SUM(R6:R8)</f>
        <v>647.53</v>
      </c>
      <c r="S9" s="13">
        <f t="shared" si="0"/>
        <v>0.14855217094064152</v>
      </c>
    </row>
  </sheetData>
  <mergeCells count="1">
    <mergeCell ref="R4:S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H64"/>
  <sheetViews>
    <sheetView tabSelected="1" zoomScale="85" zoomScaleNormal="85" workbookViewId="0">
      <selection activeCell="M26" sqref="M26"/>
    </sheetView>
  </sheetViews>
  <sheetFormatPr defaultRowHeight="15" x14ac:dyDescent="0.25"/>
  <cols>
    <col min="2" max="2" width="30.7109375" customWidth="1"/>
    <col min="3" max="3" width="9.7109375" bestFit="1" customWidth="1"/>
    <col min="4" max="5" width="10.140625" bestFit="1" customWidth="1"/>
    <col min="6" max="6" width="10.85546875" bestFit="1" customWidth="1"/>
    <col min="7" max="7" width="9.7109375" bestFit="1" customWidth="1"/>
    <col min="8" max="9" width="10.140625" bestFit="1" customWidth="1"/>
    <col min="10" max="10" width="6.85546875" bestFit="1" customWidth="1"/>
    <col min="11" max="11" width="9.7109375" bestFit="1" customWidth="1"/>
    <col min="12" max="13" width="10.140625" bestFit="1" customWidth="1"/>
    <col min="14" max="14" width="6.85546875" bestFit="1" customWidth="1"/>
    <col min="15" max="15" width="9.7109375" bestFit="1" customWidth="1"/>
    <col min="16" max="17" width="10.140625" bestFit="1" customWidth="1"/>
    <col min="18" max="18" width="6.85546875" bestFit="1" customWidth="1"/>
    <col min="19" max="19" width="9.7109375" bestFit="1" customWidth="1"/>
    <col min="20" max="21" width="10.140625" bestFit="1" customWidth="1"/>
    <col min="22" max="22" width="6.85546875" bestFit="1" customWidth="1"/>
    <col min="23" max="23" width="9.7109375" customWidth="1"/>
    <col min="24" max="25" width="10.140625" bestFit="1" customWidth="1"/>
    <col min="27" max="27" width="9.7109375" bestFit="1" customWidth="1"/>
    <col min="28" max="29" width="10.140625" bestFit="1" customWidth="1"/>
    <col min="30" max="30" width="8.28515625" bestFit="1" customWidth="1"/>
    <col min="31" max="31" width="11" bestFit="1" customWidth="1"/>
    <col min="32" max="33" width="11.42578125" bestFit="1" customWidth="1"/>
    <col min="34" max="34" width="9.5703125" bestFit="1" customWidth="1"/>
  </cols>
  <sheetData>
    <row r="1" spans="1:34" x14ac:dyDescent="0.25">
      <c r="E1" s="77" t="s">
        <v>274</v>
      </c>
      <c r="F1" s="78" t="str">
        <f>RIGHT(LEFT(Linea!B3,5),2)</f>
        <v>30</v>
      </c>
      <c r="G1" s="77" t="s">
        <v>275</v>
      </c>
      <c r="H1" s="78" t="str">
        <f>LEFT(Linea!B3,2)</f>
        <v>10</v>
      </c>
      <c r="I1" s="77" t="s">
        <v>276</v>
      </c>
      <c r="J1" s="78" t="str">
        <f>RIGHT(Linea!B3,4)</f>
        <v>2018</v>
      </c>
    </row>
    <row r="2" spans="1:34" x14ac:dyDescent="0.25">
      <c r="A2" t="s">
        <v>39</v>
      </c>
      <c r="B2" s="2" t="s">
        <v>22</v>
      </c>
      <c r="C2">
        <f>VLOOKUP(B2,Datos!A:B,2,FALSE)</f>
        <v>21</v>
      </c>
      <c r="E2" s="77" t="s">
        <v>277</v>
      </c>
      <c r="F2" s="79">
        <f>DATE(J1,H1,F1)</f>
        <v>43403</v>
      </c>
      <c r="G2" s="80"/>
      <c r="H2" s="81"/>
      <c r="I2" s="81"/>
      <c r="J2" s="82"/>
    </row>
    <row r="3" spans="1:34" ht="15.75" thickBot="1" x14ac:dyDescent="0.3"/>
    <row r="4" spans="1:34" ht="15.75" thickBot="1" x14ac:dyDescent="0.3">
      <c r="C4" s="68" t="s">
        <v>196</v>
      </c>
      <c r="D4" s="69"/>
      <c r="E4" s="69"/>
      <c r="F4" s="70"/>
      <c r="G4" s="71" t="s">
        <v>201</v>
      </c>
      <c r="H4" s="72"/>
      <c r="I4" s="72"/>
      <c r="J4" s="73"/>
      <c r="K4" s="53" t="s">
        <v>202</v>
      </c>
      <c r="L4" s="54"/>
      <c r="M4" s="54"/>
      <c r="N4" s="55"/>
      <c r="O4" s="56" t="s">
        <v>203</v>
      </c>
      <c r="P4" s="57"/>
      <c r="Q4" s="57"/>
      <c r="R4" s="58"/>
      <c r="S4" s="59" t="s">
        <v>204</v>
      </c>
      <c r="T4" s="60"/>
      <c r="U4" s="60"/>
      <c r="V4" s="61"/>
      <c r="W4" s="62" t="s">
        <v>205</v>
      </c>
      <c r="X4" s="63"/>
      <c r="Y4" s="63"/>
      <c r="Z4" s="64"/>
      <c r="AA4" s="56" t="s">
        <v>206</v>
      </c>
      <c r="AB4" s="57"/>
      <c r="AC4" s="57"/>
      <c r="AD4" s="58"/>
    </row>
    <row r="5" spans="1:34" ht="15.75" thickBot="1" x14ac:dyDescent="0.3">
      <c r="B5" s="75"/>
      <c r="C5" s="65">
        <f>F2</f>
        <v>43403</v>
      </c>
      <c r="D5" s="66"/>
      <c r="E5" s="66"/>
      <c r="F5" s="67"/>
      <c r="G5" s="65">
        <f>C5+1</f>
        <v>43404</v>
      </c>
      <c r="H5" s="66"/>
      <c r="I5" s="66"/>
      <c r="J5" s="67"/>
      <c r="K5" s="65">
        <f>G5+1</f>
        <v>43405</v>
      </c>
      <c r="L5" s="66"/>
      <c r="M5" s="66"/>
      <c r="N5" s="67"/>
      <c r="O5" s="65">
        <f>K5+1</f>
        <v>43406</v>
      </c>
      <c r="P5" s="66"/>
      <c r="Q5" s="66"/>
      <c r="R5" s="67"/>
      <c r="S5" s="65">
        <f>O5+1</f>
        <v>43407</v>
      </c>
      <c r="T5" s="66"/>
      <c r="U5" s="66"/>
      <c r="V5" s="67"/>
      <c r="W5" s="65">
        <f>S5+1</f>
        <v>43408</v>
      </c>
      <c r="X5" s="66"/>
      <c r="Y5" s="66"/>
      <c r="Z5" s="67"/>
      <c r="AA5" s="65">
        <f>W5+1</f>
        <v>43409</v>
      </c>
      <c r="AB5" s="66"/>
      <c r="AC5" s="66"/>
      <c r="AD5" s="67"/>
      <c r="AE5" s="74" t="s">
        <v>200</v>
      </c>
      <c r="AF5" s="74"/>
      <c r="AG5" s="74"/>
      <c r="AH5" s="51" t="s">
        <v>8</v>
      </c>
    </row>
    <row r="6" spans="1:34" ht="15.75" thickBot="1" x14ac:dyDescent="0.3">
      <c r="B6" s="76"/>
      <c r="C6" s="33" t="s">
        <v>106</v>
      </c>
      <c r="D6" s="33" t="s">
        <v>107</v>
      </c>
      <c r="E6" s="33" t="s">
        <v>108</v>
      </c>
      <c r="F6" s="33" t="s">
        <v>117</v>
      </c>
      <c r="G6" s="33" t="s">
        <v>106</v>
      </c>
      <c r="H6" s="33" t="s">
        <v>107</v>
      </c>
      <c r="I6" s="33" t="s">
        <v>108</v>
      </c>
      <c r="J6" s="33" t="s">
        <v>117</v>
      </c>
      <c r="K6" s="33" t="s">
        <v>106</v>
      </c>
      <c r="L6" s="33" t="s">
        <v>107</v>
      </c>
      <c r="M6" s="33" t="s">
        <v>108</v>
      </c>
      <c r="N6" s="33" t="s">
        <v>117</v>
      </c>
      <c r="O6" s="33" t="s">
        <v>106</v>
      </c>
      <c r="P6" s="33" t="s">
        <v>107</v>
      </c>
      <c r="Q6" s="33" t="s">
        <v>108</v>
      </c>
      <c r="R6" s="33" t="s">
        <v>117</v>
      </c>
      <c r="S6" s="33" t="s">
        <v>106</v>
      </c>
      <c r="T6" s="33" t="s">
        <v>107</v>
      </c>
      <c r="U6" s="33" t="s">
        <v>108</v>
      </c>
      <c r="V6" s="33" t="s">
        <v>117</v>
      </c>
      <c r="W6" s="33" t="s">
        <v>106</v>
      </c>
      <c r="X6" s="33" t="s">
        <v>107</v>
      </c>
      <c r="Y6" s="33" t="s">
        <v>108</v>
      </c>
      <c r="Z6" s="33" t="s">
        <v>117</v>
      </c>
      <c r="AA6" s="33" t="s">
        <v>106</v>
      </c>
      <c r="AB6" s="33" t="s">
        <v>107</v>
      </c>
      <c r="AC6" s="33" t="s">
        <v>108</v>
      </c>
      <c r="AD6" s="33" t="s">
        <v>117</v>
      </c>
      <c r="AE6" s="49" t="s">
        <v>197</v>
      </c>
      <c r="AF6" s="34" t="s">
        <v>198</v>
      </c>
      <c r="AG6" s="34" t="s">
        <v>199</v>
      </c>
      <c r="AH6" s="52"/>
    </row>
    <row r="7" spans="1:34" x14ac:dyDescent="0.25">
      <c r="B7" s="41" t="s">
        <v>109</v>
      </c>
      <c r="C7" s="35">
        <f>SUMIFS(Datos2!$M:$M,Datos2!$B:$B,$C2,Datos2!$D:$D,1,Datos2!$C:$C,C5)</f>
        <v>7.6666666666666696</v>
      </c>
      <c r="D7" s="36">
        <f>SUMIFS(Datos2!$M:$M,Datos2!$B:$B,$C$2,Datos2!$D:$D,2,Datos2!$C:$C,C5)</f>
        <v>7.0333333333333297</v>
      </c>
      <c r="E7" s="36">
        <f>SUMIFS(Datos2!$M:$M,Datos2!$B:$B,$C$2,Datos2!$D:$D,3,Datos2!$C:$C,C5)</f>
        <v>0</v>
      </c>
      <c r="F7" s="37">
        <f>SUM(C7:E7)</f>
        <v>14.7</v>
      </c>
      <c r="G7" s="35">
        <f>SUMIFS(Datos2!$M:$M,Datos2!$B:$B,$C2,Datos2!$D:$D,1,Datos2!$C:$C,G5)</f>
        <v>0</v>
      </c>
      <c r="H7" s="36">
        <f>SUMIFS(Datos2!$M:$M,Datos2!$B:$B,$C$2,Datos2!$D:$D,2,Datos2!$C:$C,G5)</f>
        <v>0</v>
      </c>
      <c r="I7" s="36">
        <f>SUMIFS(Datos2!$M:$M,Datos2!$B:$B,$C$2,Datos2!$D:$D,3,Datos2!$C:$C,G5)</f>
        <v>0</v>
      </c>
      <c r="J7" s="37">
        <f>SUM(G7:I7)</f>
        <v>0</v>
      </c>
      <c r="K7" s="35">
        <f>SUMIFS(Datos2!$M:$M,Datos2!$B:$B,$C2,Datos2!$D:$D,1,Datos2!$C:$C,K5)</f>
        <v>0</v>
      </c>
      <c r="L7" s="36">
        <f>SUMIFS(Datos2!$M:$M,Datos2!$B:$B,$C$2,Datos2!$D:$D,2,Datos2!$C:$C,K5)</f>
        <v>0</v>
      </c>
      <c r="M7" s="36">
        <f>SUMIFS(Datos2!$M:$M,Datos2!$B:$B,$C$2,Datos2!$D:$D,3,Datos2!$C:$C,K5)</f>
        <v>0</v>
      </c>
      <c r="N7" s="37">
        <f>SUM(K7:M7)</f>
        <v>0</v>
      </c>
      <c r="O7" s="35">
        <f>SUMIFS(Datos2!$M:$M,Datos2!$B:$B,$C2,Datos2!$D:$D,1,Datos2!$C:$C,O5)</f>
        <v>0</v>
      </c>
      <c r="P7" s="36">
        <f>SUMIFS(Datos2!$M:$M,Datos2!$B:$B,$C$2,Datos2!$D:$D,2,Datos2!$C:$C,O5)</f>
        <v>0</v>
      </c>
      <c r="Q7" s="36">
        <f>SUMIFS(Datos2!$M:$M,Datos2!$B:$B,$C$2,Datos2!$D:$D,3,Datos2!$C:$C,O5)</f>
        <v>0</v>
      </c>
      <c r="R7" s="37">
        <f>SUM(O7:Q7)</f>
        <v>0</v>
      </c>
      <c r="S7" s="35">
        <f>SUMIFS(Datos2!$M:$M,Datos2!$B:$B,$C2,Datos2!$D:$D,1,Datos2!$C:$C,S5)</f>
        <v>0</v>
      </c>
      <c r="T7" s="36">
        <f>SUMIFS(Datos2!$M:$M,Datos2!$B:$B,$C$2,Datos2!$D:$D,2,Datos2!$C:$C,S5)</f>
        <v>0</v>
      </c>
      <c r="U7" s="36">
        <f>SUMIFS(Datos2!$M:$M,Datos2!$B:$B,$C$2,Datos2!$D:$D,3,Datos2!$C:$C,S5)</f>
        <v>0</v>
      </c>
      <c r="V7" s="37">
        <f>SUM(S7:U7)</f>
        <v>0</v>
      </c>
      <c r="W7" s="35">
        <f>SUMIFS(Datos2!$M:$M,Datos2!$B:$B,$C2,Datos2!$D:$D,1,Datos2!$C:$C,W5)</f>
        <v>0</v>
      </c>
      <c r="X7" s="36">
        <f>SUMIFS(Datos2!$M:$M,Datos2!$B:$B,$C$2,Datos2!$D:$D,2,Datos2!$C:$C,W5)</f>
        <v>0</v>
      </c>
      <c r="Y7" s="36">
        <f>SUMIFS(Datos2!$M:$M,Datos2!$B:$B,$C$2,Datos2!$D:$D,3,Datos2!$C:$C,W5)</f>
        <v>0</v>
      </c>
      <c r="Z7" s="37">
        <f>SUM(W7:Y7)</f>
        <v>0</v>
      </c>
      <c r="AA7" s="35">
        <f>SUMIFS(Datos2!$M:$M,Datos2!$B:$B,$C2,Datos2!$D:$D,1,Datos2!$C:$C,AA5)</f>
        <v>0</v>
      </c>
      <c r="AB7" s="36">
        <f>SUMIFS(Datos2!$M:$M,Datos2!$B:$B,$C$2,Datos2!$D:$D,2,Datos2!$C:$C,AA5)</f>
        <v>0</v>
      </c>
      <c r="AC7" s="36">
        <f>SUMIFS(Datos2!$M:$M,Datos2!$B:$B,$C$2,Datos2!$D:$D,3,Datos2!$C:$C,AA5)</f>
        <v>0</v>
      </c>
      <c r="AD7" s="37">
        <f>SUM(AA7:AC7)</f>
        <v>0</v>
      </c>
      <c r="AE7" s="44">
        <f t="shared" ref="AE7:AG9" si="0">SUM(C7,G7,K7,O7,S7,W7,AA7)</f>
        <v>7.6666666666666696</v>
      </c>
      <c r="AF7" s="36">
        <f t="shared" si="0"/>
        <v>7.0333333333333297</v>
      </c>
      <c r="AG7" s="36">
        <f t="shared" si="0"/>
        <v>0</v>
      </c>
      <c r="AH7" s="37">
        <f>SUM(AE7:AG7)</f>
        <v>14.7</v>
      </c>
    </row>
    <row r="8" spans="1:34" x14ac:dyDescent="0.25">
      <c r="B8" s="42" t="s">
        <v>110</v>
      </c>
      <c r="C8" s="22">
        <f>SUMIFS(Datos2!$I:$I,Datos2!$B:$B,$C$2,Datos2!$D:$D,1,Datos2!$C:$C,C5)</f>
        <v>515</v>
      </c>
      <c r="D8" s="6">
        <f>SUMIFS(Datos2!$I:$I,Datos2!$B:$B,$C$2,Datos2!$D:$D,2,Datos2!$C:$C,C5)</f>
        <v>439</v>
      </c>
      <c r="E8" s="6">
        <f>SUMIFS(Datos2!$I:$I,Datos2!$B:$B,$C$2,Datos2!$D:$D,3,Datos2!$C:$C,C5)</f>
        <v>0</v>
      </c>
      <c r="F8" s="23">
        <f>SUM(C8:E8)</f>
        <v>954</v>
      </c>
      <c r="G8" s="22">
        <f>SUMIFS(Datos2!$I:$I,Datos2!$B:$B,$C$2,Datos2!$D:$D,1,Datos2!$C:$C,G5)</f>
        <v>0</v>
      </c>
      <c r="H8" s="6">
        <f>SUMIFS(Datos2!$I:$I,Datos2!$B:$B,$C$2,Datos2!$D:$D,2,Datos2!$C:$C,G5)</f>
        <v>0</v>
      </c>
      <c r="I8" s="6">
        <f>SUMIFS(Datos2!$I:$I,Datos2!$B:$B,$C$2,Datos2!$D:$D,3,Datos2!$C:$C,G5)</f>
        <v>0</v>
      </c>
      <c r="J8" s="23">
        <f>SUM(G8:I8)</f>
        <v>0</v>
      </c>
      <c r="K8" s="22">
        <f>SUMIFS(Datos2!$I:$I,Datos2!$B:$B,$C$2,Datos2!$D:$D,1,Datos2!$C:$C,K5)</f>
        <v>0</v>
      </c>
      <c r="L8" s="6">
        <f>SUMIFS(Datos2!$I:$I,Datos2!$B:$B,$C$2,Datos2!$D:$D,2,Datos2!$C:$C,K5)</f>
        <v>0</v>
      </c>
      <c r="M8" s="6">
        <f>SUMIFS(Datos2!$I:$I,Datos2!$B:$B,$C$2,Datos2!$D:$D,3,Datos2!$C:$C,K5)</f>
        <v>0</v>
      </c>
      <c r="N8" s="23">
        <f>SUM(K8:M8)</f>
        <v>0</v>
      </c>
      <c r="O8" s="22">
        <f>SUMIFS(Datos2!$I:$I,Datos2!$B:$B,$C$2,Datos2!$D:$D,1,Datos2!$C:$C,O5)</f>
        <v>0</v>
      </c>
      <c r="P8" s="6">
        <f>SUMIFS(Datos2!$I:$I,Datos2!$B:$B,$C$2,Datos2!$D:$D,2,Datos2!$C:$C,O5)</f>
        <v>0</v>
      </c>
      <c r="Q8" s="6">
        <f>SUMIFS(Datos2!$I:$I,Datos2!$B:$B,$C$2,Datos2!$D:$D,3,Datos2!$C:$C,O5)</f>
        <v>0</v>
      </c>
      <c r="R8" s="23">
        <f>SUM(O8:Q8)</f>
        <v>0</v>
      </c>
      <c r="S8" s="22">
        <f>SUMIFS(Datos2!$I:$I,Datos2!$B:$B,$C$2,Datos2!$D:$D,1,Datos2!$C:$C,S5)</f>
        <v>0</v>
      </c>
      <c r="T8" s="6">
        <f>SUMIFS(Datos2!$I:$I,Datos2!$B:$B,$C$2,Datos2!$D:$D,2,Datos2!$C:$C,S5)</f>
        <v>0</v>
      </c>
      <c r="U8" s="6">
        <f>SUMIFS(Datos2!$I:$I,Datos2!$B:$B,$C$2,Datos2!$D:$D,3,Datos2!$C:$C,S5)</f>
        <v>0</v>
      </c>
      <c r="V8" s="23">
        <f>SUM(S8:U8)</f>
        <v>0</v>
      </c>
      <c r="W8" s="22">
        <f>SUMIFS(Datos2!$I:$I,Datos2!$B:$B,$C$2,Datos2!$D:$D,1,Datos2!$C:$C,W5)</f>
        <v>0</v>
      </c>
      <c r="X8" s="6">
        <f>SUMIFS(Datos2!$I:$I,Datos2!$B:$B,$C$2,Datos2!$D:$D,2,Datos2!$C:$C,W5)</f>
        <v>0</v>
      </c>
      <c r="Y8" s="6">
        <f>SUMIFS(Datos2!$I:$I,Datos2!$B:$B,$C$2,Datos2!$D:$D,3,Datos2!$C:$C,W5)</f>
        <v>0</v>
      </c>
      <c r="Z8" s="23">
        <f>SUM(W8:Y8)</f>
        <v>0</v>
      </c>
      <c r="AA8" s="22">
        <f>SUMIFS(Datos2!$I:$I,Datos2!$B:$B,$C$2,Datos2!$D:$D,1,Datos2!$C:$C,AA5)</f>
        <v>0</v>
      </c>
      <c r="AB8" s="6">
        <f>SUMIFS(Datos2!$I:$I,Datos2!$B:$B,$C$2,Datos2!$D:$D,2,Datos2!$C:$C,AA5)</f>
        <v>0</v>
      </c>
      <c r="AC8" s="6">
        <f>SUMIFS(Datos2!$I:$I,Datos2!$B:$B,$C$2,Datos2!$D:$D,3,Datos2!$C:$C,AA5)</f>
        <v>0</v>
      </c>
      <c r="AD8" s="23">
        <f>SUM(AA8:AC8)</f>
        <v>0</v>
      </c>
      <c r="AE8" s="45">
        <f t="shared" si="0"/>
        <v>515</v>
      </c>
      <c r="AF8" s="6">
        <f t="shared" si="0"/>
        <v>439</v>
      </c>
      <c r="AG8" s="6">
        <f t="shared" si="0"/>
        <v>0</v>
      </c>
      <c r="AH8" s="23">
        <f>SUM(AE8:AG8)</f>
        <v>954</v>
      </c>
    </row>
    <row r="9" spans="1:34" x14ac:dyDescent="0.25">
      <c r="B9" s="42" t="s">
        <v>112</v>
      </c>
      <c r="C9" s="22">
        <f>SUMIFS(Datos!$L:$L,Datos!$F:$F,$C$2,Datos!$H:$H,1,Datos!$G:$G,C5)</f>
        <v>65</v>
      </c>
      <c r="D9" s="6">
        <f>SUMIFS(Datos!$L:$L,Datos!$F:$F,$C$2,Datos!$H:$H,2,Datos!$G:$G,C5)</f>
        <v>83</v>
      </c>
      <c r="E9" s="6">
        <f>SUMIFS(Datos!$L:$L,Datos!$F:$F,$C$2,Datos!$H:$H,3,Datos!$G:$G,C5)</f>
        <v>0</v>
      </c>
      <c r="F9" s="23">
        <f>SUM(C9:E9)</f>
        <v>148</v>
      </c>
      <c r="G9" s="22">
        <f>SUMIFS(Datos!$L:$L,Datos!$F:$F,$C$2,Datos!$H:$H,1,Datos!$G:$G,G5)</f>
        <v>0</v>
      </c>
      <c r="H9" s="6">
        <f>SUMIFS(Datos!$L:$L,Datos!$F:$F,$C$2,Datos!$H:$H,2,Datos!$G:$G,G5)</f>
        <v>0</v>
      </c>
      <c r="I9" s="6">
        <f>SUMIFS(Datos!$L:$L,Datos!$F:$F,$C$2,Datos!$H:$H,3,Datos!$G:$G,G5)</f>
        <v>0</v>
      </c>
      <c r="J9" s="23">
        <f>SUM(G9:I9)</f>
        <v>0</v>
      </c>
      <c r="K9" s="22">
        <f>SUMIFS(Datos!$L:$L,Datos!$F:$F,$C$2,Datos!$H:$H,1,Datos!$G:$G,K5)</f>
        <v>0</v>
      </c>
      <c r="L9" s="6">
        <f>SUMIFS(Datos!$L:$L,Datos!$F:$F,$C$2,Datos!$H:$H,2,Datos!$G:$G,K5)</f>
        <v>0</v>
      </c>
      <c r="M9" s="6">
        <f>SUMIFS(Datos!$L:$L,Datos!$F:$F,$C$2,Datos!$H:$H,3,Datos!$G:$G,K5)</f>
        <v>0</v>
      </c>
      <c r="N9" s="23">
        <f>SUM(K9:M9)</f>
        <v>0</v>
      </c>
      <c r="O9" s="22">
        <f>SUMIFS(Datos!$L:$L,Datos!$F:$F,$C$2,Datos!$H:$H,1,Datos!$G:$G,O5)</f>
        <v>0</v>
      </c>
      <c r="P9" s="6">
        <f>SUMIFS(Datos!$L:$L,Datos!$F:$F,$C$2,Datos!$H:$H,2,Datos!$G:$G,O5)</f>
        <v>0</v>
      </c>
      <c r="Q9" s="6">
        <f>SUMIFS(Datos!$L:$L,Datos!$F:$F,$C$2,Datos!$H:$H,3,Datos!$G:$G,O5)</f>
        <v>0</v>
      </c>
      <c r="R9" s="23">
        <f>SUM(O9:Q9)</f>
        <v>0</v>
      </c>
      <c r="S9" s="22">
        <f>SUMIFS(Datos!$L:$L,Datos!$F:$F,$C$2,Datos!$H:$H,1,Datos!$G:$G,S5)</f>
        <v>0</v>
      </c>
      <c r="T9" s="6">
        <f>SUMIFS(Datos!$L:$L,Datos!$F:$F,$C$2,Datos!$H:$H,2,Datos!$G:$G,S5)</f>
        <v>0</v>
      </c>
      <c r="U9" s="6">
        <f>SUMIFS(Datos!$L:$L,Datos!$F:$F,$C$2,Datos!$H:$H,3,Datos!$G:$G,S5)</f>
        <v>0</v>
      </c>
      <c r="V9" s="23">
        <f>SUM(S9:U9)</f>
        <v>0</v>
      </c>
      <c r="W9" s="22">
        <f>SUMIFS(Datos!$L:$L,Datos!$F:$F,$C$2,Datos!$H:$H,1,Datos!$G:$G,W5)</f>
        <v>0</v>
      </c>
      <c r="X9" s="6">
        <f>SUMIFS(Datos!$L:$L,Datos!$F:$F,$C$2,Datos!$H:$H,2,Datos!$G:$G,W5)</f>
        <v>0</v>
      </c>
      <c r="Y9" s="6">
        <f>SUMIFS(Datos!$L:$L,Datos!$F:$F,$C$2,Datos!$H:$H,3,Datos!$G:$G,W5)</f>
        <v>0</v>
      </c>
      <c r="Z9" s="23">
        <f>SUM(W9:Y9)</f>
        <v>0</v>
      </c>
      <c r="AA9" s="22">
        <f>SUMIFS(Datos!$L:$L,Datos!$F:$F,$C$2,Datos!$H:$H,1,Datos!$G:$G,AA5)</f>
        <v>0</v>
      </c>
      <c r="AB9" s="6">
        <f>SUMIFS(Datos!$L:$L,Datos!$F:$F,$C$2,Datos!$H:$H,2,Datos!$G:$G,AA5)</f>
        <v>0</v>
      </c>
      <c r="AC9" s="6">
        <f>SUMIFS(Datos!$L:$L,Datos!$F:$F,$C$2,Datos!$H:$H,3,Datos!$G:$G,AA5)</f>
        <v>0</v>
      </c>
      <c r="AD9" s="23">
        <f>SUM(AA9:AC9)</f>
        <v>0</v>
      </c>
      <c r="AE9" s="45">
        <f t="shared" si="0"/>
        <v>65</v>
      </c>
      <c r="AF9" s="6">
        <f t="shared" si="0"/>
        <v>83</v>
      </c>
      <c r="AG9" s="6">
        <f t="shared" si="0"/>
        <v>0</v>
      </c>
      <c r="AH9" s="23">
        <f>SUM(AE9:AG9)</f>
        <v>148</v>
      </c>
    </row>
    <row r="10" spans="1:34" x14ac:dyDescent="0.25">
      <c r="B10" s="42" t="s">
        <v>7</v>
      </c>
      <c r="C10" s="38">
        <f>C8/C7</f>
        <v>67.173913043478237</v>
      </c>
      <c r="D10" s="39">
        <f t="shared" ref="D10:F10" si="1">D8/D7</f>
        <v>62.417061611374443</v>
      </c>
      <c r="E10" s="39" t="e">
        <f t="shared" si="1"/>
        <v>#DIV/0!</v>
      </c>
      <c r="F10" s="40">
        <f t="shared" si="1"/>
        <v>64.897959183673478</v>
      </c>
      <c r="G10" s="38" t="e">
        <f>G8/G7</f>
        <v>#DIV/0!</v>
      </c>
      <c r="H10" s="39" t="e">
        <f t="shared" ref="H10:J10" si="2">H8/H7</f>
        <v>#DIV/0!</v>
      </c>
      <c r="I10" s="39" t="e">
        <f t="shared" si="2"/>
        <v>#DIV/0!</v>
      </c>
      <c r="J10" s="40" t="e">
        <f t="shared" si="2"/>
        <v>#DIV/0!</v>
      </c>
      <c r="K10" s="38" t="e">
        <f>K8/K7</f>
        <v>#DIV/0!</v>
      </c>
      <c r="L10" s="39" t="e">
        <f t="shared" ref="L10:N10" si="3">L8/L7</f>
        <v>#DIV/0!</v>
      </c>
      <c r="M10" s="39" t="e">
        <f t="shared" si="3"/>
        <v>#DIV/0!</v>
      </c>
      <c r="N10" s="40" t="e">
        <f t="shared" si="3"/>
        <v>#DIV/0!</v>
      </c>
      <c r="O10" s="38" t="e">
        <f>O8/O7</f>
        <v>#DIV/0!</v>
      </c>
      <c r="P10" s="39" t="e">
        <f t="shared" ref="P10:R10" si="4">P8/P7</f>
        <v>#DIV/0!</v>
      </c>
      <c r="Q10" s="39" t="e">
        <f t="shared" si="4"/>
        <v>#DIV/0!</v>
      </c>
      <c r="R10" s="40" t="e">
        <f t="shared" si="4"/>
        <v>#DIV/0!</v>
      </c>
      <c r="S10" s="38" t="e">
        <f>S8/S7</f>
        <v>#DIV/0!</v>
      </c>
      <c r="T10" s="39" t="e">
        <f t="shared" ref="T10:V10" si="5">T8/T7</f>
        <v>#DIV/0!</v>
      </c>
      <c r="U10" s="39" t="e">
        <f t="shared" si="5"/>
        <v>#DIV/0!</v>
      </c>
      <c r="V10" s="40" t="e">
        <f t="shared" si="5"/>
        <v>#DIV/0!</v>
      </c>
      <c r="W10" s="38" t="e">
        <f>W8/W7</f>
        <v>#DIV/0!</v>
      </c>
      <c r="X10" s="39" t="e">
        <f t="shared" ref="X10:Z10" si="6">X8/X7</f>
        <v>#DIV/0!</v>
      </c>
      <c r="Y10" s="39" t="e">
        <f t="shared" si="6"/>
        <v>#DIV/0!</v>
      </c>
      <c r="Z10" s="40" t="e">
        <f t="shared" si="6"/>
        <v>#DIV/0!</v>
      </c>
      <c r="AA10" s="38" t="e">
        <f>AA8/AA7</f>
        <v>#DIV/0!</v>
      </c>
      <c r="AB10" s="39" t="e">
        <f t="shared" ref="AB10:AD10" si="7">AB8/AB7</f>
        <v>#DIV/0!</v>
      </c>
      <c r="AC10" s="39" t="e">
        <f t="shared" si="7"/>
        <v>#DIV/0!</v>
      </c>
      <c r="AD10" s="40" t="e">
        <f t="shared" si="7"/>
        <v>#DIV/0!</v>
      </c>
      <c r="AE10" s="46">
        <f>AE8/AE7</f>
        <v>67.173913043478237</v>
      </c>
      <c r="AF10" s="39">
        <f>AF8/AF7</f>
        <v>62.417061611374443</v>
      </c>
      <c r="AG10" s="39" t="e">
        <f>AG8/AG7</f>
        <v>#DIV/0!</v>
      </c>
      <c r="AH10" s="40">
        <f>AH8/AH7</f>
        <v>64.897959183673478</v>
      </c>
    </row>
    <row r="11" spans="1:34" x14ac:dyDescent="0.25">
      <c r="B11" s="42" t="s">
        <v>111</v>
      </c>
      <c r="C11" s="22">
        <f>SUMIFS(Datos!$L:$L,Datos!$F:$F,$C$2,Datos!$H:$H,1,Datos!$S:$S,"MANTENIMIENTO",Datos!$G:$G,C5)</f>
        <v>31</v>
      </c>
      <c r="D11" s="6">
        <f>SUMIFS(Datos!$L:$L,Datos!$F:$F,$C$2,Datos!$H:$H,2,Datos!$S:$S,"MANTENIMIENTO",Datos!$G:$G,C5)</f>
        <v>67</v>
      </c>
      <c r="E11" s="6">
        <f>SUMIFS(Datos!$L:$L,Datos!$F:$F,$C$2,Datos!$H:$H,3,Datos!$S:$S,"MANTENIMIENTO",Datos!$G:$G,C5)</f>
        <v>0</v>
      </c>
      <c r="F11" s="23">
        <f>SUM(C11:E11)</f>
        <v>98</v>
      </c>
      <c r="G11" s="22">
        <f>SUMIFS(Datos!$L:$L,Datos!$F:$F,$C$2,Datos!$H:$H,1,Datos!$S:$S,"MANTENIMIENTO",Datos!$G:$G,G5)</f>
        <v>0</v>
      </c>
      <c r="H11" s="6">
        <f>SUMIFS(Datos!$L:$L,Datos!$F:$F,$C$2,Datos!$H:$H,2,Datos!$S:$S,"MANTENIMIENTO",Datos!$G:$G,G5)</f>
        <v>0</v>
      </c>
      <c r="I11" s="6">
        <f>SUMIFS(Datos!$L:$L,Datos!$F:$F,$C$2,Datos!$H:$H,3,Datos!$S:$S,"MANTENIMIENTO",Datos!$G:$G,G5)</f>
        <v>0</v>
      </c>
      <c r="J11" s="23">
        <f>SUM(G11:I11)</f>
        <v>0</v>
      </c>
      <c r="K11" s="22">
        <f>SUMIFS(Datos!$L:$L,Datos!$F:$F,$C$2,Datos!$H:$H,1,Datos!$S:$S,"MANTENIMIENTO",Datos!$G:$G,K5)</f>
        <v>0</v>
      </c>
      <c r="L11" s="6">
        <f>SUMIFS(Datos!$L:$L,Datos!$F:$F,$C$2,Datos!$H:$H,2,Datos!$S:$S,"MANTENIMIENTO",Datos!$G:$G,K5)</f>
        <v>0</v>
      </c>
      <c r="M11" s="6">
        <f>SUMIFS(Datos!$L:$L,Datos!$F:$F,$C$2,Datos!$H:$H,3,Datos!$S:$S,"MANTENIMIENTO",Datos!$G:$G,K5)</f>
        <v>0</v>
      </c>
      <c r="N11" s="23">
        <f>SUM(K11:M11)</f>
        <v>0</v>
      </c>
      <c r="O11" s="22">
        <f>SUMIFS(Datos!$L:$L,Datos!$F:$F,$C$2,Datos!$H:$H,1,Datos!$S:$S,"MANTENIMIENTO",Datos!$G:$G,O5)</f>
        <v>0</v>
      </c>
      <c r="P11" s="6">
        <f>SUMIFS(Datos!$L:$L,Datos!$F:$F,$C$2,Datos!$H:$H,2,Datos!$S:$S,"MANTENIMIENTO",Datos!$G:$G,O5)</f>
        <v>0</v>
      </c>
      <c r="Q11" s="6">
        <f>SUMIFS(Datos!$L:$L,Datos!$F:$F,$C$2,Datos!$H:$H,3,Datos!$S:$S,"MANTENIMIENTO",Datos!$G:$G,O5)</f>
        <v>0</v>
      </c>
      <c r="R11" s="23">
        <f>SUM(O11:Q11)</f>
        <v>0</v>
      </c>
      <c r="S11" s="22">
        <f>SUMIFS(Datos!$L:$L,Datos!$F:$F,$C$2,Datos!$H:$H,1,Datos!$S:$S,"MANTENIMIENTO",Datos!$G:$G,S5)</f>
        <v>0</v>
      </c>
      <c r="T11" s="6">
        <f>SUMIFS(Datos!$L:$L,Datos!$F:$F,$C$2,Datos!$H:$H,2,Datos!$S:$S,"MANTENIMIENTO",Datos!$G:$G,S5)</f>
        <v>0</v>
      </c>
      <c r="U11" s="6">
        <f>SUMIFS(Datos!$L:$L,Datos!$F:$F,$C$2,Datos!$H:$H,3,Datos!$S:$S,"MANTENIMIENTO",Datos!$G:$G,S5)</f>
        <v>0</v>
      </c>
      <c r="V11" s="23">
        <f>SUM(S11:U11)</f>
        <v>0</v>
      </c>
      <c r="W11" s="22">
        <f>SUMIFS(Datos!$L:$L,Datos!$F:$F,$C$2,Datos!$H:$H,1,Datos!$S:$S,"MANTENIMIENTO",Datos!$G:$G,W5)</f>
        <v>0</v>
      </c>
      <c r="X11" s="6">
        <f>SUMIFS(Datos!$L:$L,Datos!$F:$F,$C$2,Datos!$H:$H,2,Datos!$S:$S,"MANTENIMIENTO",Datos!$G:$G,W5)</f>
        <v>0</v>
      </c>
      <c r="Y11" s="6">
        <f>SUMIFS(Datos!$L:$L,Datos!$F:$F,$C$2,Datos!$H:$H,3,Datos!$S:$S,"MANTENIMIENTO",Datos!$G:$G,W5)</f>
        <v>0</v>
      </c>
      <c r="Z11" s="23">
        <f>SUM(W11:Y11)</f>
        <v>0</v>
      </c>
      <c r="AA11" s="22">
        <f>SUMIFS(Datos!$L:$L,Datos!$F:$F,$C$2,Datos!$H:$H,1,Datos!$S:$S,"MANTENIMIENTO",Datos!$G:$G,AA5)</f>
        <v>0</v>
      </c>
      <c r="AB11" s="6">
        <f>SUMIFS(Datos!$L:$L,Datos!$F:$F,$C$2,Datos!$H:$H,2,Datos!$S:$S,"MANTENIMIENTO",Datos!$G:$G,AA5)</f>
        <v>0</v>
      </c>
      <c r="AC11" s="6">
        <f>SUMIFS(Datos!$L:$L,Datos!$F:$F,$C$2,Datos!$H:$H,3,Datos!$S:$S,"MANTENIMIENTO",Datos!$G:$G,AA5)</f>
        <v>0</v>
      </c>
      <c r="AD11" s="23">
        <f>SUM(AA11:AC11)</f>
        <v>0</v>
      </c>
      <c r="AE11" s="45">
        <f>SUM(C11,G11,K11,O11,S11,W11,AA11)</f>
        <v>31</v>
      </c>
      <c r="AF11" s="6">
        <f>SUM(D11,H11,L11,P11,T11,X11,AB11)</f>
        <v>67</v>
      </c>
      <c r="AG11" s="6">
        <f>SUM(E11,I11,M11,Q11,U11,Y11,AC11)</f>
        <v>0</v>
      </c>
      <c r="AH11" s="23">
        <f>SUM(AE11:AG11)</f>
        <v>98</v>
      </c>
    </row>
    <row r="12" spans="1:34" x14ac:dyDescent="0.25">
      <c r="B12" s="42" t="s">
        <v>113</v>
      </c>
      <c r="C12" s="38">
        <f>C11/C15</f>
        <v>3.4444444444444446</v>
      </c>
      <c r="D12" s="39">
        <f t="shared" ref="D12:F12" si="8">D11/D15</f>
        <v>4.7857142857142856</v>
      </c>
      <c r="E12" s="39" t="e">
        <f t="shared" si="8"/>
        <v>#DIV/0!</v>
      </c>
      <c r="F12" s="40">
        <f t="shared" si="8"/>
        <v>4.2608695652173916</v>
      </c>
      <c r="G12" s="38" t="e">
        <f>G11/G15</f>
        <v>#DIV/0!</v>
      </c>
      <c r="H12" s="39" t="e">
        <f t="shared" ref="H12:J12" si="9">H11/H15</f>
        <v>#DIV/0!</v>
      </c>
      <c r="I12" s="39" t="e">
        <f t="shared" si="9"/>
        <v>#DIV/0!</v>
      </c>
      <c r="J12" s="40" t="e">
        <f t="shared" si="9"/>
        <v>#DIV/0!</v>
      </c>
      <c r="K12" s="38" t="e">
        <f>K11/K15</f>
        <v>#DIV/0!</v>
      </c>
      <c r="L12" s="39" t="e">
        <f t="shared" ref="L12:N12" si="10">L11/L15</f>
        <v>#DIV/0!</v>
      </c>
      <c r="M12" s="39" t="e">
        <f t="shared" si="10"/>
        <v>#DIV/0!</v>
      </c>
      <c r="N12" s="40" t="e">
        <f t="shared" si="10"/>
        <v>#DIV/0!</v>
      </c>
      <c r="O12" s="38" t="e">
        <f>O11/O15</f>
        <v>#DIV/0!</v>
      </c>
      <c r="P12" s="39" t="e">
        <f t="shared" ref="P12:R12" si="11">P11/P15</f>
        <v>#DIV/0!</v>
      </c>
      <c r="Q12" s="39" t="e">
        <f t="shared" si="11"/>
        <v>#DIV/0!</v>
      </c>
      <c r="R12" s="40" t="e">
        <f t="shared" si="11"/>
        <v>#DIV/0!</v>
      </c>
      <c r="S12" s="38" t="e">
        <f>S11/S15</f>
        <v>#DIV/0!</v>
      </c>
      <c r="T12" s="39" t="e">
        <f t="shared" ref="T12:V12" si="12">T11/T15</f>
        <v>#DIV/0!</v>
      </c>
      <c r="U12" s="39" t="e">
        <f t="shared" si="12"/>
        <v>#DIV/0!</v>
      </c>
      <c r="V12" s="40" t="e">
        <f t="shared" si="12"/>
        <v>#DIV/0!</v>
      </c>
      <c r="W12" s="38" t="e">
        <f>W11/W15</f>
        <v>#DIV/0!</v>
      </c>
      <c r="X12" s="39" t="e">
        <f t="shared" ref="X12:Z12" si="13">X11/X15</f>
        <v>#DIV/0!</v>
      </c>
      <c r="Y12" s="39" t="e">
        <f t="shared" si="13"/>
        <v>#DIV/0!</v>
      </c>
      <c r="Z12" s="40" t="e">
        <f t="shared" si="13"/>
        <v>#DIV/0!</v>
      </c>
      <c r="AA12" s="38" t="e">
        <f>AA11/AA15</f>
        <v>#DIV/0!</v>
      </c>
      <c r="AB12" s="39" t="e">
        <f t="shared" ref="AB12:AD12" si="14">AB11/AB15</f>
        <v>#DIV/0!</v>
      </c>
      <c r="AC12" s="39" t="e">
        <f t="shared" si="14"/>
        <v>#DIV/0!</v>
      </c>
      <c r="AD12" s="40" t="e">
        <f t="shared" si="14"/>
        <v>#DIV/0!</v>
      </c>
      <c r="AE12" s="46">
        <f>AE11/AE15</f>
        <v>3.4444444444444446</v>
      </c>
      <c r="AF12" s="39">
        <f>AF11/AF15</f>
        <v>4.7857142857142856</v>
      </c>
      <c r="AG12" s="39" t="e">
        <f>AG11/AG15</f>
        <v>#DIV/0!</v>
      </c>
      <c r="AH12" s="40">
        <f>AH11/AH15</f>
        <v>4.2608695652173916</v>
      </c>
    </row>
    <row r="13" spans="1:34" x14ac:dyDescent="0.25">
      <c r="B13" s="42" t="s">
        <v>114</v>
      </c>
      <c r="C13" s="38">
        <f>(C7*60-C11)/C15</f>
        <v>47.666666666666686</v>
      </c>
      <c r="D13" s="39">
        <f t="shared" ref="D13:E13" si="15">(D7*60-D11)/D15</f>
        <v>25.35714285714284</v>
      </c>
      <c r="E13" s="39" t="e">
        <f t="shared" si="15"/>
        <v>#DIV/0!</v>
      </c>
      <c r="F13" s="40">
        <f>(F7*60-F11)/F15</f>
        <v>34.086956521739133</v>
      </c>
      <c r="G13" s="38" t="e">
        <f>(G7*60-G11)/G15</f>
        <v>#DIV/0!</v>
      </c>
      <c r="H13" s="39" t="e">
        <f t="shared" ref="H13:I13" si="16">(H7*60-H11)/H15</f>
        <v>#DIV/0!</v>
      </c>
      <c r="I13" s="39" t="e">
        <f t="shared" si="16"/>
        <v>#DIV/0!</v>
      </c>
      <c r="J13" s="40" t="e">
        <f>(J7*60-J11)/J15</f>
        <v>#DIV/0!</v>
      </c>
      <c r="K13" s="38" t="e">
        <f>(K7*60-K11)/K15</f>
        <v>#DIV/0!</v>
      </c>
      <c r="L13" s="39" t="e">
        <f t="shared" ref="L13:M13" si="17">(L7*60-L11)/L15</f>
        <v>#DIV/0!</v>
      </c>
      <c r="M13" s="39" t="e">
        <f t="shared" si="17"/>
        <v>#DIV/0!</v>
      </c>
      <c r="N13" s="40" t="e">
        <f>(N7*60-N11)/N15</f>
        <v>#DIV/0!</v>
      </c>
      <c r="O13" s="38" t="e">
        <f>(O7*60-O11)/O15</f>
        <v>#DIV/0!</v>
      </c>
      <c r="P13" s="39" t="e">
        <f t="shared" ref="P13:Q13" si="18">(P7*60-P11)/P15</f>
        <v>#DIV/0!</v>
      </c>
      <c r="Q13" s="39" t="e">
        <f t="shared" si="18"/>
        <v>#DIV/0!</v>
      </c>
      <c r="R13" s="40" t="e">
        <f>(R7*60-R11)/R15</f>
        <v>#DIV/0!</v>
      </c>
      <c r="S13" s="38" t="e">
        <f>(S7*60-S11)/S15</f>
        <v>#DIV/0!</v>
      </c>
      <c r="T13" s="39" t="e">
        <f t="shared" ref="T13:U13" si="19">(T7*60-T11)/T15</f>
        <v>#DIV/0!</v>
      </c>
      <c r="U13" s="39" t="e">
        <f t="shared" si="19"/>
        <v>#DIV/0!</v>
      </c>
      <c r="V13" s="40" t="e">
        <f>(V7*60-V11)/V15</f>
        <v>#DIV/0!</v>
      </c>
      <c r="W13" s="38" t="e">
        <f>(W7*60-W11)/W15</f>
        <v>#DIV/0!</v>
      </c>
      <c r="X13" s="39" t="e">
        <f t="shared" ref="X13:Y13" si="20">(X7*60-X11)/X15</f>
        <v>#DIV/0!</v>
      </c>
      <c r="Y13" s="39" t="e">
        <f t="shared" si="20"/>
        <v>#DIV/0!</v>
      </c>
      <c r="Z13" s="40" t="e">
        <f>(Z7*60-Z11)/Z15</f>
        <v>#DIV/0!</v>
      </c>
      <c r="AA13" s="38" t="e">
        <f>(AA7*60-AA11)/AA15</f>
        <v>#DIV/0!</v>
      </c>
      <c r="AB13" s="39" t="e">
        <f t="shared" ref="AB13:AC13" si="21">(AB7*60-AB11)/AB15</f>
        <v>#DIV/0!</v>
      </c>
      <c r="AC13" s="39" t="e">
        <f t="shared" si="21"/>
        <v>#DIV/0!</v>
      </c>
      <c r="AD13" s="40" t="e">
        <f>(AD7*60-AD11)/AD15</f>
        <v>#DIV/0!</v>
      </c>
      <c r="AE13" s="46">
        <f>(AE7*60-AE11)/AE15</f>
        <v>47.666666666666686</v>
      </c>
      <c r="AF13" s="39">
        <f>(AF7*60-AF11)/AF15</f>
        <v>25.35714285714284</v>
      </c>
      <c r="AG13" s="39" t="e">
        <f>(AG7*60-AG11)/AG15</f>
        <v>#DIV/0!</v>
      </c>
      <c r="AH13" s="40">
        <f>(AH7*60-AH11)/AH15</f>
        <v>34.086956521739133</v>
      </c>
    </row>
    <row r="14" spans="1:34" x14ac:dyDescent="0.25">
      <c r="B14" s="42" t="s">
        <v>115</v>
      </c>
      <c r="C14" s="24">
        <f t="shared" ref="C14:AH14" si="22">C11/(C7*60)</f>
        <v>6.7391304347826059E-2</v>
      </c>
      <c r="D14" s="11">
        <f t="shared" si="22"/>
        <v>0.15876777251184843</v>
      </c>
      <c r="E14" s="11" t="e">
        <f t="shared" si="22"/>
        <v>#DIV/0!</v>
      </c>
      <c r="F14" s="25">
        <f t="shared" si="22"/>
        <v>0.1111111111111111</v>
      </c>
      <c r="G14" s="24" t="e">
        <f t="shared" si="22"/>
        <v>#DIV/0!</v>
      </c>
      <c r="H14" s="11" t="e">
        <f t="shared" si="22"/>
        <v>#DIV/0!</v>
      </c>
      <c r="I14" s="11" t="e">
        <f t="shared" si="22"/>
        <v>#DIV/0!</v>
      </c>
      <c r="J14" s="25" t="e">
        <f t="shared" si="22"/>
        <v>#DIV/0!</v>
      </c>
      <c r="K14" s="24" t="e">
        <f t="shared" si="22"/>
        <v>#DIV/0!</v>
      </c>
      <c r="L14" s="11" t="e">
        <f t="shared" si="22"/>
        <v>#DIV/0!</v>
      </c>
      <c r="M14" s="11" t="e">
        <f t="shared" si="22"/>
        <v>#DIV/0!</v>
      </c>
      <c r="N14" s="25" t="e">
        <f t="shared" si="22"/>
        <v>#DIV/0!</v>
      </c>
      <c r="O14" s="24" t="e">
        <f t="shared" si="22"/>
        <v>#DIV/0!</v>
      </c>
      <c r="P14" s="11" t="e">
        <f t="shared" si="22"/>
        <v>#DIV/0!</v>
      </c>
      <c r="Q14" s="11" t="e">
        <f t="shared" si="22"/>
        <v>#DIV/0!</v>
      </c>
      <c r="R14" s="25" t="e">
        <f t="shared" si="22"/>
        <v>#DIV/0!</v>
      </c>
      <c r="S14" s="24" t="e">
        <f t="shared" si="22"/>
        <v>#DIV/0!</v>
      </c>
      <c r="T14" s="11" t="e">
        <f t="shared" si="22"/>
        <v>#DIV/0!</v>
      </c>
      <c r="U14" s="11" t="e">
        <f t="shared" si="22"/>
        <v>#DIV/0!</v>
      </c>
      <c r="V14" s="25" t="e">
        <f t="shared" si="22"/>
        <v>#DIV/0!</v>
      </c>
      <c r="W14" s="24" t="e">
        <f t="shared" si="22"/>
        <v>#DIV/0!</v>
      </c>
      <c r="X14" s="11" t="e">
        <f t="shared" si="22"/>
        <v>#DIV/0!</v>
      </c>
      <c r="Y14" s="11" t="e">
        <f t="shared" si="22"/>
        <v>#DIV/0!</v>
      </c>
      <c r="Z14" s="25" t="e">
        <f t="shared" si="22"/>
        <v>#DIV/0!</v>
      </c>
      <c r="AA14" s="24" t="e">
        <f t="shared" si="22"/>
        <v>#DIV/0!</v>
      </c>
      <c r="AB14" s="11" t="e">
        <f t="shared" si="22"/>
        <v>#DIV/0!</v>
      </c>
      <c r="AC14" s="11" t="e">
        <f t="shared" si="22"/>
        <v>#DIV/0!</v>
      </c>
      <c r="AD14" s="25" t="e">
        <f t="shared" si="22"/>
        <v>#DIV/0!</v>
      </c>
      <c r="AE14" s="47">
        <f t="shared" si="22"/>
        <v>6.7391304347826059E-2</v>
      </c>
      <c r="AF14" s="11">
        <f t="shared" si="22"/>
        <v>0.15876777251184843</v>
      </c>
      <c r="AG14" s="11" t="e">
        <f t="shared" si="22"/>
        <v>#DIV/0!</v>
      </c>
      <c r="AH14" s="25">
        <f t="shared" si="22"/>
        <v>0.1111111111111111</v>
      </c>
    </row>
    <row r="15" spans="1:34" ht="15.75" thickBot="1" x14ac:dyDescent="0.3">
      <c r="B15" s="43" t="s">
        <v>116</v>
      </c>
      <c r="C15" s="26">
        <f>COUNTIFS(Datos!$F:$F,$C$2,Datos!$H:$H,1,Datos!$S:$S,"MANTENIMIENTO",Datos!$G:$G,C5)</f>
        <v>9</v>
      </c>
      <c r="D15" s="27">
        <f>COUNTIFS(Datos!$F:$F,$C$2,Datos!$H:$H,2,Datos!$S:$S,"MANTENIMIENTO",Datos!$G:$G,C5)</f>
        <v>14</v>
      </c>
      <c r="E15" s="27">
        <f>COUNTIFS(Datos!$F:$F,$C$2,Datos!$H:$H,3,Datos!$S:$S,"MANTENIMIENTO",Datos!$G:$G,C5)</f>
        <v>0</v>
      </c>
      <c r="F15" s="28">
        <f>SUM(C15:E15)</f>
        <v>23</v>
      </c>
      <c r="G15" s="26">
        <f>COUNTIFS(Datos!$F:$F,$C$2,Datos!$H:$H,1,Datos!$S:$S,"MANTENIMIENTO",Datos!$G:$G,G5)</f>
        <v>0</v>
      </c>
      <c r="H15" s="27">
        <f>COUNTIFS(Datos!$F:$F,$C$2,Datos!$H:$H,2,Datos!$S:$S,"MANTENIMIENTO",Datos!$G:$G,G5)</f>
        <v>0</v>
      </c>
      <c r="I15" s="27">
        <f>COUNTIFS(Datos!$F:$F,$C$2,Datos!$H:$H,3,Datos!$S:$S,"MANTENIMIENTO",Datos!$G:$G,G5)</f>
        <v>0</v>
      </c>
      <c r="J15" s="28">
        <f>SUM(G15:I15)</f>
        <v>0</v>
      </c>
      <c r="K15" s="26">
        <f>COUNTIFS(Datos!$F:$F,$C$2,Datos!$H:$H,1,Datos!$S:$S,"MANTENIMIENTO",Datos!$G:$G,K5)</f>
        <v>0</v>
      </c>
      <c r="L15" s="27">
        <f>COUNTIFS(Datos!$F:$F,$C$2,Datos!$H:$H,2,Datos!$S:$S,"MANTENIMIENTO",Datos!$G:$G,K5)</f>
        <v>0</v>
      </c>
      <c r="M15" s="27">
        <f>COUNTIFS(Datos!$F:$F,$C$2,Datos!$H:$H,3,Datos!$S:$S,"MANTENIMIENTO",Datos!$G:$G,K5)</f>
        <v>0</v>
      </c>
      <c r="N15" s="28">
        <f>SUM(K15:M15)</f>
        <v>0</v>
      </c>
      <c r="O15" s="26">
        <f>COUNTIFS(Datos!$F:$F,$C$2,Datos!$H:$H,1,Datos!$S:$S,"MANTENIMIENTO",Datos!$G:$G,O5)</f>
        <v>0</v>
      </c>
      <c r="P15" s="27">
        <f>COUNTIFS(Datos!$F:$F,$C$2,Datos!$H:$H,2,Datos!$S:$S,"MANTENIMIENTO",Datos!$G:$G,O5)</f>
        <v>0</v>
      </c>
      <c r="Q15" s="27">
        <f>COUNTIFS(Datos!$F:$F,$C$2,Datos!$H:$H,3,Datos!$S:$S,"MANTENIMIENTO",Datos!$G:$G,O5)</f>
        <v>0</v>
      </c>
      <c r="R15" s="28">
        <f>SUM(O15:Q15)</f>
        <v>0</v>
      </c>
      <c r="S15" s="26">
        <f>COUNTIFS(Datos!$F:$F,$C$2,Datos!$H:$H,1,Datos!$S:$S,"MANTENIMIENTO",Datos!$G:$G,S5)</f>
        <v>0</v>
      </c>
      <c r="T15" s="27">
        <f>COUNTIFS(Datos!$F:$F,$C$2,Datos!$H:$H,2,Datos!$S:$S,"MANTENIMIENTO",Datos!$G:$G,S5)</f>
        <v>0</v>
      </c>
      <c r="U15" s="27">
        <f>COUNTIFS(Datos!$F:$F,$C$2,Datos!$H:$H,3,Datos!$S:$S,"MANTENIMIENTO",Datos!$G:$G,S5)</f>
        <v>0</v>
      </c>
      <c r="V15" s="28">
        <f>SUM(S15:U15)</f>
        <v>0</v>
      </c>
      <c r="W15" s="26">
        <f>COUNTIFS(Datos!$F:$F,$C$2,Datos!$H:$H,1,Datos!$S:$S,"MANTENIMIENTO",Datos!$G:$G,W5)</f>
        <v>0</v>
      </c>
      <c r="X15" s="27">
        <f>COUNTIFS(Datos!$F:$F,$C$2,Datos!$H:$H,2,Datos!$S:$S,"MANTENIMIENTO",Datos!$G:$G,W5)</f>
        <v>0</v>
      </c>
      <c r="Y15" s="27">
        <f>COUNTIFS(Datos!$F:$F,$C$2,Datos!$H:$H,3,Datos!$S:$S,"MANTENIMIENTO",Datos!$G:$G,W5)</f>
        <v>0</v>
      </c>
      <c r="Z15" s="28">
        <f>SUM(W15:Y15)</f>
        <v>0</v>
      </c>
      <c r="AA15" s="26">
        <f>COUNTIFS(Datos!$F:$F,$C$2,Datos!$H:$H,1,Datos!$S:$S,"MANTENIMIENTO",Datos!$G:$G,AA5)</f>
        <v>0</v>
      </c>
      <c r="AB15" s="27">
        <f>COUNTIFS(Datos!$F:$F,$C$2,Datos!$H:$H,2,Datos!$S:$S,"MANTENIMIENTO",Datos!$G:$G,AA5)</f>
        <v>0</v>
      </c>
      <c r="AC15" s="27">
        <f>COUNTIFS(Datos!$F:$F,$C$2,Datos!$H:$H,3,Datos!$S:$S,"MANTENIMIENTO",Datos!$G:$G,AA5)</f>
        <v>0</v>
      </c>
      <c r="AD15" s="28">
        <f>SUM(AA15:AC15)</f>
        <v>0</v>
      </c>
      <c r="AE15" s="48">
        <f>SUM(C15,G15,K15,O15,S15,W15,AA15)</f>
        <v>9</v>
      </c>
      <c r="AF15" s="27">
        <f>SUM(D15,H15,L15,P15,T15,X15,AB15)</f>
        <v>14</v>
      </c>
      <c r="AG15" s="27">
        <f>SUM(E15,I15,M15,Q15,U15,Y15,AC15)</f>
        <v>0</v>
      </c>
      <c r="AH15" s="28">
        <f>SUM(AE15:AG15)</f>
        <v>23</v>
      </c>
    </row>
    <row r="18" spans="2:10" x14ac:dyDescent="0.25">
      <c r="C18" s="29"/>
    </row>
    <row r="23" spans="2:10" x14ac:dyDescent="0.25">
      <c r="C23" s="29"/>
    </row>
    <row r="25" spans="2:10" x14ac:dyDescent="0.25">
      <c r="B25" s="29"/>
      <c r="C25" s="14"/>
    </row>
    <row r="29" spans="2:10" x14ac:dyDescent="0.25">
      <c r="B29" s="29"/>
      <c r="C29" s="14"/>
      <c r="D29" s="14"/>
      <c r="E29" s="14"/>
      <c r="F29" s="14"/>
      <c r="G29" s="14"/>
      <c r="H29" s="14"/>
      <c r="I29" s="14"/>
      <c r="J29" s="14"/>
    </row>
    <row r="30" spans="2:10" x14ac:dyDescent="0.25">
      <c r="B30" s="29"/>
      <c r="C30" s="14"/>
      <c r="D30" s="14"/>
      <c r="E30" s="14"/>
      <c r="F30" s="14"/>
      <c r="G30" s="14"/>
      <c r="H30" s="14"/>
      <c r="I30" s="14"/>
      <c r="J30" s="14"/>
    </row>
    <row r="31" spans="2:10" x14ac:dyDescent="0.25">
      <c r="B31" s="29"/>
      <c r="C31" s="14"/>
      <c r="D31" s="14"/>
      <c r="E31" s="14"/>
      <c r="F31" s="14"/>
      <c r="G31" s="14"/>
      <c r="H31" s="14"/>
      <c r="I31" s="14"/>
      <c r="J31" s="14"/>
    </row>
    <row r="32" spans="2:10" x14ac:dyDescent="0.25">
      <c r="B32" s="29"/>
      <c r="C32" s="14"/>
      <c r="D32" s="14"/>
      <c r="E32" s="14"/>
      <c r="F32" s="14"/>
      <c r="G32" s="14"/>
      <c r="H32" s="14"/>
      <c r="I32" s="14"/>
      <c r="J32" s="14"/>
    </row>
    <row r="33" spans="2:10" x14ac:dyDescent="0.25">
      <c r="B33" s="29"/>
      <c r="C33" s="14"/>
      <c r="D33" s="14"/>
      <c r="E33" s="14"/>
      <c r="F33" s="14"/>
      <c r="G33" s="14"/>
      <c r="H33" s="14"/>
      <c r="I33" s="14"/>
      <c r="J33" s="14"/>
    </row>
    <row r="34" spans="2:10" x14ac:dyDescent="0.25">
      <c r="B34" s="29"/>
      <c r="C34" s="14"/>
      <c r="D34" s="14"/>
      <c r="E34" s="14"/>
      <c r="F34" s="14"/>
      <c r="G34" s="14"/>
      <c r="H34" s="14"/>
      <c r="I34" s="14"/>
      <c r="J34" s="14"/>
    </row>
    <row r="35" spans="2:10" x14ac:dyDescent="0.25">
      <c r="B35" s="29"/>
      <c r="C35" s="14"/>
      <c r="D35" s="14"/>
      <c r="E35" s="14"/>
      <c r="F35" s="14"/>
      <c r="G35" s="14"/>
      <c r="H35" s="14"/>
      <c r="I35" s="14"/>
      <c r="J35" s="14"/>
    </row>
    <row r="36" spans="2:10" x14ac:dyDescent="0.25">
      <c r="B36" s="29"/>
      <c r="C36" s="14"/>
      <c r="D36" s="14"/>
      <c r="E36" s="14"/>
      <c r="F36" s="14"/>
      <c r="G36" s="14"/>
      <c r="H36" s="14"/>
      <c r="I36" s="14"/>
      <c r="J36" s="14"/>
    </row>
    <row r="37" spans="2:10" x14ac:dyDescent="0.25">
      <c r="B37" s="29"/>
      <c r="C37" s="14"/>
      <c r="D37" s="14"/>
      <c r="E37" s="14"/>
      <c r="F37" s="14"/>
      <c r="G37" s="14"/>
      <c r="H37" s="14"/>
      <c r="I37" s="14"/>
      <c r="J37" s="14"/>
    </row>
    <row r="38" spans="2:10" x14ac:dyDescent="0.25">
      <c r="B38" s="29"/>
      <c r="C38" s="14"/>
      <c r="D38" s="14"/>
      <c r="E38" s="14"/>
      <c r="F38" s="14"/>
      <c r="G38" s="14"/>
      <c r="H38" s="14"/>
      <c r="I38" s="14"/>
      <c r="J38" s="14"/>
    </row>
    <row r="39" spans="2:10" x14ac:dyDescent="0.25">
      <c r="B39" s="29"/>
      <c r="C39" s="14"/>
      <c r="D39" s="14"/>
      <c r="E39" s="14"/>
      <c r="F39" s="14"/>
      <c r="G39" s="14"/>
      <c r="H39" s="14"/>
      <c r="I39" s="14"/>
      <c r="J39" s="14"/>
    </row>
    <row r="40" spans="2:10" x14ac:dyDescent="0.25">
      <c r="B40" s="29"/>
      <c r="C40" s="14"/>
      <c r="D40" s="14"/>
      <c r="E40" s="14"/>
      <c r="F40" s="14"/>
      <c r="G40" s="14"/>
      <c r="H40" s="14"/>
      <c r="I40" s="14"/>
      <c r="J40" s="14"/>
    </row>
    <row r="41" spans="2:10" x14ac:dyDescent="0.25">
      <c r="B41" s="29"/>
      <c r="C41" s="14"/>
      <c r="D41" s="14"/>
      <c r="E41" s="14"/>
      <c r="F41" s="14"/>
      <c r="G41" s="14"/>
      <c r="H41" s="14"/>
      <c r="I41" s="14"/>
      <c r="J41" s="14"/>
    </row>
    <row r="42" spans="2:10" x14ac:dyDescent="0.25">
      <c r="B42" s="29"/>
      <c r="C42" s="14"/>
      <c r="D42" s="14"/>
      <c r="E42" s="14"/>
      <c r="F42" s="14"/>
      <c r="G42" s="14"/>
      <c r="H42" s="14"/>
      <c r="I42" s="14"/>
      <c r="J42" s="14"/>
    </row>
    <row r="43" spans="2:10" x14ac:dyDescent="0.25">
      <c r="B43" s="29"/>
      <c r="C43" s="14"/>
      <c r="D43" s="14"/>
      <c r="E43" s="14"/>
      <c r="F43" s="14"/>
      <c r="G43" s="14"/>
      <c r="H43" s="14"/>
      <c r="I43" s="14"/>
      <c r="J43" s="14"/>
    </row>
    <row r="44" spans="2:10" x14ac:dyDescent="0.25">
      <c r="B44" s="29"/>
      <c r="C44" s="14"/>
      <c r="D44" s="14"/>
      <c r="E44" s="14"/>
      <c r="F44" s="14"/>
      <c r="G44" s="14"/>
      <c r="H44" s="14"/>
      <c r="I44" s="14"/>
      <c r="J44" s="14"/>
    </row>
    <row r="45" spans="2:10" x14ac:dyDescent="0.25">
      <c r="B45" s="29"/>
      <c r="C45" s="14"/>
      <c r="D45" s="14"/>
      <c r="E45" s="14"/>
      <c r="F45" s="14"/>
      <c r="G45" s="14"/>
      <c r="H45" s="14"/>
      <c r="I45" s="14"/>
      <c r="J45" s="14"/>
    </row>
    <row r="46" spans="2:10" x14ac:dyDescent="0.25">
      <c r="B46" s="29"/>
      <c r="C46" s="14"/>
      <c r="D46" s="14"/>
      <c r="E46" s="14"/>
      <c r="F46" s="14"/>
      <c r="G46" s="14"/>
      <c r="H46" s="14"/>
      <c r="I46" s="14"/>
      <c r="J46" s="14"/>
    </row>
    <row r="47" spans="2:10" x14ac:dyDescent="0.25">
      <c r="B47" s="29"/>
      <c r="C47" s="14"/>
      <c r="D47" s="14"/>
      <c r="E47" s="14"/>
      <c r="F47" s="14"/>
      <c r="G47" s="14"/>
      <c r="H47" s="14"/>
      <c r="I47" s="14"/>
      <c r="J47" s="14"/>
    </row>
    <row r="48" spans="2:10" x14ac:dyDescent="0.25">
      <c r="B48" s="29"/>
      <c r="C48" s="14"/>
      <c r="D48" s="14"/>
      <c r="E48" s="14"/>
      <c r="F48" s="14"/>
      <c r="G48" s="14"/>
      <c r="H48" s="14"/>
      <c r="I48" s="14"/>
      <c r="J48" s="14"/>
    </row>
    <row r="49" spans="2:10" x14ac:dyDescent="0.25">
      <c r="B49" s="29"/>
      <c r="C49" s="14"/>
      <c r="D49" s="14"/>
      <c r="E49" s="14"/>
      <c r="F49" s="14"/>
      <c r="G49" s="14"/>
      <c r="H49" s="14"/>
      <c r="I49" s="14"/>
      <c r="J49" s="14"/>
    </row>
    <row r="50" spans="2:10" x14ac:dyDescent="0.25">
      <c r="B50" s="29"/>
      <c r="C50" s="14"/>
      <c r="D50" s="14"/>
      <c r="E50" s="14"/>
      <c r="F50" s="14"/>
      <c r="G50" s="14"/>
      <c r="H50" s="14"/>
      <c r="I50" s="14"/>
      <c r="J50" s="14"/>
    </row>
    <row r="51" spans="2:10" x14ac:dyDescent="0.25">
      <c r="B51" s="29"/>
      <c r="C51" s="14"/>
      <c r="D51" s="14"/>
      <c r="E51" s="14"/>
      <c r="F51" s="14"/>
      <c r="G51" s="14"/>
      <c r="H51" s="14"/>
      <c r="I51" s="14"/>
      <c r="J51" s="14"/>
    </row>
    <row r="52" spans="2:10" x14ac:dyDescent="0.25">
      <c r="B52" s="29"/>
      <c r="C52" s="14"/>
      <c r="D52" s="14"/>
      <c r="E52" s="14"/>
      <c r="F52" s="14"/>
      <c r="G52" s="14"/>
      <c r="H52" s="14"/>
      <c r="I52" s="14"/>
      <c r="J52" s="14"/>
    </row>
    <row r="53" spans="2:10" x14ac:dyDescent="0.25">
      <c r="B53" s="29"/>
      <c r="C53" s="14"/>
      <c r="D53" s="14"/>
      <c r="E53" s="14"/>
      <c r="F53" s="14"/>
      <c r="G53" s="14"/>
      <c r="H53" s="14"/>
      <c r="I53" s="14"/>
      <c r="J53" s="14"/>
    </row>
    <row r="54" spans="2:10" x14ac:dyDescent="0.25">
      <c r="B54" s="29"/>
      <c r="C54" s="14"/>
      <c r="D54" s="14"/>
      <c r="E54" s="14"/>
      <c r="F54" s="14"/>
      <c r="G54" s="14"/>
      <c r="H54" s="14"/>
      <c r="I54" s="14"/>
      <c r="J54" s="14"/>
    </row>
    <row r="55" spans="2:10" x14ac:dyDescent="0.25">
      <c r="B55" s="29"/>
      <c r="C55" s="14"/>
      <c r="D55" s="14"/>
      <c r="E55" s="14"/>
      <c r="F55" s="14"/>
      <c r="G55" s="14"/>
      <c r="H55" s="14"/>
      <c r="I55" s="14"/>
      <c r="J55" s="14"/>
    </row>
    <row r="56" spans="2:10" x14ac:dyDescent="0.25">
      <c r="B56" s="29"/>
      <c r="C56" s="14"/>
      <c r="D56" s="14"/>
      <c r="E56" s="14"/>
      <c r="F56" s="14"/>
      <c r="G56" s="14"/>
      <c r="H56" s="14"/>
      <c r="I56" s="14"/>
      <c r="J56" s="14"/>
    </row>
    <row r="57" spans="2:10" x14ac:dyDescent="0.25">
      <c r="B57" s="29"/>
      <c r="C57" s="14"/>
      <c r="D57" s="14"/>
      <c r="E57" s="14"/>
      <c r="F57" s="14"/>
      <c r="G57" s="14"/>
      <c r="H57" s="14"/>
      <c r="I57" s="14"/>
      <c r="J57" s="14"/>
    </row>
    <row r="58" spans="2:10" x14ac:dyDescent="0.25">
      <c r="B58" s="29"/>
      <c r="C58" s="14"/>
      <c r="D58" s="14"/>
      <c r="E58" s="14"/>
      <c r="F58" s="14"/>
      <c r="G58" s="14"/>
      <c r="H58" s="14"/>
      <c r="I58" s="14"/>
      <c r="J58" s="14"/>
    </row>
    <row r="59" spans="2:10" x14ac:dyDescent="0.25">
      <c r="B59" s="29"/>
      <c r="C59" s="14"/>
      <c r="D59" s="14"/>
      <c r="E59" s="14"/>
      <c r="F59" s="14"/>
      <c r="G59" s="14"/>
      <c r="H59" s="14"/>
      <c r="I59" s="14"/>
      <c r="J59" s="14"/>
    </row>
    <row r="60" spans="2:10" x14ac:dyDescent="0.25">
      <c r="B60" s="29"/>
      <c r="C60" s="14"/>
      <c r="D60" s="14"/>
      <c r="E60" s="14"/>
      <c r="F60" s="14"/>
      <c r="G60" s="14"/>
      <c r="H60" s="14"/>
      <c r="I60" s="14"/>
      <c r="J60" s="14"/>
    </row>
    <row r="61" spans="2:10" x14ac:dyDescent="0.25">
      <c r="B61" s="29"/>
      <c r="C61" s="14"/>
      <c r="D61" s="14"/>
      <c r="E61" s="14"/>
      <c r="F61" s="14"/>
      <c r="G61" s="14"/>
      <c r="H61" s="14"/>
      <c r="I61" s="14"/>
      <c r="J61" s="14"/>
    </row>
    <row r="62" spans="2:10" x14ac:dyDescent="0.25">
      <c r="B62" s="29"/>
      <c r="C62" s="14"/>
      <c r="D62" s="14"/>
      <c r="E62" s="14"/>
      <c r="F62" s="14"/>
      <c r="G62" s="14"/>
      <c r="H62" s="14"/>
      <c r="I62" s="14"/>
      <c r="J62" s="14"/>
    </row>
    <row r="63" spans="2:10" x14ac:dyDescent="0.25">
      <c r="B63" s="29"/>
      <c r="C63" s="14"/>
      <c r="D63" s="14"/>
      <c r="E63" s="14"/>
      <c r="F63" s="14"/>
      <c r="G63" s="14"/>
      <c r="H63" s="14"/>
      <c r="I63" s="14"/>
      <c r="J63" s="14"/>
    </row>
    <row r="64" spans="2:10" x14ac:dyDescent="0.25">
      <c r="B64" s="29"/>
      <c r="C64" s="14"/>
      <c r="D64" s="14"/>
      <c r="E64" s="14"/>
      <c r="F64" s="14"/>
      <c r="G64" s="14"/>
      <c r="H64" s="14"/>
      <c r="I64" s="14"/>
      <c r="J64" s="14"/>
    </row>
  </sheetData>
  <mergeCells count="18">
    <mergeCell ref="G2:J2"/>
    <mergeCell ref="C4:F4"/>
    <mergeCell ref="G4:J4"/>
    <mergeCell ref="AE5:AG5"/>
    <mergeCell ref="C5:F5"/>
    <mergeCell ref="B5:B6"/>
    <mergeCell ref="G5:J5"/>
    <mergeCell ref="K5:N5"/>
    <mergeCell ref="O5:R5"/>
    <mergeCell ref="S5:V5"/>
    <mergeCell ref="AH5:AH6"/>
    <mergeCell ref="K4:N4"/>
    <mergeCell ref="AA4:AD4"/>
    <mergeCell ref="O4:R4"/>
    <mergeCell ref="S4:V4"/>
    <mergeCell ref="W4:Z4"/>
    <mergeCell ref="W5:Z5"/>
    <mergeCell ref="AA5:AD5"/>
  </mergeCells>
  <pageMargins left="0.7" right="0.7" top="0.75" bottom="0.75" header="0.3" footer="0.3"/>
  <pageSetup orientation="portrait" horizontalDpi="203" verticalDpi="203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Datos!$A:$A</xm:f>
          </x14:formula1>
          <xm:sqref>B2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2:J63"/>
  <sheetViews>
    <sheetView workbookViewId="0">
      <selection activeCell="D20" sqref="D20"/>
    </sheetView>
  </sheetViews>
  <sheetFormatPr defaultRowHeight="15" x14ac:dyDescent="0.25"/>
  <cols>
    <col min="2" max="2" width="25.5703125" bestFit="1" customWidth="1"/>
    <col min="3" max="3" width="19" customWidth="1"/>
    <col min="4" max="4" width="17.7109375" bestFit="1" customWidth="1"/>
    <col min="5" max="5" width="15.140625" bestFit="1" customWidth="1"/>
    <col min="6" max="6" width="17.7109375" bestFit="1" customWidth="1"/>
    <col min="7" max="7" width="15.140625" bestFit="1" customWidth="1"/>
    <col min="8" max="8" width="17.7109375" bestFit="1" customWidth="1"/>
    <col min="9" max="9" width="20.140625" bestFit="1" customWidth="1"/>
    <col min="10" max="10" width="22.7109375" bestFit="1" customWidth="1"/>
  </cols>
  <sheetData>
    <row r="2" spans="1:6" x14ac:dyDescent="0.25">
      <c r="A2" t="s">
        <v>143</v>
      </c>
      <c r="B2" s="2" t="s">
        <v>71</v>
      </c>
    </row>
    <row r="4" spans="1:6" ht="15.75" thickBot="1" x14ac:dyDescent="0.3"/>
    <row r="5" spans="1:6" ht="15.75" thickBot="1" x14ac:dyDescent="0.3">
      <c r="B5" s="30"/>
      <c r="C5" s="15" t="s">
        <v>106</v>
      </c>
      <c r="D5" s="15" t="s">
        <v>107</v>
      </c>
      <c r="E5" s="15" t="s">
        <v>108</v>
      </c>
      <c r="F5" s="15" t="s">
        <v>117</v>
      </c>
    </row>
    <row r="6" spans="1:6" x14ac:dyDescent="0.25">
      <c r="B6" s="16" t="s">
        <v>109</v>
      </c>
      <c r="C6" s="19">
        <f>SUMIFS(Datos2!M:M,Datos2!V:V,B2,Datos2!D:D,1)</f>
        <v>38.826666666666668</v>
      </c>
      <c r="D6" s="20">
        <f>SUMIFS(Datos2!M:M,Datos2!V:V,B2,Datos2!D:D,2)</f>
        <v>33.822333333333333</v>
      </c>
      <c r="E6" s="20">
        <f>SUMIFS(Datos2!M:M,Datos2!V:V,B2,Datos2!D:D,3)</f>
        <v>0</v>
      </c>
      <c r="F6" s="21">
        <f>SUM(C6:E6)</f>
        <v>72.649000000000001</v>
      </c>
    </row>
    <row r="7" spans="1:6" x14ac:dyDescent="0.25">
      <c r="B7" s="17" t="s">
        <v>110</v>
      </c>
      <c r="C7" s="22">
        <f>SUMIFS(Datos2!I:I,Datos2!V:V,B2,Datos2!D:D,1)</f>
        <v>3962</v>
      </c>
      <c r="D7" s="6">
        <f>SUMIFS(Datos2!I:I,Datos2!V:V,B2,Datos2!D:D,2)</f>
        <v>3626</v>
      </c>
      <c r="E7" s="6">
        <f>SUMIFS(Datos2!I:I,Datos2!V:V,B2,Datos2!D:D,3)</f>
        <v>0</v>
      </c>
      <c r="F7" s="23">
        <f>SUM(C7:E7)</f>
        <v>7588</v>
      </c>
    </row>
    <row r="8" spans="1:6" x14ac:dyDescent="0.25">
      <c r="B8" s="17" t="s">
        <v>112</v>
      </c>
      <c r="C8" s="22">
        <f>SUMIFS(Datos!L:L,Datos!V:V,'MTTO CLIENTE'!B2,Datos!H:H,1)</f>
        <v>392.09999999999997</v>
      </c>
      <c r="D8" s="6">
        <f>SUMIFS(Datos!L:L,Datos!V:V,'MTTO CLIENTE'!B2,Datos!H:H,2)</f>
        <v>255.43000000000004</v>
      </c>
      <c r="E8" s="6">
        <f>SUMIFS(Datos!L:L,Datos!V:V,'MTTO CLIENTE'!B2,Datos!H:H,3)</f>
        <v>0</v>
      </c>
      <c r="F8" s="23">
        <f>SUM(C8:E8)</f>
        <v>647.53</v>
      </c>
    </row>
    <row r="9" spans="1:6" x14ac:dyDescent="0.25">
      <c r="B9" s="17" t="s">
        <v>7</v>
      </c>
      <c r="C9" s="22">
        <f>C7/C6</f>
        <v>102.04326923076923</v>
      </c>
      <c r="D9" s="6">
        <f t="shared" ref="D9:F9" si="0">D7/D6</f>
        <v>107.20726935851064</v>
      </c>
      <c r="E9" s="6" t="e">
        <f t="shared" si="0"/>
        <v>#DIV/0!</v>
      </c>
      <c r="F9" s="23">
        <f t="shared" si="0"/>
        <v>104.44741152665556</v>
      </c>
    </row>
    <row r="10" spans="1:6" x14ac:dyDescent="0.25">
      <c r="B10" s="17" t="s">
        <v>111</v>
      </c>
      <c r="C10" s="22">
        <f>SUMIFS(Datos!L:L,Datos!V:V,'MTTO CLIENTE'!B2,Datos!H:H,1,Datos!S:S,"MANTENIMIENTO")</f>
        <v>183.10000000000002</v>
      </c>
      <c r="D10" s="6">
        <f>SUMIFS(Datos!L:L,Datos!V:V,'MTTO CLIENTE'!B2,Datos!H:H,2,Datos!S:S,"MANTENIMIENTO")</f>
        <v>180.90000000000003</v>
      </c>
      <c r="E10" s="6">
        <f>SUMIFS(Datos!L:L,Datos!V:V,'MTTO CLIENTE'!B2,Datos!H:H,3,Datos!S:S,"MANTENIMIENTO")</f>
        <v>0</v>
      </c>
      <c r="F10" s="23">
        <f>SUM(C10:E10)</f>
        <v>364.00000000000006</v>
      </c>
    </row>
    <row r="11" spans="1:6" x14ac:dyDescent="0.25">
      <c r="B11" s="17" t="s">
        <v>113</v>
      </c>
      <c r="C11" s="22">
        <f>C10/C14</f>
        <v>5.9064516129032265</v>
      </c>
      <c r="D11" s="6">
        <f t="shared" ref="D11:F11" si="1">D10/D14</f>
        <v>4.4121951219512203</v>
      </c>
      <c r="E11" s="6" t="e">
        <f t="shared" si="1"/>
        <v>#DIV/0!</v>
      </c>
      <c r="F11" s="23">
        <f t="shared" si="1"/>
        <v>5.0555555555555562</v>
      </c>
    </row>
    <row r="12" spans="1:6" x14ac:dyDescent="0.25">
      <c r="B12" s="17" t="s">
        <v>114</v>
      </c>
      <c r="C12" s="22">
        <f>(C6*60-C10)/C14</f>
        <v>69.241935483870961</v>
      </c>
      <c r="D12" s="6">
        <f t="shared" ref="D12:E12" si="2">(D6*60-D10)/D14</f>
        <v>45.083902439024385</v>
      </c>
      <c r="E12" s="6" t="e">
        <f t="shared" si="2"/>
        <v>#DIV/0!</v>
      </c>
      <c r="F12" s="23">
        <f>(F6*60-F10)/F14</f>
        <v>55.485277777777782</v>
      </c>
    </row>
    <row r="13" spans="1:6" x14ac:dyDescent="0.25">
      <c r="B13" s="17" t="s">
        <v>115</v>
      </c>
      <c r="C13" s="24">
        <f>C10/(C6*60)</f>
        <v>7.8597184065934078E-2</v>
      </c>
      <c r="D13" s="11">
        <f>D10/(D6*60)</f>
        <v>8.9142282712606088E-2</v>
      </c>
      <c r="E13" s="11" t="e">
        <f>E10/(E6*60)</f>
        <v>#DIV/0!</v>
      </c>
      <c r="F13" s="25">
        <f>F10/(F6*60)</f>
        <v>8.3506540580966931E-2</v>
      </c>
    </row>
    <row r="14" spans="1:6" ht="15.75" thickBot="1" x14ac:dyDescent="0.3">
      <c r="B14" s="18" t="s">
        <v>116</v>
      </c>
      <c r="C14" s="26">
        <f>COUNTIFS(Datos!V:V,'MTTO CLIENTE'!B2,Datos!H:H,1,Datos!S:S,"MANTENIMIENTO")</f>
        <v>31</v>
      </c>
      <c r="D14" s="27">
        <f>COUNTIFS(Datos!V:V,'MTTO CLIENTE'!B2,Datos!H:H,2,Datos!S:S,"MANTENIMIENTO")</f>
        <v>41</v>
      </c>
      <c r="E14" s="27">
        <f>COUNTIFS(Datos!V:V,'MTTO CLIENTE'!B2,Datos!H:H,3,Datos!S:S,"MANTENIMIENTO")</f>
        <v>0</v>
      </c>
      <c r="F14" s="28">
        <f>SUM(C14:E14)</f>
        <v>72</v>
      </c>
    </row>
    <row r="17" spans="2:10" x14ac:dyDescent="0.25">
      <c r="C17" s="29"/>
    </row>
    <row r="22" spans="2:10" x14ac:dyDescent="0.25">
      <c r="C22" s="29"/>
    </row>
    <row r="24" spans="2:10" x14ac:dyDescent="0.25">
      <c r="B24" s="29"/>
      <c r="C24" s="14"/>
    </row>
    <row r="28" spans="2:10" x14ac:dyDescent="0.25">
      <c r="B28" s="29"/>
      <c r="C28" s="14"/>
      <c r="D28" s="14"/>
      <c r="E28" s="14"/>
      <c r="F28" s="14"/>
      <c r="G28" s="14"/>
      <c r="H28" s="14"/>
      <c r="I28" s="14"/>
      <c r="J28" s="14"/>
    </row>
    <row r="29" spans="2:10" x14ac:dyDescent="0.25">
      <c r="B29" s="29"/>
      <c r="C29" s="14"/>
      <c r="D29" s="14"/>
      <c r="E29" s="14"/>
      <c r="F29" s="14"/>
      <c r="G29" s="14"/>
      <c r="H29" s="14"/>
      <c r="I29" s="14"/>
      <c r="J29" s="14"/>
    </row>
    <row r="30" spans="2:10" x14ac:dyDescent="0.25">
      <c r="B30" s="29"/>
      <c r="C30" s="14"/>
      <c r="D30" s="14"/>
      <c r="E30" s="14"/>
      <c r="F30" s="14"/>
      <c r="G30" s="14"/>
      <c r="H30" s="14"/>
      <c r="I30" s="14"/>
      <c r="J30" s="14"/>
    </row>
    <row r="31" spans="2:10" x14ac:dyDescent="0.25">
      <c r="B31" s="29"/>
      <c r="C31" s="14"/>
      <c r="D31" s="14"/>
      <c r="E31" s="14"/>
      <c r="F31" s="14"/>
      <c r="G31" s="14"/>
      <c r="H31" s="14"/>
      <c r="I31" s="14"/>
      <c r="J31" s="14"/>
    </row>
    <row r="32" spans="2:10" x14ac:dyDescent="0.25">
      <c r="B32" s="29"/>
      <c r="C32" s="14"/>
      <c r="D32" s="14"/>
      <c r="E32" s="14"/>
      <c r="F32" s="14"/>
      <c r="G32" s="14"/>
      <c r="H32" s="14"/>
      <c r="I32" s="14"/>
      <c r="J32" s="14"/>
    </row>
    <row r="33" spans="2:10" x14ac:dyDescent="0.25">
      <c r="B33" s="29"/>
      <c r="C33" s="14"/>
      <c r="D33" s="14"/>
      <c r="E33" s="14"/>
      <c r="F33" s="14"/>
      <c r="G33" s="14"/>
      <c r="H33" s="14"/>
      <c r="I33" s="14"/>
      <c r="J33" s="14"/>
    </row>
    <row r="34" spans="2:10" x14ac:dyDescent="0.25">
      <c r="B34" s="29"/>
      <c r="C34" s="14"/>
      <c r="D34" s="14"/>
      <c r="E34" s="14"/>
      <c r="F34" s="14"/>
      <c r="G34" s="14"/>
      <c r="H34" s="14"/>
      <c r="I34" s="14"/>
      <c r="J34" s="14"/>
    </row>
    <row r="35" spans="2:10" x14ac:dyDescent="0.25">
      <c r="B35" s="29"/>
      <c r="C35" s="14"/>
      <c r="D35" s="14"/>
      <c r="E35" s="14"/>
      <c r="F35" s="14"/>
      <c r="G35" s="14"/>
      <c r="H35" s="14"/>
      <c r="I35" s="14"/>
      <c r="J35" s="14"/>
    </row>
    <row r="36" spans="2:10" x14ac:dyDescent="0.25">
      <c r="B36" s="29"/>
      <c r="C36" s="14"/>
      <c r="D36" s="14"/>
      <c r="E36" s="14"/>
      <c r="F36" s="14"/>
      <c r="G36" s="14"/>
      <c r="H36" s="14"/>
      <c r="I36" s="14"/>
      <c r="J36" s="14"/>
    </row>
    <row r="37" spans="2:10" x14ac:dyDescent="0.25">
      <c r="B37" s="29"/>
      <c r="C37" s="14"/>
      <c r="D37" s="14"/>
      <c r="E37" s="14"/>
      <c r="F37" s="14"/>
      <c r="G37" s="14"/>
      <c r="H37" s="14"/>
      <c r="I37" s="14"/>
      <c r="J37" s="14"/>
    </row>
    <row r="38" spans="2:10" x14ac:dyDescent="0.25">
      <c r="B38" s="29"/>
      <c r="C38" s="14"/>
      <c r="D38" s="14"/>
      <c r="E38" s="14"/>
      <c r="F38" s="14"/>
      <c r="G38" s="14"/>
      <c r="H38" s="14"/>
      <c r="I38" s="14"/>
      <c r="J38" s="14"/>
    </row>
    <row r="39" spans="2:10" x14ac:dyDescent="0.25">
      <c r="B39" s="29"/>
      <c r="C39" s="14"/>
      <c r="D39" s="14"/>
      <c r="E39" s="14"/>
      <c r="F39" s="14"/>
      <c r="G39" s="14"/>
      <c r="H39" s="14"/>
      <c r="I39" s="14"/>
      <c r="J39" s="14"/>
    </row>
    <row r="40" spans="2:10" x14ac:dyDescent="0.25">
      <c r="B40" s="29"/>
      <c r="C40" s="14"/>
      <c r="D40" s="14"/>
      <c r="E40" s="14"/>
      <c r="F40" s="14"/>
      <c r="G40" s="14"/>
      <c r="H40" s="14"/>
      <c r="I40" s="14"/>
      <c r="J40" s="14"/>
    </row>
    <row r="41" spans="2:10" x14ac:dyDescent="0.25">
      <c r="B41" s="29"/>
      <c r="C41" s="14"/>
      <c r="D41" s="14"/>
      <c r="E41" s="14"/>
      <c r="F41" s="14"/>
      <c r="G41" s="14"/>
      <c r="H41" s="14"/>
      <c r="I41" s="14"/>
      <c r="J41" s="14"/>
    </row>
    <row r="42" spans="2:10" x14ac:dyDescent="0.25">
      <c r="B42" s="29"/>
      <c r="C42" s="14"/>
      <c r="D42" s="14"/>
      <c r="E42" s="14"/>
      <c r="F42" s="14"/>
      <c r="G42" s="14"/>
      <c r="H42" s="14"/>
      <c r="I42" s="14"/>
      <c r="J42" s="14"/>
    </row>
    <row r="43" spans="2:10" x14ac:dyDescent="0.25">
      <c r="B43" s="29"/>
      <c r="C43" s="14"/>
      <c r="D43" s="14"/>
      <c r="E43" s="14"/>
      <c r="F43" s="14"/>
      <c r="G43" s="14"/>
      <c r="H43" s="14"/>
      <c r="I43" s="14"/>
      <c r="J43" s="14"/>
    </row>
    <row r="44" spans="2:10" x14ac:dyDescent="0.25">
      <c r="B44" s="29"/>
      <c r="C44" s="14"/>
      <c r="D44" s="14"/>
      <c r="E44" s="14"/>
      <c r="F44" s="14"/>
      <c r="G44" s="14"/>
      <c r="H44" s="14"/>
      <c r="I44" s="14"/>
      <c r="J44" s="14"/>
    </row>
    <row r="45" spans="2:10" x14ac:dyDescent="0.25">
      <c r="B45" s="29"/>
      <c r="C45" s="14"/>
      <c r="D45" s="14"/>
      <c r="E45" s="14"/>
      <c r="F45" s="14"/>
      <c r="G45" s="14"/>
      <c r="H45" s="14"/>
      <c r="I45" s="14"/>
      <c r="J45" s="14"/>
    </row>
    <row r="46" spans="2:10" x14ac:dyDescent="0.25">
      <c r="B46" s="29"/>
      <c r="C46" s="14"/>
      <c r="D46" s="14"/>
      <c r="E46" s="14"/>
      <c r="F46" s="14"/>
      <c r="G46" s="14"/>
      <c r="H46" s="14"/>
      <c r="I46" s="14"/>
      <c r="J46" s="14"/>
    </row>
    <row r="47" spans="2:10" x14ac:dyDescent="0.25">
      <c r="B47" s="29"/>
      <c r="C47" s="14"/>
      <c r="D47" s="14"/>
      <c r="E47" s="14"/>
      <c r="F47" s="14"/>
      <c r="G47" s="14"/>
      <c r="H47" s="14"/>
      <c r="I47" s="14"/>
      <c r="J47" s="14"/>
    </row>
    <row r="48" spans="2:10" x14ac:dyDescent="0.25">
      <c r="B48" s="29"/>
      <c r="C48" s="14"/>
      <c r="D48" s="14"/>
      <c r="E48" s="14"/>
      <c r="F48" s="14"/>
      <c r="G48" s="14"/>
      <c r="H48" s="14"/>
      <c r="I48" s="14"/>
      <c r="J48" s="14"/>
    </row>
    <row r="49" spans="2:10" x14ac:dyDescent="0.25">
      <c r="B49" s="29"/>
      <c r="C49" s="14"/>
      <c r="D49" s="14"/>
      <c r="E49" s="14"/>
      <c r="F49" s="14"/>
      <c r="G49" s="14"/>
      <c r="H49" s="14"/>
      <c r="I49" s="14"/>
      <c r="J49" s="14"/>
    </row>
    <row r="50" spans="2:10" x14ac:dyDescent="0.25">
      <c r="B50" s="29"/>
      <c r="C50" s="14"/>
      <c r="D50" s="14"/>
      <c r="E50" s="14"/>
      <c r="F50" s="14"/>
      <c r="G50" s="14"/>
      <c r="H50" s="14"/>
      <c r="I50" s="14"/>
      <c r="J50" s="14"/>
    </row>
    <row r="51" spans="2:10" x14ac:dyDescent="0.25">
      <c r="B51" s="29"/>
      <c r="C51" s="14"/>
      <c r="D51" s="14"/>
      <c r="E51" s="14"/>
      <c r="F51" s="14"/>
      <c r="G51" s="14"/>
      <c r="H51" s="14"/>
      <c r="I51" s="14"/>
      <c r="J51" s="14"/>
    </row>
    <row r="52" spans="2:10" x14ac:dyDescent="0.25">
      <c r="B52" s="29"/>
      <c r="C52" s="14"/>
      <c r="D52" s="14"/>
      <c r="E52" s="14"/>
      <c r="F52" s="14"/>
      <c r="G52" s="14"/>
      <c r="H52" s="14"/>
      <c r="I52" s="14"/>
      <c r="J52" s="14"/>
    </row>
    <row r="53" spans="2:10" x14ac:dyDescent="0.25">
      <c r="B53" s="29"/>
      <c r="C53" s="14"/>
      <c r="D53" s="14"/>
      <c r="E53" s="14"/>
      <c r="F53" s="14"/>
      <c r="G53" s="14"/>
      <c r="H53" s="14"/>
      <c r="I53" s="14"/>
      <c r="J53" s="14"/>
    </row>
    <row r="54" spans="2:10" x14ac:dyDescent="0.25">
      <c r="B54" s="29"/>
      <c r="C54" s="14"/>
      <c r="D54" s="14"/>
      <c r="E54" s="14"/>
      <c r="F54" s="14"/>
      <c r="G54" s="14"/>
      <c r="H54" s="14"/>
      <c r="I54" s="14"/>
      <c r="J54" s="14"/>
    </row>
    <row r="55" spans="2:10" x14ac:dyDescent="0.25">
      <c r="B55" s="29"/>
      <c r="C55" s="14"/>
      <c r="D55" s="14"/>
      <c r="E55" s="14"/>
      <c r="F55" s="14"/>
      <c r="G55" s="14"/>
      <c r="H55" s="14"/>
      <c r="I55" s="14"/>
      <c r="J55" s="14"/>
    </row>
    <row r="56" spans="2:10" x14ac:dyDescent="0.25">
      <c r="B56" s="29"/>
      <c r="C56" s="14"/>
      <c r="D56" s="14"/>
      <c r="E56" s="14"/>
      <c r="F56" s="14"/>
      <c r="G56" s="14"/>
      <c r="H56" s="14"/>
      <c r="I56" s="14"/>
      <c r="J56" s="14"/>
    </row>
    <row r="57" spans="2:10" x14ac:dyDescent="0.25">
      <c r="B57" s="29"/>
      <c r="C57" s="14"/>
      <c r="D57" s="14"/>
      <c r="E57" s="14"/>
      <c r="F57" s="14"/>
      <c r="G57" s="14"/>
      <c r="H57" s="14"/>
      <c r="I57" s="14"/>
      <c r="J57" s="14"/>
    </row>
    <row r="58" spans="2:10" x14ac:dyDescent="0.25">
      <c r="B58" s="29"/>
      <c r="C58" s="14"/>
      <c r="D58" s="14"/>
      <c r="E58" s="14"/>
      <c r="F58" s="14"/>
      <c r="G58" s="14"/>
      <c r="H58" s="14"/>
      <c r="I58" s="14"/>
      <c r="J58" s="14"/>
    </row>
    <row r="59" spans="2:10" x14ac:dyDescent="0.25">
      <c r="B59" s="29"/>
      <c r="C59" s="14"/>
      <c r="D59" s="14"/>
      <c r="E59" s="14"/>
      <c r="F59" s="14"/>
      <c r="G59" s="14"/>
      <c r="H59" s="14"/>
      <c r="I59" s="14"/>
      <c r="J59" s="14"/>
    </row>
    <row r="60" spans="2:10" x14ac:dyDescent="0.25">
      <c r="B60" s="29"/>
      <c r="C60" s="14"/>
      <c r="D60" s="14"/>
      <c r="E60" s="14"/>
      <c r="F60" s="14"/>
      <c r="G60" s="14"/>
      <c r="H60" s="14"/>
      <c r="I60" s="14"/>
      <c r="J60" s="14"/>
    </row>
    <row r="61" spans="2:10" x14ac:dyDescent="0.25">
      <c r="B61" s="29"/>
      <c r="C61" s="14"/>
      <c r="D61" s="14"/>
      <c r="E61" s="14"/>
      <c r="F61" s="14"/>
      <c r="G61" s="14"/>
      <c r="H61" s="14"/>
      <c r="I61" s="14"/>
      <c r="J61" s="14"/>
    </row>
    <row r="62" spans="2:10" x14ac:dyDescent="0.25">
      <c r="B62" s="29"/>
      <c r="C62" s="14"/>
      <c r="D62" s="14"/>
      <c r="E62" s="14"/>
      <c r="F62" s="14"/>
      <c r="G62" s="14"/>
      <c r="H62" s="14"/>
      <c r="I62" s="14"/>
      <c r="J62" s="14"/>
    </row>
    <row r="63" spans="2:10" x14ac:dyDescent="0.25">
      <c r="B63" s="29"/>
      <c r="C63" s="14"/>
      <c r="D63" s="14"/>
      <c r="E63" s="14"/>
      <c r="F63" s="14"/>
      <c r="G63" s="14"/>
      <c r="H63" s="14"/>
      <c r="I63" s="14"/>
      <c r="J63" s="14"/>
    </row>
  </sheetData>
  <pageMargins left="0.7" right="0.7" top="0.75" bottom="0.75" header="0.3" footer="0.3"/>
  <pageSetup paperSize="0" orientation="portrait" horizontalDpi="203" verticalDpi="20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</vt:lpstr>
      <vt:lpstr>Datos2</vt:lpstr>
      <vt:lpstr>Linea</vt:lpstr>
      <vt:lpstr>Cliente</vt:lpstr>
      <vt:lpstr>MTTO</vt:lpstr>
      <vt:lpstr>MTTO CLIENTE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Homero Durazo</dc:creator>
  <cp:lastModifiedBy>Homero Durazo</cp:lastModifiedBy>
  <dcterms:created xsi:type="dcterms:W3CDTF">2018-09-11T23:41:00Z</dcterms:created>
  <dcterms:modified xsi:type="dcterms:W3CDTF">2018-11-02T23:00:32Z</dcterms:modified>
</cp:coreProperties>
</file>