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89f3fa32ababedc4/DRL/업무/_예산^M운영전반/20251001/"/>
    </mc:Choice>
  </mc:AlternateContent>
  <xr:revisionPtr revIDLastSave="2145" documentId="8_{EFAD211C-DBCA-41B0-BAEB-6470F0AA3E91}" xr6:coauthVersionLast="47" xr6:coauthVersionMax="47" xr10:uidLastSave="{D51A251F-686E-4071-8BF7-B3B45C835CFE}"/>
  <bookViews>
    <workbookView xWindow="38280" yWindow="-120" windowWidth="38640" windowHeight="21120" activeTab="1" xr2:uid="{00000000-000D-0000-FFFF-FFFF00000000}"/>
  </bookViews>
  <sheets>
    <sheet name="3차년도 전체요약" sheetId="7" r:id="rId1"/>
    <sheet name="예산" sheetId="1" r:id="rId2"/>
    <sheet name="소진일정" sheetId="3" r:id="rId3"/>
    <sheet name="재정투자 계획 총괄표, 대응자금" sheetId="5" r:id="rId4"/>
    <sheet name="3차년도 사업비 편성 총괄표" sheetId="6" r:id="rId5"/>
    <sheet name="3차년도 사업비 소진현황 (지출)" sheetId="2" r:id="rId6"/>
    <sheet name="이월금일정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qvxSmUAwfoVq9VMUojRlI+CRAo5AnRubcSFVVc9yF0="/>
    </ext>
  </extLst>
</workbook>
</file>

<file path=xl/calcChain.xml><?xml version="1.0" encoding="utf-8"?>
<calcChain xmlns="http://schemas.openxmlformats.org/spreadsheetml/2006/main">
  <c r="I9" i="7" l="1"/>
  <c r="G6" i="7"/>
  <c r="I6" i="7"/>
  <c r="F149" i="1"/>
  <c r="F148" i="1"/>
  <c r="G150" i="1"/>
  <c r="G178" i="1"/>
  <c r="F178" i="1"/>
  <c r="C5" i="7"/>
  <c r="C10" i="7"/>
  <c r="F107" i="1"/>
  <c r="G107" i="1"/>
  <c r="G115" i="1"/>
  <c r="G110" i="1"/>
  <c r="G111" i="1"/>
  <c r="H57" i="3"/>
  <c r="G112" i="1"/>
  <c r="H58" i="3"/>
  <c r="G113" i="1"/>
  <c r="H59" i="3"/>
  <c r="G114" i="1"/>
  <c r="H60" i="3"/>
  <c r="G116" i="1"/>
  <c r="H61" i="3"/>
  <c r="G117" i="1"/>
  <c r="H62" i="3"/>
  <c r="G118" i="1"/>
  <c r="H63" i="3"/>
  <c r="G119" i="1"/>
  <c r="H64" i="3"/>
  <c r="G120" i="1"/>
  <c r="H65" i="3"/>
  <c r="G121" i="1"/>
  <c r="H66" i="3"/>
  <c r="G122" i="1"/>
  <c r="H67" i="3"/>
  <c r="G123" i="1"/>
  <c r="J10" i="7"/>
  <c r="I10" i="7"/>
  <c r="H56" i="3"/>
  <c r="G190" i="1"/>
  <c r="F174" i="1"/>
  <c r="F176" i="1"/>
  <c r="G157" i="1"/>
  <c r="H101" i="3"/>
  <c r="H100" i="3"/>
  <c r="E109" i="3"/>
  <c r="F175" i="1"/>
  <c r="E134" i="1"/>
  <c r="H77" i="3"/>
  <c r="F169" i="1"/>
  <c r="H107" i="3"/>
  <c r="G81" i="1"/>
  <c r="G80" i="1"/>
  <c r="L125" i="1"/>
  <c r="P125" i="1"/>
  <c r="R125" i="1"/>
  <c r="G189" i="1"/>
  <c r="E84" i="3"/>
  <c r="G79" i="1"/>
  <c r="G5" i="7" s="1"/>
  <c r="G237" i="1"/>
  <c r="G238" i="1"/>
  <c r="G239" i="1"/>
  <c r="G241" i="1"/>
  <c r="G242" i="1"/>
  <c r="G243" i="1"/>
  <c r="G244" i="1"/>
  <c r="H173" i="3"/>
  <c r="H99" i="3"/>
  <c r="E87" i="3"/>
  <c r="H87" i="3"/>
  <c r="E86" i="3"/>
  <c r="H86" i="3"/>
  <c r="H85" i="3"/>
  <c r="H76" i="3"/>
  <c r="H73" i="3"/>
  <c r="H74" i="3"/>
  <c r="H75" i="3"/>
  <c r="H97" i="2"/>
  <c r="H84" i="3"/>
  <c r="E88" i="3"/>
  <c r="E90" i="3"/>
  <c r="H90" i="3"/>
  <c r="E89" i="3"/>
  <c r="H89" i="3"/>
  <c r="AD2" i="2"/>
  <c r="E100" i="2"/>
  <c r="H81" i="2"/>
  <c r="H80" i="2"/>
  <c r="H140" i="2"/>
  <c r="E124" i="2"/>
  <c r="H124" i="2"/>
  <c r="E123" i="2"/>
  <c r="H123" i="2"/>
  <c r="H116" i="2"/>
  <c r="E99" i="2"/>
  <c r="H99" i="2"/>
  <c r="H96" i="2"/>
  <c r="H95" i="2"/>
  <c r="H85" i="2"/>
  <c r="H84" i="2"/>
  <c r="H83" i="2"/>
  <c r="H79" i="2"/>
  <c r="H78" i="2"/>
  <c r="H77" i="2"/>
  <c r="H76" i="2"/>
  <c r="H75" i="2"/>
  <c r="H70" i="2"/>
  <c r="H69" i="2"/>
  <c r="H68" i="2"/>
  <c r="H67" i="2"/>
  <c r="H52" i="2"/>
  <c r="H40" i="2"/>
  <c r="H39" i="2"/>
  <c r="H38" i="2"/>
  <c r="H37" i="2"/>
  <c r="H30" i="2"/>
  <c r="H29" i="2"/>
  <c r="H28" i="2"/>
  <c r="H27" i="2"/>
  <c r="H26" i="2"/>
  <c r="H25" i="2"/>
  <c r="H24" i="2"/>
  <c r="H23" i="2"/>
  <c r="H22" i="2"/>
  <c r="H21" i="2"/>
  <c r="H20" i="2"/>
  <c r="H19" i="2"/>
  <c r="H6" i="2"/>
  <c r="H5" i="2"/>
  <c r="H4" i="2"/>
  <c r="AE2" i="2"/>
  <c r="AE3" i="2" s="1"/>
  <c r="G135" i="1"/>
  <c r="H31" i="2"/>
  <c r="G172" i="1"/>
  <c r="G173" i="1"/>
  <c r="G174" i="1"/>
  <c r="E139" i="3"/>
  <c r="H139" i="3"/>
  <c r="G175" i="1"/>
  <c r="E140" i="3"/>
  <c r="H140" i="3"/>
  <c r="G176" i="1"/>
  <c r="G177" i="1"/>
  <c r="G179" i="1"/>
  <c r="E126" i="2"/>
  <c r="H126" i="2"/>
  <c r="F151" i="1"/>
  <c r="G151" i="1"/>
  <c r="H96" i="3"/>
  <c r="H97" i="3"/>
  <c r="H94" i="3"/>
  <c r="H95" i="3"/>
  <c r="H93" i="3"/>
  <c r="AM7" i="3"/>
  <c r="H106" i="3"/>
  <c r="H105" i="3"/>
  <c r="AJ7" i="3"/>
  <c r="H102" i="3"/>
  <c r="H104" i="3"/>
  <c r="AG7" i="3"/>
  <c r="H92" i="3"/>
  <c r="AD8" i="3"/>
  <c r="AE8" i="3"/>
  <c r="AE7" i="3"/>
  <c r="AL7" i="3"/>
  <c r="AN7" i="3"/>
  <c r="AD7" i="3"/>
  <c r="E108" i="3"/>
  <c r="H108" i="3"/>
  <c r="E132" i="3"/>
  <c r="H132" i="3"/>
  <c r="E133" i="3"/>
  <c r="H133" i="3"/>
  <c r="H83" i="3"/>
  <c r="H82" i="3"/>
  <c r="H81" i="3"/>
  <c r="H80" i="3"/>
  <c r="H79" i="3"/>
  <c r="H54" i="3"/>
  <c r="H6" i="3"/>
  <c r="H70" i="3"/>
  <c r="H71" i="3"/>
  <c r="H72" i="3"/>
  <c r="H69" i="3"/>
  <c r="H38" i="3"/>
  <c r="H39" i="3"/>
  <c r="H40" i="3"/>
  <c r="H41" i="3"/>
  <c r="H37" i="3"/>
  <c r="AF7" i="3"/>
  <c r="AK7" i="3"/>
  <c r="AI7" i="3"/>
  <c r="AF8" i="3"/>
  <c r="AG8" i="3"/>
  <c r="AH8" i="3"/>
  <c r="AI8" i="3"/>
  <c r="AJ8" i="3"/>
  <c r="AK8" i="3"/>
  <c r="AL8" i="3"/>
  <c r="AM8" i="3"/>
  <c r="AN8" i="3"/>
  <c r="AH7" i="3"/>
  <c r="G225" i="1"/>
  <c r="G224" i="1"/>
  <c r="E9" i="1"/>
  <c r="Q8" i="1"/>
  <c r="G232" i="1"/>
  <c r="C16" i="6"/>
  <c r="G236" i="1"/>
  <c r="G7" i="1"/>
  <c r="H172" i="3"/>
  <c r="H163" i="2"/>
  <c r="H14" i="2"/>
  <c r="H11" i="2"/>
  <c r="H12" i="2"/>
  <c r="H10" i="2"/>
  <c r="H8" i="2"/>
  <c r="AI2" i="2"/>
  <c r="AI3" i="2" s="1"/>
  <c r="H13" i="2"/>
  <c r="H9" i="2"/>
  <c r="H7" i="2"/>
  <c r="H11" i="3"/>
  <c r="H13" i="3"/>
  <c r="H14" i="3"/>
  <c r="H9" i="3"/>
  <c r="H12" i="3"/>
  <c r="H10" i="3"/>
  <c r="H7" i="3"/>
  <c r="H8" i="3"/>
  <c r="G137" i="1"/>
  <c r="H30" i="3"/>
  <c r="H29" i="3"/>
  <c r="H28" i="3"/>
  <c r="H27" i="3"/>
  <c r="H26" i="3"/>
  <c r="H25" i="3"/>
  <c r="H4" i="3"/>
  <c r="G78" i="1"/>
  <c r="H15" i="2"/>
  <c r="G134" i="1"/>
  <c r="G169" i="1"/>
  <c r="F147" i="1"/>
  <c r="G147" i="1"/>
  <c r="F146" i="1"/>
  <c r="G146" i="1"/>
  <c r="F168" i="1"/>
  <c r="G168" i="1"/>
  <c r="E119" i="2"/>
  <c r="H119" i="2"/>
  <c r="G166" i="1"/>
  <c r="G167" i="1"/>
  <c r="G181" i="1"/>
  <c r="G101" i="1"/>
  <c r="G102" i="1"/>
  <c r="G103" i="1"/>
  <c r="G12" i="1"/>
  <c r="E9" i="3"/>
  <c r="G77" i="1"/>
  <c r="G76" i="1"/>
  <c r="G75" i="1"/>
  <c r="G74" i="1"/>
  <c r="G9" i="1"/>
  <c r="E6" i="3"/>
  <c r="E38" i="6"/>
  <c r="E37" i="6"/>
  <c r="E36" i="6"/>
  <c r="E35" i="6"/>
  <c r="E34" i="6"/>
  <c r="F34" i="6"/>
  <c r="E32" i="6"/>
  <c r="E31" i="6"/>
  <c r="G31" i="6"/>
  <c r="E27" i="6"/>
  <c r="H24" i="6"/>
  <c r="H27" i="6"/>
  <c r="F24" i="6"/>
  <c r="E24" i="6"/>
  <c r="H6" i="6"/>
  <c r="F6" i="6"/>
  <c r="E6" i="6"/>
  <c r="D32" i="5"/>
  <c r="D31" i="5"/>
  <c r="D33" i="5"/>
  <c r="C31" i="5"/>
  <c r="C33" i="5"/>
  <c r="J30" i="5"/>
  <c r="E29" i="5"/>
  <c r="E28" i="5"/>
  <c r="D27" i="5"/>
  <c r="E27" i="5"/>
  <c r="E26" i="5"/>
  <c r="E25" i="5"/>
  <c r="E24" i="5"/>
  <c r="E23" i="5"/>
  <c r="G22" i="5"/>
  <c r="H22" i="5"/>
  <c r="E22" i="5"/>
  <c r="E12" i="5"/>
  <c r="E15" i="5"/>
  <c r="D12" i="5"/>
  <c r="D15" i="5"/>
  <c r="H86" i="4"/>
  <c r="E79" i="4"/>
  <c r="E78" i="4"/>
  <c r="H77" i="4"/>
  <c r="H71" i="4"/>
  <c r="H59" i="4"/>
  <c r="H87" i="4"/>
  <c r="X3" i="4"/>
  <c r="H57" i="4"/>
  <c r="E57" i="4"/>
  <c r="H48" i="4"/>
  <c r="V3" i="4"/>
  <c r="H36" i="4"/>
  <c r="H41" i="4"/>
  <c r="E32" i="4"/>
  <c r="H30" i="4"/>
  <c r="K30" i="4"/>
  <c r="S3" i="4"/>
  <c r="C30" i="4"/>
  <c r="E30" i="4"/>
  <c r="E17" i="4"/>
  <c r="H5" i="4"/>
  <c r="H4" i="4"/>
  <c r="R3" i="4"/>
  <c r="A2" i="4"/>
  <c r="H109" i="3"/>
  <c r="H24" i="3"/>
  <c r="H23" i="3"/>
  <c r="H22" i="3"/>
  <c r="H21" i="3"/>
  <c r="H20" i="3"/>
  <c r="AE2" i="3"/>
  <c r="H19" i="3"/>
  <c r="AD2" i="3"/>
  <c r="H5" i="3"/>
  <c r="G240" i="1"/>
  <c r="H162" i="2"/>
  <c r="G223" i="1"/>
  <c r="G216" i="1"/>
  <c r="G215" i="1"/>
  <c r="G210" i="1"/>
  <c r="G209" i="1"/>
  <c r="G204" i="1"/>
  <c r="G203" i="1"/>
  <c r="G202" i="1"/>
  <c r="G201" i="1"/>
  <c r="G196" i="1"/>
  <c r="G191" i="1"/>
  <c r="G188" i="1"/>
  <c r="G187" i="1"/>
  <c r="G192" i="1" s="1"/>
  <c r="G182" i="1"/>
  <c r="E128" i="2"/>
  <c r="H128" i="2"/>
  <c r="AN2" i="2"/>
  <c r="AN3" i="2" s="1"/>
  <c r="G180" i="1"/>
  <c r="E135" i="3"/>
  <c r="H135" i="3"/>
  <c r="G171" i="1"/>
  <c r="E122" i="2"/>
  <c r="H122" i="2"/>
  <c r="G170" i="1"/>
  <c r="E121" i="2"/>
  <c r="H121" i="2"/>
  <c r="G165" i="1"/>
  <c r="E118" i="2"/>
  <c r="H118" i="2"/>
  <c r="G164" i="1"/>
  <c r="G163" i="1"/>
  <c r="E117" i="2"/>
  <c r="H117" i="2"/>
  <c r="C157" i="1"/>
  <c r="E115" i="2"/>
  <c r="L155" i="1"/>
  <c r="L153" i="1"/>
  <c r="L152" i="1"/>
  <c r="G149" i="1"/>
  <c r="G148" i="1"/>
  <c r="G145" i="1"/>
  <c r="G144" i="1"/>
  <c r="G139" i="1"/>
  <c r="H100" i="2"/>
  <c r="H105" i="2"/>
  <c r="G136" i="1"/>
  <c r="P133" i="1"/>
  <c r="G133" i="1"/>
  <c r="P132" i="1"/>
  <c r="G132" i="1"/>
  <c r="G131" i="1"/>
  <c r="L126" i="1"/>
  <c r="P126" i="1"/>
  <c r="R126" i="1"/>
  <c r="G109" i="1"/>
  <c r="F124" i="1"/>
  <c r="G124" i="1"/>
  <c r="G108" i="1"/>
  <c r="F106" i="1"/>
  <c r="G106" i="1"/>
  <c r="G105" i="1"/>
  <c r="G104" i="1"/>
  <c r="P100" i="1"/>
  <c r="E58" i="4"/>
  <c r="E59" i="4"/>
  <c r="G100" i="1"/>
  <c r="N95" i="1"/>
  <c r="P95" i="1"/>
  <c r="E74" i="4"/>
  <c r="P94" i="1"/>
  <c r="E73" i="4"/>
  <c r="G94" i="1"/>
  <c r="G95" i="1"/>
  <c r="P93" i="1"/>
  <c r="E72" i="4"/>
  <c r="P89" i="1"/>
  <c r="C78" i="4"/>
  <c r="G89" i="1"/>
  <c r="G88" i="1"/>
  <c r="G87" i="1"/>
  <c r="E42" i="2"/>
  <c r="P83" i="1"/>
  <c r="G73" i="1"/>
  <c r="E35" i="2"/>
  <c r="H35" i="2"/>
  <c r="G72" i="1"/>
  <c r="E34" i="2"/>
  <c r="H34" i="2"/>
  <c r="G71" i="1"/>
  <c r="P69" i="1"/>
  <c r="G69" i="1"/>
  <c r="G62" i="1"/>
  <c r="G63" i="1" s="1"/>
  <c r="G64" i="1" s="1"/>
  <c r="P61" i="1"/>
  <c r="G61" i="1"/>
  <c r="G60" i="1"/>
  <c r="G59" i="1"/>
  <c r="G58" i="1"/>
  <c r="G57" i="1"/>
  <c r="G56" i="1"/>
  <c r="G55" i="1"/>
  <c r="P53" i="1"/>
  <c r="E42" i="4"/>
  <c r="E48" i="4"/>
  <c r="G53" i="1"/>
  <c r="G52" i="1"/>
  <c r="G51" i="1"/>
  <c r="G50" i="1"/>
  <c r="G49" i="1"/>
  <c r="G48" i="1"/>
  <c r="P47" i="1"/>
  <c r="P48" i="1"/>
  <c r="G47" i="1"/>
  <c r="G46" i="1"/>
  <c r="G45" i="1"/>
  <c r="G44" i="1"/>
  <c r="G43" i="1"/>
  <c r="G42" i="1"/>
  <c r="G41" i="1"/>
  <c r="G40" i="1"/>
  <c r="G39" i="1"/>
  <c r="P38" i="1"/>
  <c r="G38" i="1"/>
  <c r="P37" i="1"/>
  <c r="G37" i="1"/>
  <c r="P36" i="1"/>
  <c r="G36" i="1"/>
  <c r="G35" i="1"/>
  <c r="G34" i="1"/>
  <c r="G33" i="1"/>
  <c r="G32" i="1"/>
  <c r="G31" i="1"/>
  <c r="P30" i="1"/>
  <c r="P31" i="1"/>
  <c r="P26" i="1"/>
  <c r="G30" i="1"/>
  <c r="R29" i="1"/>
  <c r="G70" i="1"/>
  <c r="G29" i="1"/>
  <c r="G28" i="1"/>
  <c r="L15" i="1"/>
  <c r="G11" i="1"/>
  <c r="E7" i="2"/>
  <c r="G10" i="1"/>
  <c r="E6" i="2"/>
  <c r="P8" i="1"/>
  <c r="E5" i="4"/>
  <c r="G8" i="1"/>
  <c r="E5" i="2"/>
  <c r="P7" i="1"/>
  <c r="Q3" i="1"/>
  <c r="C2" i="1"/>
  <c r="G18" i="1"/>
  <c r="G19" i="1"/>
  <c r="C5" i="6"/>
  <c r="E32" i="3"/>
  <c r="E33" i="3"/>
  <c r="H33" i="3"/>
  <c r="G125" i="1"/>
  <c r="G82" i="1"/>
  <c r="C9" i="6" s="1"/>
  <c r="F27" i="6"/>
  <c r="G140" i="1"/>
  <c r="G245" i="1"/>
  <c r="E166" i="2"/>
  <c r="H171" i="3"/>
  <c r="H117" i="3"/>
  <c r="H108" i="2"/>
  <c r="E108" i="2"/>
  <c r="H110" i="2"/>
  <c r="E110" i="2"/>
  <c r="E111" i="2"/>
  <c r="H111" i="2"/>
  <c r="H155" i="2"/>
  <c r="E155" i="2"/>
  <c r="H49" i="3"/>
  <c r="H47" i="2"/>
  <c r="E47" i="2"/>
  <c r="E32" i="2"/>
  <c r="H32" i="2"/>
  <c r="H133" i="2"/>
  <c r="E133" i="2"/>
  <c r="H143" i="3"/>
  <c r="H134" i="2"/>
  <c r="E134" i="2"/>
  <c r="E169" i="3"/>
  <c r="H160" i="2"/>
  <c r="E160" i="2"/>
  <c r="H166" i="2"/>
  <c r="H48" i="2"/>
  <c r="E48" i="2"/>
  <c r="E129" i="3"/>
  <c r="H129" i="3"/>
  <c r="E120" i="2"/>
  <c r="H120" i="2"/>
  <c r="E151" i="3"/>
  <c r="H142" i="2"/>
  <c r="E142" i="2"/>
  <c r="H49" i="2"/>
  <c r="E49" i="2"/>
  <c r="H55" i="3"/>
  <c r="H53" i="2"/>
  <c r="E53" i="2"/>
  <c r="H148" i="3"/>
  <c r="H149" i="3"/>
  <c r="E139" i="2"/>
  <c r="E140" i="2"/>
  <c r="K140" i="2"/>
  <c r="H106" i="2"/>
  <c r="E106" i="2"/>
  <c r="H152" i="3"/>
  <c r="H143" i="2"/>
  <c r="X3" i="2"/>
  <c r="E143" i="2"/>
  <c r="E44" i="3"/>
  <c r="E43" i="2"/>
  <c r="E107" i="2"/>
  <c r="H107" i="2"/>
  <c r="H153" i="3"/>
  <c r="H144" i="2"/>
  <c r="E144" i="2"/>
  <c r="H152" i="2"/>
  <c r="E152" i="2"/>
  <c r="E154" i="2"/>
  <c r="H154" i="2"/>
  <c r="E53" i="3"/>
  <c r="H53" i="3"/>
  <c r="E51" i="2"/>
  <c r="H51" i="2"/>
  <c r="AL2" i="2"/>
  <c r="AL3" i="2" s="1"/>
  <c r="E138" i="3"/>
  <c r="H138" i="3"/>
  <c r="E129" i="2"/>
  <c r="H129" i="2"/>
  <c r="E136" i="3"/>
  <c r="H136" i="3"/>
  <c r="AM2" i="3"/>
  <c r="E127" i="2"/>
  <c r="E118" i="3"/>
  <c r="H109" i="2"/>
  <c r="E109" i="2"/>
  <c r="E34" i="3"/>
  <c r="H34" i="3"/>
  <c r="E33" i="2"/>
  <c r="H33" i="2"/>
  <c r="E141" i="2"/>
  <c r="H141" i="2"/>
  <c r="E45" i="3"/>
  <c r="H45" i="3"/>
  <c r="E44" i="2"/>
  <c r="H44" i="2"/>
  <c r="H160" i="3"/>
  <c r="H151" i="2"/>
  <c r="E151" i="2"/>
  <c r="E119" i="3"/>
  <c r="H119" i="3"/>
  <c r="E120" i="3"/>
  <c r="H120" i="3"/>
  <c r="AO7" i="3"/>
  <c r="AO8" i="3"/>
  <c r="H32" i="3"/>
  <c r="H31" i="3"/>
  <c r="R3" i="3"/>
  <c r="H114" i="3"/>
  <c r="H78" i="1"/>
  <c r="E86" i="4"/>
  <c r="G217" i="1"/>
  <c r="E157" i="2"/>
  <c r="G13" i="1"/>
  <c r="G14" i="1"/>
  <c r="G90" i="1"/>
  <c r="C10" i="6"/>
  <c r="E8" i="3"/>
  <c r="E117" i="3"/>
  <c r="H118" i="3"/>
  <c r="P96" i="1"/>
  <c r="C222" i="1"/>
  <c r="G222" i="1"/>
  <c r="E61" i="4"/>
  <c r="L157" i="1"/>
  <c r="H15" i="4"/>
  <c r="H18" i="4"/>
  <c r="H88" i="4"/>
  <c r="G153" i="1"/>
  <c r="G205" i="1"/>
  <c r="E149" i="2"/>
  <c r="G197" i="1"/>
  <c r="C18" i="6"/>
  <c r="E137" i="3"/>
  <c r="H137" i="3"/>
  <c r="AN2" i="3"/>
  <c r="E150" i="3"/>
  <c r="H150" i="3"/>
  <c r="E31" i="4"/>
  <c r="E36" i="4"/>
  <c r="E41" i="4"/>
  <c r="H151" i="3"/>
  <c r="E152" i="3"/>
  <c r="E153" i="3"/>
  <c r="G211" i="1"/>
  <c r="E153" i="2"/>
  <c r="E49" i="3"/>
  <c r="E160" i="3"/>
  <c r="E77" i="4"/>
  <c r="C42" i="4"/>
  <c r="P134" i="1"/>
  <c r="T3" i="4"/>
  <c r="R26" i="1"/>
  <c r="C31" i="4"/>
  <c r="C41" i="4"/>
  <c r="K41" i="4"/>
  <c r="U3" i="4"/>
  <c r="E4" i="2"/>
  <c r="E15" i="2"/>
  <c r="E4" i="3"/>
  <c r="E4" i="4"/>
  <c r="E15" i="4"/>
  <c r="P11" i="1"/>
  <c r="P13" i="1"/>
  <c r="P5" i="1"/>
  <c r="G54" i="1"/>
  <c r="E36" i="3"/>
  <c r="H36" i="3"/>
  <c r="H169" i="3"/>
  <c r="C221" i="1"/>
  <c r="G221" i="1"/>
  <c r="E60" i="4"/>
  <c r="P127" i="1"/>
  <c r="C60" i="4"/>
  <c r="E124" i="3"/>
  <c r="H125" i="3"/>
  <c r="G158" i="1"/>
  <c r="E116" i="2"/>
  <c r="K116" i="2"/>
  <c r="H161" i="3"/>
  <c r="E161" i="3"/>
  <c r="E130" i="3"/>
  <c r="H130" i="3"/>
  <c r="E127" i="3"/>
  <c r="H127" i="3"/>
  <c r="E5" i="3"/>
  <c r="E7" i="3"/>
  <c r="E128" i="3"/>
  <c r="H128" i="3"/>
  <c r="P102" i="1"/>
  <c r="C58" i="4"/>
  <c r="H163" i="3"/>
  <c r="E163" i="3"/>
  <c r="E131" i="3"/>
  <c r="H131" i="3"/>
  <c r="F24" i="5"/>
  <c r="H50" i="3"/>
  <c r="E50" i="3"/>
  <c r="H15" i="3"/>
  <c r="E35" i="3"/>
  <c r="H35" i="3"/>
  <c r="C16" i="3"/>
  <c r="C16" i="2"/>
  <c r="E126" i="3"/>
  <c r="H126" i="3"/>
  <c r="G183" i="1"/>
  <c r="E164" i="3"/>
  <c r="H164" i="3"/>
  <c r="E148" i="3"/>
  <c r="E149" i="3"/>
  <c r="P54" i="1"/>
  <c r="P50" i="1"/>
  <c r="E51" i="3"/>
  <c r="C3" i="1"/>
  <c r="H51" i="3"/>
  <c r="E43" i="3"/>
  <c r="C248" i="1"/>
  <c r="E143" i="3"/>
  <c r="E55" i="3"/>
  <c r="I12" i="7"/>
  <c r="E105" i="2"/>
  <c r="F105" i="2"/>
  <c r="G10" i="7"/>
  <c r="E114" i="2"/>
  <c r="H141" i="3"/>
  <c r="E132" i="2"/>
  <c r="E141" i="3"/>
  <c r="AL2" i="3"/>
  <c r="H68" i="3"/>
  <c r="V3" i="3"/>
  <c r="H149" i="2"/>
  <c r="K149" i="2"/>
  <c r="H157" i="2"/>
  <c r="K157" i="2"/>
  <c r="H162" i="3"/>
  <c r="H114" i="2"/>
  <c r="K114" i="2"/>
  <c r="J126" i="2"/>
  <c r="H46" i="3"/>
  <c r="AK2" i="2"/>
  <c r="AK3" i="2" s="1"/>
  <c r="H41" i="2"/>
  <c r="AG2" i="2"/>
  <c r="AG3" i="2" s="1"/>
  <c r="H158" i="2"/>
  <c r="AH2" i="2"/>
  <c r="AH3" i="2" s="1"/>
  <c r="E158" i="2"/>
  <c r="E114" i="3"/>
  <c r="K114" i="3"/>
  <c r="AF2" i="2"/>
  <c r="AF3" i="2" s="1"/>
  <c r="H66" i="2"/>
  <c r="V3" i="2"/>
  <c r="K105" i="2"/>
  <c r="H168" i="3"/>
  <c r="H159" i="2"/>
  <c r="AJ2" i="2"/>
  <c r="AJ3" i="2" s="1"/>
  <c r="E159" i="2"/>
  <c r="H153" i="2"/>
  <c r="K153" i="2"/>
  <c r="H132" i="2"/>
  <c r="H175" i="3"/>
  <c r="K149" i="3"/>
  <c r="H45" i="2"/>
  <c r="AO2" i="2"/>
  <c r="AO3" i="2" s="1"/>
  <c r="K166" i="2"/>
  <c r="E17" i="2"/>
  <c r="H16" i="2"/>
  <c r="H17" i="2"/>
  <c r="H18" i="2"/>
  <c r="J135" i="3"/>
  <c r="C23" i="6"/>
  <c r="E175" i="3"/>
  <c r="C20" i="6"/>
  <c r="E162" i="3"/>
  <c r="C14" i="6"/>
  <c r="E125" i="3"/>
  <c r="K125" i="3"/>
  <c r="C22" i="6"/>
  <c r="E166" i="3"/>
  <c r="C15" i="6"/>
  <c r="G226" i="1"/>
  <c r="C19" i="6"/>
  <c r="E158" i="3"/>
  <c r="C13" i="6"/>
  <c r="E123" i="3"/>
  <c r="AP7" i="3"/>
  <c r="AI2" i="3"/>
  <c r="H42" i="3"/>
  <c r="AK2" i="3"/>
  <c r="C12" i="6"/>
  <c r="H123" i="3"/>
  <c r="E71" i="4"/>
  <c r="E87" i="4"/>
  <c r="E168" i="3"/>
  <c r="P3" i="4"/>
  <c r="H158" i="3"/>
  <c r="H167" i="3"/>
  <c r="E167" i="3"/>
  <c r="Z3" i="4"/>
  <c r="P56" i="1"/>
  <c r="H16" i="3"/>
  <c r="E17" i="3"/>
  <c r="F13" i="5"/>
  <c r="C25" i="6"/>
  <c r="C4" i="3"/>
  <c r="C18" i="3"/>
  <c r="E18" i="3"/>
  <c r="C4" i="6"/>
  <c r="C4" i="2"/>
  <c r="C18" i="2"/>
  <c r="G5" i="1"/>
  <c r="H166" i="3"/>
  <c r="C18" i="4"/>
  <c r="R5" i="1"/>
  <c r="C4" i="4"/>
  <c r="E15" i="3"/>
  <c r="C48" i="4"/>
  <c r="K48" i="4"/>
  <c r="W3" i="4"/>
  <c r="R50" i="1"/>
  <c r="AF2" i="3"/>
  <c r="R3" i="2"/>
  <c r="AG2" i="3"/>
  <c r="A2" i="2"/>
  <c r="F6" i="5"/>
  <c r="G6" i="5"/>
  <c r="A2" i="3"/>
  <c r="G97" i="1"/>
  <c r="C11" i="6"/>
  <c r="G9" i="7"/>
  <c r="K132" i="2"/>
  <c r="H48" i="3"/>
  <c r="T3" i="3"/>
  <c r="C66" i="2"/>
  <c r="K66" i="2"/>
  <c r="W3" i="2"/>
  <c r="C68" i="3"/>
  <c r="K68" i="3"/>
  <c r="W3" i="3"/>
  <c r="K175" i="3"/>
  <c r="AD9" i="3"/>
  <c r="AE9" i="3"/>
  <c r="AF9" i="3"/>
  <c r="AG9" i="3"/>
  <c r="AH9" i="3"/>
  <c r="AI9" i="3"/>
  <c r="AJ9" i="3"/>
  <c r="AK9" i="3"/>
  <c r="AL9" i="3"/>
  <c r="AM9" i="3"/>
  <c r="AN9" i="3"/>
  <c r="AO9" i="3"/>
  <c r="K162" i="3"/>
  <c r="H161" i="2"/>
  <c r="H46" i="2"/>
  <c r="T3" i="2"/>
  <c r="E170" i="3"/>
  <c r="E161" i="2"/>
  <c r="F114" i="3"/>
  <c r="P3" i="2"/>
  <c r="K100" i="2"/>
  <c r="K125" i="2"/>
  <c r="K37" i="2"/>
  <c r="K35" i="2"/>
  <c r="C21" i="6"/>
  <c r="K134" i="3"/>
  <c r="K109" i="3"/>
  <c r="K38" i="3"/>
  <c r="K36" i="3"/>
  <c r="K141" i="3"/>
  <c r="K166" i="3"/>
  <c r="K123" i="3"/>
  <c r="K158" i="3"/>
  <c r="AP9" i="3"/>
  <c r="Z3" i="2"/>
  <c r="R56" i="1"/>
  <c r="C87" i="4"/>
  <c r="F10" i="5"/>
  <c r="G10" i="5"/>
  <c r="H170" i="3"/>
  <c r="AH2" i="3"/>
  <c r="AD3" i="2"/>
  <c r="C26" i="6"/>
  <c r="F14" i="5"/>
  <c r="G14" i="5"/>
  <c r="G13" i="5"/>
  <c r="P3" i="1"/>
  <c r="R3" i="1"/>
  <c r="E18" i="4"/>
  <c r="K18" i="4"/>
  <c r="Q3" i="4"/>
  <c r="E18" i="2"/>
  <c r="K18" i="2"/>
  <c r="Q3" i="2"/>
  <c r="H17" i="3"/>
  <c r="H18" i="3"/>
  <c r="I4" i="7"/>
  <c r="AO2" i="3"/>
  <c r="F7" i="5"/>
  <c r="C6" i="6"/>
  <c r="K161" i="2"/>
  <c r="K170" i="3"/>
  <c r="K18" i="3"/>
  <c r="Q3" i="3"/>
  <c r="P3" i="3"/>
  <c r="C88" i="4"/>
  <c r="K88" i="4"/>
  <c r="AA3" i="4"/>
  <c r="K87" i="4"/>
  <c r="Y3" i="4"/>
  <c r="G7" i="5"/>
  <c r="AA3" i="2"/>
  <c r="Y3" i="2"/>
  <c r="C26" i="1" l="1"/>
  <c r="G26" i="1"/>
  <c r="C7" i="6"/>
  <c r="C8" i="6" s="1"/>
  <c r="G66" i="1"/>
  <c r="H138" i="2"/>
  <c r="H167" i="2" s="1"/>
  <c r="E147" i="3"/>
  <c r="C17" i="6"/>
  <c r="G128" i="1"/>
  <c r="E138" i="2"/>
  <c r="E167" i="2" s="1"/>
  <c r="G11" i="7"/>
  <c r="H142" i="3"/>
  <c r="AD3" i="3"/>
  <c r="AE3" i="3" s="1"/>
  <c r="AF3" i="3" s="1"/>
  <c r="AG3" i="3" s="1"/>
  <c r="AH3" i="3" s="1"/>
  <c r="AI3" i="3" s="1"/>
  <c r="E142" i="3"/>
  <c r="AM2" i="2"/>
  <c r="AM3" i="2" s="1"/>
  <c r="G4" i="7" l="1"/>
  <c r="C19" i="2"/>
  <c r="C31" i="2" s="1"/>
  <c r="F8" i="5"/>
  <c r="G8" i="5" s="1"/>
  <c r="C19" i="3"/>
  <c r="C31" i="3" s="1"/>
  <c r="C48" i="3"/>
  <c r="K48" i="3" s="1"/>
  <c r="U3" i="3" s="1"/>
  <c r="F9" i="5"/>
  <c r="G9" i="5" s="1"/>
  <c r="C46" i="2"/>
  <c r="K46" i="2" s="1"/>
  <c r="U3" i="2" s="1"/>
  <c r="AJ2" i="3"/>
  <c r="H147" i="3"/>
  <c r="F176" i="3"/>
  <c r="I11" i="7" s="1"/>
  <c r="E176" i="3"/>
  <c r="AP2" i="2"/>
  <c r="K138" i="2"/>
  <c r="C167" i="2"/>
  <c r="C168" i="2" s="1"/>
  <c r="F11" i="5"/>
  <c r="C176" i="3"/>
  <c r="C177" i="3" s="1"/>
  <c r="G3" i="1"/>
  <c r="H168" i="2"/>
  <c r="C24" i="6"/>
  <c r="C27" i="6" s="1"/>
  <c r="D17" i="6" s="1"/>
  <c r="E31" i="3" l="1"/>
  <c r="K31" i="3"/>
  <c r="S3" i="3" s="1"/>
  <c r="K31" i="2"/>
  <c r="S3" i="2" s="1"/>
  <c r="E31" i="2"/>
  <c r="K168" i="2"/>
  <c r="D19" i="6"/>
  <c r="D23" i="6"/>
  <c r="D12" i="6"/>
  <c r="D15" i="6"/>
  <c r="D14" i="6"/>
  <c r="D22" i="6"/>
  <c r="D18" i="6"/>
  <c r="D9" i="6"/>
  <c r="D25" i="6"/>
  <c r="D26" i="6" s="1"/>
  <c r="D7" i="6"/>
  <c r="D8" i="6" s="1"/>
  <c r="D4" i="6"/>
  <c r="D20" i="6"/>
  <c r="D11" i="6"/>
  <c r="D21" i="6"/>
  <c r="D5" i="6"/>
  <c r="D13" i="6"/>
  <c r="D16" i="6"/>
  <c r="D10" i="6"/>
  <c r="K167" i="2"/>
  <c r="AP3" i="2"/>
  <c r="AQ2" i="2"/>
  <c r="AQ3" i="2" s="1"/>
  <c r="H3" i="1"/>
  <c r="G12" i="7"/>
  <c r="G11" i="5"/>
  <c r="G12" i="5" s="1"/>
  <c r="G15" i="5" s="1"/>
  <c r="F12" i="5"/>
  <c r="F15" i="5" s="1"/>
  <c r="K147" i="3"/>
  <c r="H176" i="3"/>
  <c r="AJ3" i="3"/>
  <c r="AK3" i="3" s="1"/>
  <c r="AL3" i="3" s="1"/>
  <c r="AM3" i="3" s="1"/>
  <c r="AN3" i="3" s="1"/>
  <c r="AO3" i="3" s="1"/>
  <c r="AP2" i="3"/>
  <c r="D6" i="6" l="1"/>
  <c r="AP3" i="3"/>
  <c r="AQ2" i="3"/>
  <c r="AQ3" i="3" s="1"/>
  <c r="H177" i="3"/>
  <c r="K176" i="3"/>
  <c r="Y3" i="3" s="1"/>
  <c r="X3" i="3"/>
  <c r="G13" i="7"/>
  <c r="J13" i="7" s="1"/>
  <c r="J12" i="7"/>
  <c r="D24" i="6"/>
  <c r="C17" i="5"/>
  <c r="H10" i="5" l="1"/>
  <c r="H13" i="5"/>
  <c r="H14" i="5" s="1"/>
  <c r="H9" i="5"/>
  <c r="H6" i="5"/>
  <c r="H11" i="5"/>
  <c r="H8" i="5"/>
  <c r="H7" i="5"/>
  <c r="K177" i="3"/>
  <c r="AA3" i="3" s="1"/>
  <c r="Z3" i="3"/>
  <c r="D27" i="6"/>
  <c r="H12" i="5" l="1"/>
  <c r="H15" i="5" s="1"/>
</calcChain>
</file>

<file path=xl/sharedStrings.xml><?xml version="1.0" encoding="utf-8"?>
<sst xmlns="http://schemas.openxmlformats.org/spreadsheetml/2006/main" count="1400" uniqueCount="540">
  <si>
    <t>3차년도 예산</t>
  </si>
  <si>
    <t>2차년도 이월금</t>
  </si>
  <si>
    <t>직접비+간접비</t>
  </si>
  <si>
    <t>직접비</t>
  </si>
  <si>
    <t>현재까지 총액</t>
  </si>
  <si>
    <t>기준</t>
  </si>
  <si>
    <t>1)</t>
  </si>
  <si>
    <t>인건비</t>
  </si>
  <si>
    <t>구분</t>
  </si>
  <si>
    <t>성명</t>
  </si>
  <si>
    <t>직위</t>
  </si>
  <si>
    <t>월 급여</t>
  </si>
  <si>
    <t>참여기간(개월)</t>
  </si>
  <si>
    <t>금액(원)</t>
  </si>
  <si>
    <t>행정전담인력</t>
  </si>
  <si>
    <t>전미자</t>
  </si>
  <si>
    <t>행정원</t>
  </si>
  <si>
    <t>이월금에서 모자란 금액 1,192,128만큼 본예산에서 집행</t>
  </si>
  <si>
    <t>모자란 금액 1,192,128만큼 본예산에서 집행</t>
  </si>
  <si>
    <t>강훈경</t>
  </si>
  <si>
    <t>고용예정</t>
  </si>
  <si>
    <t>소계</t>
  </si>
  <si>
    <t>합계</t>
  </si>
  <si>
    <t xml:space="preserve"> </t>
  </si>
  <si>
    <t>2)</t>
  </si>
  <si>
    <t>학생 인건비</t>
  </si>
  <si>
    <t>인센티브</t>
  </si>
  <si>
    <t>(정부출연금의 3%이내)</t>
  </si>
  <si>
    <t>산출내역</t>
  </si>
  <si>
    <t>참여교수 및 직원</t>
  </si>
  <si>
    <t>3)</t>
  </si>
  <si>
    <t>연구시설장비비</t>
  </si>
  <si>
    <t>연구장비 구입 및 임차비</t>
  </si>
  <si>
    <t>교육 TA</t>
  </si>
  <si>
    <t>김성주</t>
  </si>
  <si>
    <t>멘토 TA</t>
  </si>
  <si>
    <t>1학기, 2학기만.
인건비 확보 위해 10 --&gt; 90 증액</t>
  </si>
  <si>
    <t>품명</t>
  </si>
  <si>
    <t>용도</t>
  </si>
  <si>
    <t>단위</t>
  </si>
  <si>
    <t>수량</t>
  </si>
  <si>
    <t>단가(원)</t>
  </si>
  <si>
    <t>현금(원)</t>
  </si>
  <si>
    <t>이찬</t>
  </si>
  <si>
    <t>장비 TA</t>
  </si>
  <si>
    <t>첨단융합학부</t>
  </si>
  <si>
    <t>GPU</t>
  </si>
  <si>
    <t>모자란 금액 (99,990,000 - 95,987,810)만큼 본예산</t>
  </si>
  <si>
    <t>윤태현(이철호 교수님)</t>
  </si>
  <si>
    <t>Pulse Module</t>
  </si>
  <si>
    <t>납품 지연 --&gt; 심의, 계약은 완료되었으므로 이월 가능</t>
  </si>
  <si>
    <t>김주현</t>
  </si>
  <si>
    <t>3-5월 EDA 용역 공백기간</t>
  </si>
  <si>
    <t>조형준</t>
  </si>
  <si>
    <t>류명현(컴공)</t>
  </si>
  <si>
    <t>GPU 관리 TA</t>
  </si>
  <si>
    <t>교육시설 설비 구축 및 개선</t>
  </si>
  <si>
    <t>김지원(컴공)</t>
  </si>
  <si>
    <t>규격</t>
  </si>
  <si>
    <t>황동호</t>
  </si>
  <si>
    <t>경진대회 TA</t>
  </si>
  <si>
    <t>3차년도 교내경진대회 1달로 축소 (6월)</t>
  </si>
  <si>
    <t>노혜리</t>
  </si>
  <si>
    <t>정제승</t>
  </si>
  <si>
    <t>첨융 칩 설계 TA</t>
  </si>
  <si>
    <t>3 ~ 8월, 정규원 교수님 연구실 신입생 2명</t>
  </si>
  <si>
    <t>김민선</t>
  </si>
  <si>
    <t>특강 보조 TA</t>
  </si>
  <si>
    <t>9 ~ 12월 (추후 선발)</t>
  </si>
  <si>
    <t>첨융 교육 TA</t>
  </si>
  <si>
    <t>환경구축비</t>
  </si>
  <si>
    <t>4)</t>
  </si>
  <si>
    <t>연구재료비</t>
  </si>
  <si>
    <t>재료비</t>
  </si>
  <si>
    <t>단가</t>
  </si>
  <si>
    <t xml:space="preserve">화학생물공학부 교과목 기자재 </t>
  </si>
  <si>
    <t>측정및공정실습 - 4인치 웨이퍼</t>
  </si>
  <si>
    <t>ea</t>
  </si>
  <si>
    <t>프로브팁 제외 - 4인치 웨이퍼 배분 (남은 3,356,000원은 본예산)</t>
  </si>
  <si>
    <t>행정 TA</t>
  </si>
  <si>
    <t>안상민</t>
  </si>
  <si>
    <t>행정</t>
  </si>
  <si>
    <t>유진일</t>
  </si>
  <si>
    <t>5)</t>
  </si>
  <si>
    <t>연구활동비</t>
  </si>
  <si>
    <t>진명</t>
  </si>
  <si>
    <t>장학금</t>
  </si>
  <si>
    <t>이주영</t>
  </si>
  <si>
    <t>소동혁</t>
  </si>
  <si>
    <t>실제 3달이나, 인건비 확보 위해 3 --&gt; 12개월</t>
  </si>
  <si>
    <t>한인상</t>
  </si>
  <si>
    <t>오은석</t>
  </si>
  <si>
    <t>인건비 확보 위해 새로 추가</t>
  </si>
  <si>
    <t>삭제</t>
  </si>
  <si>
    <t>출장비</t>
  </si>
  <si>
    <t>국내출장</t>
  </si>
  <si>
    <t>컴퓨터공학부</t>
  </si>
  <si>
    <t>9 --&gt; 8</t>
  </si>
  <si>
    <t>(99,990,000 - 95,987,810)만큼 본예산 추가, 
첨융 GPU 총 3대로 변경</t>
  </si>
  <si>
    <t>Hall measurement</t>
  </si>
  <si>
    <t>연구인력 지원비</t>
  </si>
  <si>
    <t>probe station</t>
  </si>
  <si>
    <t>probe station: 86,850,000 + 조달청 수수료
B1500: 90,900,000 + 조달청 수수료</t>
  </si>
  <si>
    <t>B1500</t>
  </si>
  <si>
    <t>국내 학회</t>
  </si>
  <si>
    <t>연구활동 유지비</t>
  </si>
  <si>
    <t>개선</t>
  </si>
  <si>
    <t>컴퓨터공학부 세미나실 공사</t>
  </si>
  <si>
    <t>EDA 용역</t>
  </si>
  <si>
    <t>업체에서 서버 관리 --&gt; 1년 단위 계약</t>
  </si>
  <si>
    <t>3월 ~ 내년2월
--&gt; 이월금 사용 가능하면 바로 집행</t>
  </si>
  <si>
    <t>구입</t>
  </si>
  <si>
    <t>컴퓨터공학부 세미나실 가구 및 기자재</t>
  </si>
  <si>
    <t>GPU 용역</t>
  </si>
  <si>
    <t>첨단융합학부 측정실, 서버실 가구 및 기자재</t>
  </si>
  <si>
    <t>측정실: 테이블1, 의자2 
서버실: Rack</t>
  </si>
  <si>
    <t>연구실 운영비</t>
  </si>
  <si>
    <t>사무용품비</t>
  </si>
  <si>
    <t>프린터 토너</t>
  </si>
  <si>
    <t>A4 용지</t>
  </si>
  <si>
    <t>기타</t>
  </si>
  <si>
    <t>인쇄비</t>
  </si>
  <si>
    <t>set</t>
  </si>
  <si>
    <t>450만원 중 1,144,000은 이월금에서</t>
  </si>
  <si>
    <t>인쇄비 및 제본비</t>
  </si>
  <si>
    <t>100 * 1500</t>
  </si>
  <si>
    <t>첨단융합학부 교과목 기자재</t>
  </si>
  <si>
    <t>FPGA실험보드및세트/'논리설계및실험' 교과목 실험</t>
  </si>
  <si>
    <t>회로실험보드및세트/'기초회로이론' 교과목 실험</t>
  </si>
  <si>
    <t>전선,소자및소모성재료/'기초회로이론, 논리설계및실험' 교과목 실험</t>
  </si>
  <si>
    <t>반도체소자 측정용 팁</t>
  </si>
  <si>
    <t>반도체소자 측정 세트</t>
  </si>
  <si>
    <t>소자 제작 (반공연 공정 이용)</t>
  </si>
  <si>
    <t>실습용 (기초전자회로및실험/반도체소자/메모리및인공지능소자) 칩 제작</t>
  </si>
  <si>
    <t>wafer</t>
  </si>
  <si>
    <t>소프트웨어 활용비</t>
  </si>
  <si>
    <t>전기정보공학부 교과목 기자재</t>
  </si>
  <si>
    <t>실험보드(디지털시스템설계및실험/임베디드시스템설계)</t>
  </si>
  <si>
    <t>EA</t>
  </si>
  <si>
    <t>공정처리비 지원</t>
  </si>
  <si>
    <t>Cadence 추가계약</t>
  </si>
  <si>
    <t>(235,000,000 - 78,879,760) 만큼 본예산</t>
  </si>
  <si>
    <t>Synopsys 추가계약</t>
  </si>
  <si>
    <t>교육운영비</t>
  </si>
  <si>
    <t>산학협력장학금</t>
  </si>
  <si>
    <t>1500000 * 20</t>
  </si>
  <si>
    <t>중도탈락 방지 대책으로 선발장학금 폐지</t>
  </si>
  <si>
    <t>글로벌 장학금</t>
  </si>
  <si>
    <t>해외 강의 수강 및 교환학생 100000 * 6</t>
  </si>
  <si>
    <t>단가 낮추고 명수 증가</t>
  </si>
  <si>
    <t>해외 연구소 인턴 6000000 * 5</t>
  </si>
  <si>
    <t>우수 장학금</t>
  </si>
  <si>
    <t>중도탈락 방지 대책으로 우수장학금 활성화 + 예산에서 유동성 높은 항목 (1억 여유)</t>
  </si>
  <si>
    <t>이수 장학금</t>
  </si>
  <si>
    <t>단가 기준 : 750만원 x 80%</t>
  </si>
  <si>
    <t>졸업 장학금</t>
  </si>
  <si>
    <t>2025.01.02 : 40 --&gt; 61 증가</t>
  </si>
  <si>
    <t>최우열</t>
  </si>
  <si>
    <t>Keysight ADS</t>
  </si>
  <si>
    <t>Cadence EMX</t>
  </si>
  <si>
    <t>안삼</t>
  </si>
  <si>
    <t>윤상원</t>
  </si>
  <si>
    <t>Curve tracer</t>
  </si>
  <si>
    <t>장비</t>
  </si>
  <si>
    <t>교육부회의 (교수)</t>
  </si>
  <si>
    <t>IR 카메라</t>
  </si>
  <si>
    <t>교육부회의 (직원)</t>
  </si>
  <si>
    <t>김지현</t>
  </si>
  <si>
    <t>Si wafer</t>
  </si>
  <si>
    <t>재료</t>
  </si>
  <si>
    <t>경진대회 인솔자 여비 (항공권, 숙박비, 일비, 식비)</t>
  </si>
  <si>
    <t>출장 인솔 행정TA 여비 (항공권, 숙박비, 일비, 식비)</t>
  </si>
  <si>
    <t>항공권 30 + 숙박비 24*4 + 일비 4*4 + 식비 3*4 = 184 / 100만원(만찬 포함) 2024, 환불X</t>
  </si>
  <si>
    <t>교내 경진대회 상금</t>
  </si>
  <si>
    <t>500 400 300 200</t>
  </si>
  <si>
    <t>교내 경진대회 참여학생 인건비</t>
  </si>
  <si>
    <t>80만원, 10명, 4달 --&gt; 예선, 본선 포함</t>
  </si>
  <si>
    <t>솔버톤 참여학생 인건비</t>
  </si>
  <si>
    <t>80만원 --&gt; 예선, 본선 포함</t>
  </si>
  <si>
    <t>회의비</t>
  </si>
  <si>
    <t>유니위크 참가 우수장학금</t>
  </si>
  <si>
    <t>원래 출장비인데, 지급이 안돼서 장학금으로. 하루 10만원</t>
  </si>
  <si>
    <t>논문 장학금</t>
  </si>
  <si>
    <t>국내 100*3 + 국외 200*5 = 1300</t>
  </si>
  <si>
    <t>Total</t>
  </si>
  <si>
    <t>예산은 60,000,000으로 크게 감소. 나중에 끌어와야 함(아마 학회)</t>
  </si>
  <si>
    <t>교내 경진대회 10명 + 우수 장학생 10명</t>
  </si>
  <si>
    <t>국내학회</t>
  </si>
  <si>
    <t>경진대회 인솔자 학회등록비 (대한전자공학회, 6/24-27)</t>
  </si>
  <si>
    <t>출장 인솔 행정TA  학회등록비 (대한전자공학회, 6-24-27)</t>
  </si>
  <si>
    <t>장학생 여비 (항공권, 숙박비) (상반기)</t>
  </si>
  <si>
    <t>장학생 여비 (항공권, 숙박비) (하반기)</t>
  </si>
  <si>
    <t>장학생 학회등록비 (대한전자공학회, 6/24-27)</t>
  </si>
  <si>
    <t xml:space="preserve">우수 장학생 10명
항공권 20 + 숙박비 12*4 = 68
학부생 80만원(등록72+만찬8) 2024, 환불X </t>
  </si>
  <si>
    <t>장학생 학회등록비 (IEEE APMC, 12/2~5)</t>
  </si>
  <si>
    <t>솔버튼, 유니위크</t>
  </si>
  <si>
    <t>분담금 (추후 확정 안내)</t>
  </si>
  <si>
    <t>행사개최 경비 (운임, 숙박, 식대, 보험료 등)</t>
  </si>
  <si>
    <t xml:space="preserve">솔버톤+유니위크 전체 인원의 운임, 숙박, 식대, 보험료 등을 취합하여 청구. 세부예산을 산출하기 어려운 사항 </t>
  </si>
  <si>
    <t>솔버톤 수상자 항공권 (추후 확정 안내)</t>
  </si>
  <si>
    <t>문헌구입비</t>
  </si>
  <si>
    <t>180 * 5,000</t>
  </si>
  <si>
    <t>홍보비(현수막)</t>
  </si>
  <si>
    <t>50000 * 2</t>
  </si>
  <si>
    <t>장학증서</t>
  </si>
  <si>
    <t>109000 * 81</t>
  </si>
  <si>
    <t>수료증</t>
  </si>
  <si>
    <t>30000 * 61</t>
  </si>
  <si>
    <t>운영경비-공공요금 등</t>
  </si>
  <si>
    <t>우편요금</t>
  </si>
  <si>
    <t>회계법인 수수료</t>
  </si>
  <si>
    <t>행사운영비</t>
  </si>
  <si>
    <t>학생간담회</t>
  </si>
  <si>
    <t>30000*81 + 1000000</t>
  </si>
  <si>
    <t>설문 기념품</t>
  </si>
  <si>
    <t>25900*181</t>
  </si>
  <si>
    <t>간담회 81명, KIAT 원장 100명</t>
  </si>
  <si>
    <t>학부생: 현재 기준 졸업생 제외 130명</t>
  </si>
  <si>
    <t>(258,500,000 - 78,879,760) 만큼 본예산</t>
  </si>
  <si>
    <t>수요조사 기자재에서 추가</t>
  </si>
  <si>
    <t>회로/설계 특강 인력 활용비</t>
  </si>
  <si>
    <t>600,000원 x 3명</t>
  </si>
  <si>
    <t>500,000원 x 3명</t>
  </si>
  <si>
    <t>강사료</t>
  </si>
  <si>
    <t>첫 한시간 30 + 이후부터 시간당 24만원</t>
  </si>
  <si>
    <t>간접비 (5%)</t>
  </si>
  <si>
    <t>일자별 누적 기록</t>
  </si>
  <si>
    <t>월별 소진 현황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</si>
  <si>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</si>
  <si>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</si>
  <si>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</si>
  <si>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</si>
  <si>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</si>
  <si>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</si>
  <si>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</si>
  <si>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</si>
  <si>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</si>
  <si>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</si>
  <si>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1월</t>
  </si>
  <si>
    <t>2월</t>
  </si>
  <si>
    <t>총계(=2,956,400,000 원)</t>
  </si>
  <si>
    <t>예상이월금</t>
  </si>
  <si>
    <t xml:space="preserve"> = 예상 이월금</t>
  </si>
  <si>
    <t>날짜</t>
  </si>
  <si>
    <t>학생인건비</t>
  </si>
  <si>
    <t>총계</t>
  </si>
  <si>
    <t>항목</t>
  </si>
  <si>
    <t>세목</t>
  </si>
  <si>
    <t>세부집행 계획</t>
  </si>
  <si>
    <t>실제 집행내역</t>
  </si>
  <si>
    <t>집행액 (RCMS 기준)</t>
  </si>
  <si>
    <t>집행일</t>
  </si>
  <si>
    <t>집행잔액</t>
  </si>
  <si>
    <t>집행률</t>
  </si>
  <si>
    <t>현황</t>
  </si>
  <si>
    <t>직원인건비</t>
  </si>
  <si>
    <t>미정</t>
  </si>
  <si>
    <t>소계 (인건비)</t>
  </si>
  <si>
    <t>소계 (학생인건비)</t>
  </si>
  <si>
    <t>연구시설 장비구입 및 임차비</t>
  </si>
  <si>
    <t>소계 (연구시설장비비)</t>
  </si>
  <si>
    <t>공정 재료비</t>
  </si>
  <si>
    <t>4인치 웨이퍼</t>
  </si>
  <si>
    <t>첨단융합학부 측정 소모품</t>
  </si>
  <si>
    <t>전기정보공학부 FPGA 보드</t>
  </si>
  <si>
    <t>공정 수행 비용</t>
  </si>
  <si>
    <t>첨단융합학부 교육용 칩 제작비</t>
  </si>
  <si>
    <t>소계 (연구재료비)</t>
  </si>
  <si>
    <t>우수장학금</t>
  </si>
  <si>
    <t>3월 우수장학금</t>
  </si>
  <si>
    <t>정유찬</t>
  </si>
  <si>
    <t>이수장학금 사전신청</t>
  </si>
  <si>
    <t>졸업장학금</t>
  </si>
  <si>
    <t>연구인력지원비</t>
  </si>
  <si>
    <t>운영경비 - 공공요금 등</t>
  </si>
  <si>
    <t>소계 (연구활동비)</t>
  </si>
  <si>
    <t>전체 총계</t>
  </si>
  <si>
    <t>3차년도 예산 집행예상내역</t>
  </si>
  <si>
    <t>집행예상 월</t>
  </si>
  <si>
    <t>집행액 예정 금액</t>
  </si>
  <si>
    <t>연구 재료비</t>
  </si>
  <si>
    <t>1학기 졸업장학금</t>
  </si>
  <si>
    <t>20명</t>
  </si>
  <si>
    <t>2학기 졸업장학금</t>
  </si>
  <si>
    <t>41명</t>
  </si>
  <si>
    <t>Cadence</t>
  </si>
  <si>
    <t>Synopsys</t>
  </si>
  <si>
    <t>2차년도 이월금 집행내역</t>
  </si>
  <si>
    <t>WGFMU</t>
  </si>
  <si>
    <t>GPU 1대 (첨융)</t>
  </si>
  <si>
    <t>인쇄 및 제본</t>
  </si>
  <si>
    <r>
      <rPr>
        <b/>
        <sz val="13"/>
        <color rgb="FF000000"/>
        <rFont val="함초롬바탕"/>
        <family val="1"/>
        <charset val="129"/>
      </rPr>
      <t xml:space="preserve">&lt; 재정투자 계획 총괄표&gt; </t>
    </r>
    <r>
      <rPr>
        <sz val="11"/>
        <color rgb="FF000000"/>
        <rFont val="함초롬바탕"/>
        <family val="1"/>
        <charset val="129"/>
      </rPr>
      <t>(단위 : 백만원, %)</t>
    </r>
  </si>
  <si>
    <t>구 분</t>
  </si>
  <si>
    <t>정부출연금(A)</t>
  </si>
  <si>
    <t>평균</t>
  </si>
  <si>
    <t>민간투자지원*</t>
  </si>
  <si>
    <t>비율</t>
  </si>
  <si>
    <t>교육운영비
동영상 인센티브 1400
반공연 공정실습 1200
기업협업교과목 1200</t>
  </si>
  <si>
    <t>1차년도</t>
  </si>
  <si>
    <t>이월금</t>
  </si>
  <si>
    <t>2차년도</t>
  </si>
  <si>
    <t>3차년도</t>
  </si>
  <si>
    <t>4차년도</t>
  </si>
  <si>
    <t>(%)</t>
  </si>
  <si>
    <t>현금</t>
  </si>
  <si>
    <t>현물</t>
  </si>
  <si>
    <t>(‘23.3～’24.2)</t>
  </si>
  <si>
    <t>(‘24.3～’25.2)</t>
  </si>
  <si>
    <t>(‘25.3～’26.2)</t>
  </si>
  <si>
    <t>(‘26.3～’27.2)</t>
  </si>
  <si>
    <t>(a)</t>
  </si>
  <si>
    <t>(b)</t>
  </si>
  <si>
    <t>(a+b)</t>
  </si>
  <si>
    <t>-</t>
  </si>
  <si>
    <t>연구시설·장비비</t>
  </si>
  <si>
    <t>간접비</t>
  </si>
  <si>
    <t>합 계</t>
  </si>
  <si>
    <t>*이월금 포함</t>
  </si>
  <si>
    <t>합계 총합</t>
  </si>
  <si>
    <t>삼성전자</t>
  </si>
  <si>
    <t>sk하이닉스</t>
  </si>
  <si>
    <t>교육 운영비</t>
  </si>
  <si>
    <t>5000+1180(이월금)</t>
  </si>
  <si>
    <t>3750+1333(이월금)</t>
  </si>
  <si>
    <t>행사운영비: 엔지니어링하우스에서 간담회 할때 대관료 대응자금</t>
  </si>
  <si>
    <r>
      <rPr>
        <b/>
        <sz val="13"/>
        <color rgb="FF000000"/>
        <rFont val="함초롬바탕"/>
        <family val="1"/>
        <charset val="129"/>
      </rPr>
      <t xml:space="preserve">&lt; 3차년도 사업비 편성 총괄표&gt; </t>
    </r>
    <r>
      <rPr>
        <sz val="11"/>
        <color rgb="FF000000"/>
        <rFont val="함초롬바탕"/>
        <family val="1"/>
        <charset val="129"/>
      </rPr>
      <t>(단위 : 백만원, %)</t>
    </r>
  </si>
  <si>
    <t>정부출연금</t>
  </si>
  <si>
    <t>현금(a)</t>
  </si>
  <si>
    <t>현물(b)</t>
  </si>
  <si>
    <t>소계(a+b)</t>
  </si>
  <si>
    <t>직원 인건비</t>
  </si>
  <si>
    <t>연구시설 장비비</t>
  </si>
  <si>
    <t>연구 활동비</t>
  </si>
  <si>
    <t>운영경비-공공요금</t>
  </si>
  <si>
    <t>삼성전자*</t>
  </si>
  <si>
    <t>SK 하이닉스</t>
  </si>
  <si>
    <t>한호철</t>
    <phoneticPr fontId="27" type="noConversion"/>
  </si>
  <si>
    <t>강훈경 (25.7 - 26.2)</t>
    <phoneticPr fontId="27" type="noConversion"/>
  </si>
  <si>
    <t>강훈경 (25.4 - 25.6)</t>
    <phoneticPr fontId="27" type="noConversion"/>
  </si>
  <si>
    <t>행정원</t>
    <phoneticPr fontId="27" type="noConversion"/>
  </si>
  <si>
    <t>스위치매트릭스</t>
    <phoneticPr fontId="27" type="noConversion"/>
  </si>
  <si>
    <t>ALD</t>
    <phoneticPr fontId="27" type="noConversion"/>
  </si>
  <si>
    <t>광학 현미경</t>
    <phoneticPr fontId="27" type="noConversion"/>
  </si>
  <si>
    <t>Spin Coater</t>
    <phoneticPr fontId="27" type="noConversion"/>
  </si>
  <si>
    <t>장학생 학회등록비 (IEEE ICCE-asia 2024, 10)</t>
    <phoneticPr fontId="27" type="noConversion"/>
  </si>
  <si>
    <t>행사개최 경비 (제주도 교내솔버톤본선 세미나실)</t>
    <phoneticPr fontId="27" type="noConversion"/>
  </si>
  <si>
    <t>출장 인솔 직원 학회등록비 (IEEE ICCE-aisa 2024, 10)</t>
    <phoneticPr fontId="27" type="noConversion"/>
  </si>
  <si>
    <t>760 USD</t>
    <phoneticPr fontId="27" type="noConversion"/>
  </si>
  <si>
    <t>출장 인솔 TA 학회등록비 (IEEE ICCE-aisa 2024, 10)</t>
    <phoneticPr fontId="27" type="noConversion"/>
  </si>
  <si>
    <t>540 USD</t>
    <phoneticPr fontId="27" type="noConversion"/>
  </si>
  <si>
    <t>기차표 16(왕복) + 숙박비 12*3 = 52</t>
  </si>
  <si>
    <t>출장 인솔 직원 여비 (IEEE ICCE-aisa 2024, 10)</t>
    <phoneticPr fontId="27" type="noConversion"/>
  </si>
  <si>
    <t>출장 인솔 TA 여비 (IEEE ICCE-aisa 2024, 10)</t>
    <phoneticPr fontId="27" type="noConversion"/>
  </si>
  <si>
    <t>실제출장비</t>
    <phoneticPr fontId="27" type="noConversion"/>
  </si>
  <si>
    <t>장학생 여비 (항공권, 숙박비, 식비) (상반기)</t>
    <phoneticPr fontId="27" type="noConversion"/>
  </si>
  <si>
    <t>2000000 * 79</t>
    <phoneticPr fontId="27" type="noConversion"/>
  </si>
  <si>
    <t>장학생 여비 (항공권, 숙박비, 식비) (하반기)</t>
    <phoneticPr fontId="27" type="noConversion"/>
  </si>
  <si>
    <t>8000000 * 61</t>
    <phoneticPr fontId="27" type="noConversion"/>
  </si>
  <si>
    <t>Elipsometer</t>
    <phoneticPr fontId="27" type="noConversion"/>
  </si>
  <si>
    <t>강훈경</t>
    <phoneticPr fontId="27" type="noConversion"/>
  </si>
  <si>
    <r>
      <t xml:space="preserve">270 USD </t>
    </r>
    <r>
      <rPr>
        <sz val="11"/>
        <color theme="1"/>
        <rFont val="맑은 고딕"/>
        <family val="3"/>
        <charset val="129"/>
      </rPr>
      <t>학부생</t>
    </r>
    <r>
      <rPr>
        <sz val="11"/>
        <color theme="1"/>
        <rFont val="Aptos Narrow"/>
        <family val="2"/>
        <scheme val="minor"/>
      </rPr>
      <t xml:space="preserve"> x 1400 + </t>
    </r>
    <r>
      <rPr>
        <sz val="11"/>
        <color theme="1"/>
        <rFont val="맑은 고딕"/>
        <family val="2"/>
        <charset val="129"/>
      </rPr>
      <t>인당 1만원 (금액맞추기)</t>
    </r>
    <phoneticPr fontId="27" type="noConversion"/>
  </si>
  <si>
    <t>첨융 이수 장학금</t>
    <phoneticPr fontId="27" type="noConversion"/>
  </si>
  <si>
    <t>3000000 * 80</t>
    <phoneticPr fontId="27" type="noConversion"/>
  </si>
  <si>
    <t>4000000 * 6</t>
    <phoneticPr fontId="27" type="noConversion"/>
  </si>
  <si>
    <t>543,018,500 -&gt; 실제구매가 498,000,000</t>
    <phoneticPr fontId="27" type="noConversion"/>
  </si>
  <si>
    <t>전미자 (25.5 - 25.7 중순)</t>
    <phoneticPr fontId="27" type="noConversion"/>
  </si>
  <si>
    <t>1000000 * 35</t>
    <phoneticPr fontId="27" type="noConversion"/>
  </si>
  <si>
    <t>전미자 선생님 7월 월급 기관부담금포함 1,047,560원</t>
    <phoneticPr fontId="27" type="noConversion"/>
  </si>
  <si>
    <t>Cadence 추가계약 - 4차년도 1차입금</t>
    <phoneticPr fontId="27" type="noConversion"/>
  </si>
  <si>
    <t>Synopsys 추가계약 - 4차년도 2차입금</t>
    <phoneticPr fontId="27" type="noConversion"/>
  </si>
  <si>
    <t>(265,652,200 - 78,879,760) 만큼 본예산</t>
    <phoneticPr fontId="27" type="noConversion"/>
  </si>
  <si>
    <t>산학협력장학금</t>
    <phoneticPr fontId="27" type="noConversion"/>
  </si>
  <si>
    <t>최호승</t>
    <phoneticPr fontId="27" type="noConversion"/>
  </si>
  <si>
    <t>6월</t>
    <phoneticPr fontId="27" type="noConversion"/>
  </si>
  <si>
    <t>글로벌 장학금</t>
    <phoneticPr fontId="27" type="noConversion"/>
  </si>
  <si>
    <t>오세현</t>
    <phoneticPr fontId="27" type="noConversion"/>
  </si>
  <si>
    <t>백채원</t>
    <phoneticPr fontId="27" type="noConversion"/>
  </si>
  <si>
    <t>7월</t>
    <phoneticPr fontId="27" type="noConversion"/>
  </si>
  <si>
    <t>10월</t>
    <phoneticPr fontId="27" type="noConversion"/>
  </si>
  <si>
    <t>2월</t>
    <phoneticPr fontId="27" type="noConversion"/>
  </si>
  <si>
    <t>엘립소미터</t>
    <phoneticPr fontId="27" type="noConversion"/>
  </si>
  <si>
    <t>광학현미경</t>
    <phoneticPr fontId="27" type="noConversion"/>
  </si>
  <si>
    <t>스핀코터</t>
    <phoneticPr fontId="27" type="noConversion"/>
  </si>
  <si>
    <t>1월</t>
    <phoneticPr fontId="27" type="noConversion"/>
  </si>
  <si>
    <t>12월</t>
    <phoneticPr fontId="27" type="noConversion"/>
  </si>
  <si>
    <t>9월</t>
    <phoneticPr fontId="27" type="noConversion"/>
  </si>
  <si>
    <t>교내솔버톤 우수장학금</t>
    <phoneticPr fontId="27" type="noConversion"/>
  </si>
  <si>
    <t>권상미</t>
    <phoneticPr fontId="27" type="noConversion"/>
  </si>
  <si>
    <t>안보성</t>
    <phoneticPr fontId="27" type="noConversion"/>
  </si>
  <si>
    <t>신연상</t>
    <phoneticPr fontId="27" type="noConversion"/>
  </si>
  <si>
    <t>한동민</t>
    <phoneticPr fontId="27" type="noConversion"/>
  </si>
  <si>
    <t>손동휘</t>
    <phoneticPr fontId="27" type="noConversion"/>
  </si>
  <si>
    <t>하반기 출장 인솔 TA 여비 (항공권, 숙박비, 일비, 식비)</t>
    <phoneticPr fontId="27" type="noConversion"/>
  </si>
  <si>
    <t>하반기 출장 인솔 직원 여비 (항공권, 숙박비, 일비, 식비)</t>
    <phoneticPr fontId="27" type="noConversion"/>
  </si>
  <si>
    <t>11월</t>
    <phoneticPr fontId="27" type="noConversion"/>
  </si>
  <si>
    <t>교내솔버톤 행사개최경비</t>
    <phoneticPr fontId="27" type="noConversion"/>
  </si>
  <si>
    <t>하반기 출장 인솔 TA 학회등록비</t>
    <phoneticPr fontId="27" type="noConversion"/>
  </si>
  <si>
    <t>하반기 출장 인솔 직원 학회등록비</t>
    <phoneticPr fontId="27" type="noConversion"/>
  </si>
  <si>
    <r>
      <t>*</t>
    </r>
    <r>
      <rPr>
        <sz val="11"/>
        <color theme="1"/>
        <rFont val="맑은 고딕"/>
        <family val="3"/>
        <charset val="129"/>
      </rPr>
      <t>장학금부분</t>
    </r>
    <phoneticPr fontId="27" type="noConversion"/>
  </si>
  <si>
    <t>이성빈</t>
    <phoneticPr fontId="27" type="noConversion"/>
  </si>
  <si>
    <t>반도체트랙</t>
    <phoneticPr fontId="27" type="noConversion"/>
  </si>
  <si>
    <t>허원석</t>
    <phoneticPr fontId="27" type="noConversion"/>
  </si>
  <si>
    <t>5월</t>
    <phoneticPr fontId="27" type="noConversion"/>
  </si>
  <si>
    <t>8월</t>
    <phoneticPr fontId="27" type="noConversion"/>
  </si>
  <si>
    <t>논문장학금</t>
    <phoneticPr fontId="27" type="noConversion"/>
  </si>
  <si>
    <t>국제학회</t>
    <phoneticPr fontId="27" type="noConversion"/>
  </si>
  <si>
    <t>URTC 출장 인솔 TA 여비</t>
    <phoneticPr fontId="27" type="noConversion"/>
  </si>
  <si>
    <t>9월까지의 장비</t>
    <phoneticPr fontId="27" type="noConversion"/>
  </si>
  <si>
    <t>하반기 장비</t>
    <phoneticPr fontId="27" type="noConversion"/>
  </si>
  <si>
    <t>제주도 총합</t>
    <phoneticPr fontId="27" type="noConversion"/>
  </si>
  <si>
    <t>워싱턴 여비 (6박 7일)</t>
  </si>
  <si>
    <t>교육비 (2만불)</t>
  </si>
  <si>
    <t>비행기</t>
  </si>
  <si>
    <t>양수림</t>
    <phoneticPr fontId="27" type="noConversion"/>
  </si>
  <si>
    <t>선발 장학금</t>
    <phoneticPr fontId="27" type="noConversion"/>
  </si>
  <si>
    <t>1000000 * 81</t>
    <phoneticPr fontId="27" type="noConversion"/>
  </si>
  <si>
    <t>3차년도 예산 집행 확실 내역</t>
    <phoneticPr fontId="27" type="noConversion"/>
  </si>
  <si>
    <t>장학생 학회등록비 (IEEE ICCE-aisa 2024, 10)</t>
    <phoneticPr fontId="27" type="noConversion"/>
  </si>
  <si>
    <t>하반기 출장 인솔 TA 학회등록비 (IEEE ICCE-aisa 2024, 10)</t>
    <phoneticPr fontId="27" type="noConversion"/>
  </si>
  <si>
    <t>하반기 출장 인솔 직원 학회등록비 (IEEE ICCE-aisa 2024, 10)</t>
    <phoneticPr fontId="27" type="noConversion"/>
  </si>
  <si>
    <t>장학생 여비 (항공권, 숙박비) (IEEE ICCE-aisa 2024, 10)</t>
    <phoneticPr fontId="27" type="noConversion"/>
  </si>
  <si>
    <t>선발장학금</t>
    <phoneticPr fontId="27" type="noConversion"/>
  </si>
  <si>
    <t>반도체융합전공 선발장학금 14명</t>
    <phoneticPr fontId="27" type="noConversion"/>
  </si>
  <si>
    <t>첨단융합학부 선발장학금 67명</t>
    <phoneticPr fontId="27" type="noConversion"/>
  </si>
  <si>
    <t>14명</t>
    <phoneticPr fontId="27" type="noConversion"/>
  </si>
  <si>
    <t>67명</t>
    <phoneticPr fontId="27" type="noConversion"/>
  </si>
  <si>
    <t>MIT 여비 (4박 5일)</t>
    <phoneticPr fontId="27" type="noConversion"/>
  </si>
  <si>
    <t>MIT 비행기</t>
    <phoneticPr fontId="27" type="noConversion"/>
  </si>
  <si>
    <t>권오민</t>
    <phoneticPr fontId="27" type="noConversion"/>
  </si>
  <si>
    <t>오경준</t>
    <phoneticPr fontId="27" type="noConversion"/>
  </si>
  <si>
    <t>정재찬</t>
    <phoneticPr fontId="27" type="noConversion"/>
  </si>
  <si>
    <t>박정환</t>
    <phoneticPr fontId="27" type="noConversion"/>
  </si>
  <si>
    <t>임혁준</t>
    <phoneticPr fontId="27" type="noConversion"/>
  </si>
  <si>
    <t>용승현</t>
    <phoneticPr fontId="27" type="noConversion"/>
  </si>
  <si>
    <t>김호준</t>
    <phoneticPr fontId="27" type="noConversion"/>
  </si>
  <si>
    <t>김민서</t>
    <phoneticPr fontId="27" type="noConversion"/>
  </si>
  <si>
    <t>부산워크샵 포스터</t>
    <phoneticPr fontId="27" type="noConversion"/>
  </si>
  <si>
    <t>최우수 1</t>
    <phoneticPr fontId="27" type="noConversion"/>
  </si>
  <si>
    <t>우수 2</t>
    <phoneticPr fontId="27" type="noConversion"/>
  </si>
  <si>
    <t>회로/설계 특강 강사료</t>
    <phoneticPr fontId="27" type="noConversion"/>
  </si>
  <si>
    <t>김진태 (건국대, 교수) 540,000원</t>
    <phoneticPr fontId="27" type="noConversion"/>
  </si>
  <si>
    <t>임대현 (삼성, 마스터) 540,000원</t>
    <phoneticPr fontId="27" type="noConversion"/>
  </si>
  <si>
    <t>김가인 (DGIST, 교수) 1,260,000원</t>
    <phoneticPr fontId="27" type="noConversion"/>
  </si>
  <si>
    <t>소자 특강 강사료</t>
    <phoneticPr fontId="27" type="noConversion"/>
  </si>
  <si>
    <t>명일호 (명지대, 교수) 2,700,000원</t>
    <phoneticPr fontId="27" type="noConversion"/>
  </si>
  <si>
    <t>임영현 (경희대, 교수) 1,260,000원</t>
    <phoneticPr fontId="27" type="noConversion"/>
  </si>
  <si>
    <t>채문재 (서울대) 290,000원</t>
    <phoneticPr fontId="27" type="noConversion"/>
  </si>
  <si>
    <t>이승재 (서울대) 290,000원</t>
    <phoneticPr fontId="27" type="noConversion"/>
  </si>
  <si>
    <t>박우정 (DGIST) 210,000원</t>
    <phoneticPr fontId="27" type="noConversion"/>
  </si>
  <si>
    <t>최유진 (DGIST) 210,000원</t>
    <phoneticPr fontId="27" type="noConversion"/>
  </si>
  <si>
    <t>장비시설 장비비</t>
    <phoneticPr fontId="27" type="noConversion"/>
  </si>
  <si>
    <t>프로브스테이션 수리비</t>
    <phoneticPr fontId="27" type="noConversion"/>
  </si>
  <si>
    <t>수리비</t>
    <phoneticPr fontId="27" type="noConversion"/>
  </si>
  <si>
    <t>초과시수수당</t>
    <phoneticPr fontId="27" type="noConversion"/>
  </si>
  <si>
    <t>장려 3</t>
    <phoneticPr fontId="27" type="noConversion"/>
  </si>
  <si>
    <t>참여 22명</t>
    <phoneticPr fontId="27" type="noConversion"/>
  </si>
  <si>
    <t>사무용품</t>
    <phoneticPr fontId="27" type="noConversion"/>
  </si>
  <si>
    <t>연구재료비 지원 (오세현, 강민구 교수님)</t>
    <phoneticPr fontId="27" type="noConversion"/>
  </si>
  <si>
    <t>연구재료비 지원 (우인규, 이철호 교수님)</t>
    <phoneticPr fontId="27" type="noConversion"/>
  </si>
  <si>
    <t>연구재료비 지원 (박철진, 정규원 교수님)</t>
    <phoneticPr fontId="27" type="noConversion"/>
  </si>
  <si>
    <t>(265,652,000 - 78,879,760) 만큼 본예산</t>
    <phoneticPr fontId="27" type="noConversion"/>
  </si>
  <si>
    <t>입찰 수수료</t>
    <phoneticPr fontId="27" type="noConversion"/>
  </si>
  <si>
    <t>입찰수수료 3건 (GPU, probe station, b1500)</t>
    <phoneticPr fontId="27" type="noConversion"/>
  </si>
  <si>
    <t>입찰수수료 1건 예정 (스위치매트릭스)</t>
    <phoneticPr fontId="27" type="noConversion"/>
  </si>
  <si>
    <t>합</t>
    <phoneticPr fontId="27" type="noConversion"/>
  </si>
  <si>
    <t>이용찬</t>
    <phoneticPr fontId="27" type="noConversion"/>
  </si>
  <si>
    <t>기차표 16(왕복) + 숙박비 12*2 = 40</t>
    <phoneticPr fontId="27" type="noConversion"/>
  </si>
  <si>
    <t>전찬희</t>
    <phoneticPr fontId="27" type="noConversion"/>
  </si>
  <si>
    <t>안재훈</t>
    <phoneticPr fontId="27" type="noConversion"/>
  </si>
  <si>
    <t>방서영</t>
    <phoneticPr fontId="27" type="noConversion"/>
  </si>
  <si>
    <t>정제승</t>
    <phoneticPr fontId="27" type="noConversion"/>
  </si>
  <si>
    <t>김민선</t>
    <phoneticPr fontId="27" type="noConversion"/>
  </si>
  <si>
    <t>노우성</t>
    <phoneticPr fontId="27" type="noConversion"/>
  </si>
  <si>
    <t>장지수</t>
    <phoneticPr fontId="27" type="noConversion"/>
  </si>
  <si>
    <t>신동빈</t>
    <phoneticPr fontId="27" type="noConversion"/>
  </si>
  <si>
    <t>장시원</t>
    <phoneticPr fontId="27" type="noConversion"/>
  </si>
  <si>
    <t>한동인</t>
    <phoneticPr fontId="27" type="noConversion"/>
  </si>
  <si>
    <t>남기백</t>
    <phoneticPr fontId="27" type="noConversion"/>
  </si>
  <si>
    <t>46,500천원 제외시 6.83억</t>
    <phoneticPr fontId="27" type="noConversion"/>
  </si>
  <si>
    <t>평균 약 750만</t>
    <phoneticPr fontId="27" type="noConversion"/>
  </si>
  <si>
    <t>기존 180장</t>
    <phoneticPr fontId="27" type="noConversion"/>
  </si>
  <si>
    <t>기존 50만</t>
    <phoneticPr fontId="27" type="noConversion"/>
  </si>
  <si>
    <t>미정</t>
    <phoneticPr fontId="27" type="noConversion"/>
  </si>
  <si>
    <t>MIT 학회등록비</t>
    <phoneticPr fontId="27" type="noConversion"/>
  </si>
  <si>
    <r>
      <t xml:space="preserve">350 USD </t>
    </r>
    <r>
      <rPr>
        <sz val="11"/>
        <color theme="1"/>
        <rFont val="맑은 고딕"/>
        <family val="2"/>
        <charset val="129"/>
      </rPr>
      <t xml:space="preserve">학회등록비: 사이트 </t>
    </r>
    <r>
      <rPr>
        <sz val="11"/>
        <color theme="1"/>
        <rFont val="Aptos Narrow"/>
        <family val="2"/>
      </rPr>
      <t xml:space="preserve">x </t>
    </r>
    <r>
      <rPr>
        <sz val="11"/>
        <color theme="1"/>
        <rFont val="맑은 고딕"/>
        <family val="2"/>
        <charset val="129"/>
      </rPr>
      <t>이메일 공지</t>
    </r>
    <phoneticPr fontId="27" type="noConversion"/>
  </si>
  <si>
    <t>ESTA 발급</t>
    <phoneticPr fontId="27" type="noConversion"/>
  </si>
  <si>
    <t>사무용품 (마우스, 랜선어댑터)</t>
    <phoneticPr fontId="27" type="noConversion"/>
  </si>
  <si>
    <t>편성 금액</t>
  </si>
  <si>
    <t>사용률</t>
  </si>
  <si>
    <t>예측 사용률</t>
  </si>
  <si>
    <t>시설, 장비</t>
  </si>
  <si>
    <t>이월예정액</t>
  </si>
  <si>
    <t>변경</t>
    <phoneticPr fontId="27" type="noConversion"/>
  </si>
  <si>
    <t xml:space="preserve">← </t>
  </si>
  <si>
    <t xml:space="preserve">↓ </t>
  </si>
  <si>
    <t>융합전공</t>
    <phoneticPr fontId="27" type="noConversion"/>
  </si>
  <si>
    <t>첨융</t>
    <phoneticPr fontId="27" type="noConversion"/>
  </si>
  <si>
    <t>변동폭</t>
    <phoneticPr fontId="27" type="noConversion"/>
  </si>
  <si>
    <t>장학금</t>
    <phoneticPr fontId="27" type="noConversion"/>
  </si>
  <si>
    <t>그 외</t>
    <phoneticPr fontId="27" type="noConversion"/>
  </si>
  <si>
    <t>3차년도 예산 관리 현황</t>
    <phoneticPr fontId="27" type="noConversion"/>
  </si>
  <si>
    <t>오세현 (강민구 교수님)</t>
    <phoneticPr fontId="27" type="noConversion"/>
  </si>
  <si>
    <t>우인규 (이철호 교수님)</t>
    <phoneticPr fontId="27" type="noConversion"/>
  </si>
  <si>
    <t>박철진 (정규원 교수님)</t>
    <phoneticPr fontId="27" type="noConversion"/>
  </si>
  <si>
    <t>총사업비</t>
    <phoneticPr fontId="27" type="noConversion"/>
  </si>
  <si>
    <t>(현시점 25.09.30 기준)</t>
    <phoneticPr fontId="27" type="noConversion"/>
  </si>
  <si>
    <t>(완료시 26.02.28 기준)</t>
    <phoneticPr fontId="27" type="noConversion"/>
  </si>
  <si>
    <t>미성사이언스</t>
    <phoneticPr fontId="27" type="noConversion"/>
  </si>
  <si>
    <t>아이넥서스 (연구보조용품 + 안전용품)</t>
    <phoneticPr fontId="27" type="noConversion"/>
  </si>
  <si>
    <t>세기트레이딩</t>
    <phoneticPr fontId="27" type="noConversion"/>
  </si>
  <si>
    <t>웨이퍼마켓</t>
    <phoneticPr fontId="27" type="noConversion"/>
  </si>
  <si>
    <t>아토사이언스</t>
    <phoneticPr fontId="27" type="noConversion"/>
  </si>
  <si>
    <t>afm tip</t>
    <phoneticPr fontId="27" type="noConversion"/>
  </si>
  <si>
    <t>sb2o3</t>
    <phoneticPr fontId="27" type="noConversion"/>
  </si>
  <si>
    <t>wafer</t>
    <phoneticPr fontId="27" type="noConversion"/>
  </si>
  <si>
    <t>저온측정팁</t>
    <phoneticPr fontId="27" type="noConversion"/>
  </si>
  <si>
    <t>구리스</t>
    <phoneticPr fontId="27" type="noConversion"/>
  </si>
  <si>
    <t>칩제작용 웨이퍼</t>
    <phoneticPr fontId="27" type="noConversion"/>
  </si>
  <si>
    <t>11월 말 컴공 GPU 3대 도입 예정 (100%)</t>
    <phoneticPr fontId="27" type="noConversion"/>
  </si>
  <si>
    <t>스위치매트릭스 : 입찰 완료, 최종 계약 금액 미정 (10%)</t>
    <phoneticPr fontId="27" type="noConversion"/>
  </si>
  <si>
    <t>첨융 칩 제작 공정처리비(23%) + 재료/공정처리비 지원 (20%)</t>
    <phoneticPr fontId="27" type="noConversion"/>
  </si>
  <si>
    <t>월별 순차지급 (40%) + 인센티브 (23%) 3차년도 종료후 일괄 지급</t>
    <phoneticPr fontId="27" type="noConversion"/>
  </si>
  <si>
    <t>Y</t>
    <phoneticPr fontId="27" type="noConversion"/>
  </si>
  <si>
    <t>O</t>
    <phoneticPr fontId="27" type="noConversion"/>
  </si>
  <si>
    <t>ESTA, MIT 학회등록비 사비결제 소명 예비</t>
    <phoneticPr fontId="27" type="noConversion"/>
  </si>
  <si>
    <t>11월 말 첨융 GPU 3대 + 프로브 스테이션 + B1500 도입 예정 (42%)</t>
    <phoneticPr fontId="27" type="noConversion"/>
  </si>
  <si>
    <t>ALD : 입찰서류 완료 (37%)</t>
    <phoneticPr fontId="27" type="noConversion"/>
  </si>
  <si>
    <t>출장 인솔 교수 여비 (IEEE ICCE-asia 2025, 10)</t>
    <phoneticPr fontId="27" type="noConversion"/>
  </si>
  <si>
    <r>
      <t>128 USD * 4</t>
    </r>
    <r>
      <rPr>
        <sz val="11"/>
        <color theme="1"/>
        <rFont val="맑은 고딕"/>
        <family val="2"/>
        <charset val="129"/>
      </rPr>
      <t xml:space="preserve">박 + 90 </t>
    </r>
    <r>
      <rPr>
        <sz val="11"/>
        <color theme="1"/>
        <rFont val="Aptos Narrow"/>
        <family val="2"/>
      </rPr>
      <t>USD * 5</t>
    </r>
    <r>
      <rPr>
        <sz val="11"/>
        <color theme="1"/>
        <rFont val="맑은 고딕"/>
        <family val="2"/>
        <charset val="129"/>
      </rPr>
      <t>일 (식비만)</t>
    </r>
    <phoneticPr fontId="27" type="noConversion"/>
  </si>
  <si>
    <r>
      <t xml:space="preserve">352,000,000 </t>
    </r>
    <r>
      <rPr>
        <sz val="11"/>
        <rFont val="맑은 고딕"/>
        <family val="2"/>
        <charset val="129"/>
      </rPr>
      <t>으로 최종계약 예상 (2100만 감소)</t>
    </r>
    <phoneticPr fontId="27" type="noConversion"/>
  </si>
  <si>
    <t>한호철 연구원 자료 반영 (25.10.01)</t>
    <phoneticPr fontId="27" type="noConversion"/>
  </si>
  <si>
    <t>숙박비 40*1 + 기차표 16(왕복) +식비 5*2 + 일비 5*2 = 76</t>
    <phoneticPr fontId="27" type="noConversion"/>
  </si>
  <si>
    <t>유니위크 분담금, 간담회 등 (15%)</t>
    <phoneticPr fontId="27" type="noConversion"/>
  </si>
  <si>
    <r>
      <t xml:space="preserve"> (∆: -4,011) </t>
    </r>
    <r>
      <rPr>
        <vertAlign val="superscript"/>
        <sz val="15"/>
        <color rgb="FF292929"/>
        <rFont val="함초롬돋움"/>
        <family val="3"/>
        <charset val="129"/>
      </rPr>
      <t>1) 2)</t>
    </r>
    <phoneticPr fontId="27" type="noConversion"/>
  </si>
  <si>
    <t>(0)</t>
  </si>
  <si>
    <t>(0)</t>
    <phoneticPr fontId="27" type="noConversion"/>
  </si>
  <si>
    <t>[천원]</t>
    <phoneticPr fontId="27" type="noConversion"/>
  </si>
  <si>
    <r>
      <t xml:space="preserve">예정 사용 내용 </t>
    </r>
    <r>
      <rPr>
        <sz val="12"/>
        <color rgb="FF292929"/>
        <rFont val="함초롬돋움"/>
        <family val="3"/>
        <charset val="129"/>
      </rPr>
      <t>(소진예정%)</t>
    </r>
    <phoneticPr fontId="27" type="noConversion"/>
  </si>
  <si>
    <t>교재개발비 11,400 연구활동비 이동 예정 (0.21%)</t>
    <phoneticPr fontId="27" type="noConversion"/>
  </si>
  <si>
    <t>최환히찬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</si>
</sst>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yyyy\-mm\-dd"/>
    <numFmt numFmtId="178" formatCode="0.0%"/>
    <numFmt numFmtId="179" formatCode="&quot;₩&quot;#,##0"/>
    <numFmt numFmtId="180" formatCode="0.00_);[Red]\(0.00\)"/>
    <numFmt numFmtId="181" formatCode="0.00_ "/>
    <numFmt numFmtId="182" formatCode="_-* #,##0_-;\-* #,##0_-;_-* &quot;-&quot;_-;_-@"/>
  </numFmts>
  <fonts count="48">
    <font>
      <sz val="11"/>
      <color theme="1"/>
      <name val="Aptos Narrow"/>
      <scheme val="minor"/>
    </font>
    <font>
      <b/>
      <sz val="22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name val="Aptos Narrow"/>
      <family val="2"/>
    </font>
    <font>
      <b/>
      <sz val="16"/>
      <color theme="1"/>
      <name val="Malgun Gothic"/>
      <family val="3"/>
      <charset val="129"/>
    </font>
    <font>
      <b/>
      <sz val="20"/>
      <color rgb="FF002060"/>
      <name val="Malgun Gothic"/>
      <family val="3"/>
      <charset val="129"/>
    </font>
    <font>
      <sz val="11"/>
      <color theme="1"/>
      <name val="Aptos Narrow"/>
      <family val="2"/>
    </font>
    <font>
      <b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sz val="13"/>
      <color rgb="FF000000"/>
      <name val="함초롬바탕"/>
      <family val="1"/>
      <charset val="129"/>
    </font>
    <font>
      <b/>
      <sz val="11"/>
      <color rgb="FF000000"/>
      <name val="함초롬바탕"/>
      <family val="1"/>
      <charset val="129"/>
    </font>
    <font>
      <sz val="11"/>
      <color rgb="FF000000"/>
      <name val="함초롬바탕"/>
      <family val="1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rgb="FF000000"/>
      <name val="함초롬바탕"/>
      <family val="1"/>
      <charset val="129"/>
    </font>
    <font>
      <sz val="10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rgb="FF00B050"/>
      <name val="Malgun Gothic"/>
      <family val="3"/>
      <charset val="129"/>
    </font>
    <font>
      <b/>
      <strike/>
      <sz val="10"/>
      <color rgb="FF000000"/>
      <name val="함초롬바탕"/>
      <family val="1"/>
      <charset val="129"/>
    </font>
    <font>
      <strike/>
      <sz val="10"/>
      <color rgb="FF000000"/>
      <name val="함초롬바탕"/>
      <family val="1"/>
      <charset val="129"/>
    </font>
    <font>
      <sz val="8"/>
      <name val="Aptos Narrow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ptos Narrow"/>
      <family val="2"/>
      <scheme val="minor"/>
    </font>
    <font>
      <sz val="11"/>
      <color theme="1"/>
      <name val="Malgun Gothic"/>
      <charset val="129"/>
    </font>
    <font>
      <sz val="11"/>
      <color theme="1"/>
      <name val="맑은 고딕"/>
      <family val="2"/>
      <charset val="129"/>
    </font>
    <font>
      <sz val="9"/>
      <color theme="1"/>
      <name val="Malgun Gothic"/>
      <family val="3"/>
      <charset val="129"/>
    </font>
    <font>
      <sz val="11"/>
      <name val="맑은 고딕"/>
      <family val="2"/>
      <charset val="129"/>
    </font>
    <font>
      <sz val="11"/>
      <name val="Malgun Gothic"/>
      <family val="2"/>
      <charset val="129"/>
    </font>
    <font>
      <sz val="16"/>
      <color rgb="FF292929"/>
      <name val="함초롬돋움"/>
      <family val="3"/>
      <charset val="129"/>
    </font>
    <font>
      <sz val="18"/>
      <name val="함초롬돋움"/>
      <family val="3"/>
      <charset val="129"/>
    </font>
    <font>
      <sz val="10"/>
      <color rgb="FF292929"/>
      <name val="함초롬돋움"/>
      <family val="3"/>
      <charset val="129"/>
    </font>
    <font>
      <sz val="17"/>
      <color rgb="FF292929"/>
      <name val="함초롬돋움"/>
      <family val="3"/>
      <charset val="129"/>
    </font>
    <font>
      <sz val="12"/>
      <color rgb="FF292929"/>
      <name val="함초롬돋움"/>
      <family val="3"/>
      <charset val="129"/>
    </font>
    <font>
      <sz val="11"/>
      <color theme="1"/>
      <name val="함초롬돋움"/>
      <family val="3"/>
      <charset val="129"/>
    </font>
    <font>
      <b/>
      <sz val="60"/>
      <color theme="1"/>
      <name val="맑은 고딕"/>
      <family val="3"/>
      <charset val="129"/>
    </font>
    <font>
      <sz val="60"/>
      <color theme="1"/>
      <name val="Aptos Narrow"/>
      <family val="2"/>
      <scheme val="minor"/>
    </font>
    <font>
      <b/>
      <sz val="17"/>
      <color rgb="FF292929"/>
      <name val="함초롬돋움"/>
      <family val="3"/>
      <charset val="129"/>
    </font>
    <font>
      <sz val="17"/>
      <name val="함초롬돋움"/>
      <family val="3"/>
      <charset val="129"/>
    </font>
    <font>
      <sz val="15"/>
      <color rgb="FF292929"/>
      <name val="함초롬돋움"/>
      <family val="3"/>
      <charset val="129"/>
    </font>
    <font>
      <vertAlign val="superscript"/>
      <sz val="15"/>
      <color rgb="FF292929"/>
      <name val="함초롬돋움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1E4F5"/>
        <bgColor rgb="FFC1E4F5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C1F0C8"/>
        <bgColor rgb="FFC1F0C8"/>
      </patternFill>
    </fill>
    <fill>
      <patternFill patternType="solid">
        <fgColor rgb="FF83CAEB"/>
        <bgColor rgb="FF83CAEB"/>
      </patternFill>
    </fill>
    <fill>
      <patternFill patternType="solid">
        <fgColor rgb="FFFDFEEB"/>
        <bgColor rgb="FFFDFEEB"/>
      </patternFill>
    </fill>
    <fill>
      <patternFill patternType="solid">
        <fgColor rgb="FFFFE7D7"/>
        <bgColor rgb="FFFFE7D7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BE9F7"/>
      </patternFill>
    </fill>
    <fill>
      <patternFill patternType="solid">
        <fgColor rgb="FFFFFF00"/>
        <bgColor rgb="FFC1E4F5"/>
      </patternFill>
    </fill>
    <fill>
      <patternFill patternType="solid">
        <fgColor theme="4" tint="0.79998168889431442"/>
        <bgColor rgb="FFC1E4F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7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ck">
        <color rgb="FF595959"/>
      </bottom>
      <diagonal/>
    </border>
    <border>
      <left style="thick">
        <color rgb="FF595959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/>
      <diagonal/>
    </border>
    <border>
      <left/>
      <right/>
      <top style="thick">
        <color rgb="FF595959"/>
      </top>
      <bottom/>
      <diagonal/>
    </border>
    <border>
      <left/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/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595959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/>
      <diagonal/>
    </border>
    <border>
      <left style="thick">
        <color rgb="FF595959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ck">
        <color rgb="FF595959"/>
      </bottom>
      <diagonal/>
    </border>
    <border>
      <left style="thick">
        <color rgb="FF595959"/>
      </left>
      <right/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 style="thin">
        <color rgb="FF000000"/>
      </bottom>
      <diagonal/>
    </border>
    <border>
      <left/>
      <right/>
      <top style="thick">
        <color rgb="FF595959"/>
      </top>
      <bottom style="thin">
        <color rgb="FF000000"/>
      </bottom>
      <diagonal/>
    </border>
    <border>
      <left/>
      <right style="thick">
        <color rgb="FF595959"/>
      </right>
      <top style="thick">
        <color rgb="FF595959"/>
      </top>
      <bottom style="thin">
        <color rgb="FF000000"/>
      </bottom>
      <diagonal/>
    </border>
    <border>
      <left style="thick">
        <color rgb="FF595959"/>
      </left>
      <right/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/>
      <diagonal/>
    </border>
    <border>
      <left style="thick">
        <color rgb="FF595959"/>
      </left>
      <right/>
      <top style="thin">
        <color rgb="FF000000"/>
      </top>
      <bottom style="thin">
        <color rgb="FF000000"/>
      </bottom>
      <diagonal/>
    </border>
    <border>
      <left style="thick">
        <color rgb="FF595959"/>
      </left>
      <right/>
      <top style="thin">
        <color rgb="FF000000"/>
      </top>
      <bottom style="thick">
        <color rgb="FF595959"/>
      </bottom>
      <diagonal/>
    </border>
    <border>
      <left/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292929"/>
      </left>
      <right/>
      <top/>
      <bottom/>
      <diagonal/>
    </border>
    <border>
      <left/>
      <right style="medium">
        <color rgb="FFBABABA"/>
      </right>
      <top/>
      <bottom/>
      <diagonal/>
    </border>
    <border>
      <left style="medium">
        <color rgb="FFBABABA"/>
      </left>
      <right style="medium">
        <color rgb="FFBABABA"/>
      </right>
      <top/>
      <bottom/>
      <diagonal/>
    </border>
    <border>
      <left style="medium">
        <color rgb="FF292929"/>
      </left>
      <right/>
      <top style="medium">
        <color rgb="FF292929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 style="medium">
        <color rgb="FFBABABA"/>
      </bottom>
      <diagonal/>
    </border>
    <border>
      <left style="medium">
        <color rgb="FF292929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292929"/>
      </left>
      <right style="medium">
        <color rgb="FFBABABA"/>
      </right>
      <top/>
      <bottom style="medium">
        <color rgb="FFBABABA"/>
      </bottom>
      <diagonal/>
    </border>
    <border>
      <left/>
      <right style="medium">
        <color rgb="FFBABABA"/>
      </right>
      <top/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/>
      <bottom style="medium">
        <color rgb="FFBABABA"/>
      </bottom>
      <diagonal/>
    </border>
    <border>
      <left style="medium">
        <color rgb="FF292929"/>
      </left>
      <right/>
      <top style="medium">
        <color rgb="FFBABABA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medium">
        <color rgb="FFBABABA"/>
      </top>
      <bottom/>
      <diagonal/>
    </border>
    <border>
      <left/>
      <right/>
      <top/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 style="medium">
        <color rgb="FFBABABA"/>
      </top>
      <bottom/>
      <diagonal/>
    </border>
    <border>
      <left style="medium">
        <color rgb="FF292929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rgb="FFBABABA"/>
      </bottom>
      <diagonal/>
    </border>
    <border>
      <left/>
      <right style="medium">
        <color rgb="FFBABABA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 style="medium">
        <color theme="0" tint="-0.249977111117893"/>
      </top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/>
      <diagonal/>
    </border>
    <border>
      <left/>
      <right style="medium">
        <color rgb="FFBABABA"/>
      </right>
      <top style="medium">
        <color theme="0" tint="-0.249977111117893"/>
      </top>
      <bottom/>
      <diagonal/>
    </border>
    <border>
      <left/>
      <right/>
      <top style="medium">
        <color rgb="FF292929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rgb="FF292929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1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/>
      <diagonal/>
    </border>
    <border>
      <left style="medium">
        <color rgb="FFBABABA"/>
      </left>
      <right style="medium">
        <color rgb="FFBABABA"/>
      </right>
      <top/>
      <bottom style="medium">
        <color theme="0" tint="-0.249977111117893"/>
      </bottom>
      <diagonal/>
    </border>
    <border>
      <left style="medium">
        <color rgb="FF292929"/>
      </left>
      <right/>
      <top style="medium">
        <color theme="0"/>
      </top>
      <bottom style="medium">
        <color rgb="FF292929"/>
      </bottom>
      <diagonal/>
    </border>
    <border>
      <left/>
      <right/>
      <top style="medium">
        <color theme="0"/>
      </top>
      <bottom style="medium">
        <color rgb="FF292929"/>
      </bottom>
      <diagonal/>
    </border>
    <border>
      <left/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 style="medium">
        <color theme="1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292929"/>
      </bottom>
      <diagonal/>
    </border>
    <border>
      <left style="medium">
        <color theme="0"/>
      </left>
      <right style="medium">
        <color rgb="FF292929"/>
      </right>
      <top/>
      <bottom/>
      <diagonal/>
    </border>
    <border>
      <left style="medium">
        <color theme="0"/>
      </left>
      <right style="medium">
        <color rgb="FF292929"/>
      </right>
      <top style="medium">
        <color rgb="FF292929"/>
      </top>
      <bottom style="medium">
        <color rgb="FFBABABA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rgb="FF292929"/>
      </right>
      <top style="medium">
        <color rgb="FFBABABA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BABABA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 tint="-0.249977111117893"/>
      </left>
      <right style="medium">
        <color theme="0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/>
      <bottom style="medium">
        <color rgb="FF292929"/>
      </bottom>
      <diagonal/>
    </border>
    <border>
      <left style="medium">
        <color theme="1"/>
      </left>
      <right style="medium">
        <color theme="0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/>
      <diagonal/>
    </border>
    <border>
      <left style="medium">
        <color rgb="FFBABABA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rgb="FFBABABA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292929"/>
      </top>
      <bottom style="medium">
        <color theme="0" tint="-0.249977111117893"/>
      </bottom>
      <diagonal/>
    </border>
    <border>
      <left style="medium">
        <color rgb="FF292929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/>
      <top style="medium">
        <color rgb="FFBABABA"/>
      </top>
      <bottom style="medium">
        <color rgb="FFBABABA"/>
      </bottom>
      <diagonal/>
    </border>
    <border>
      <left style="medium">
        <color theme="0"/>
      </left>
      <right style="medium">
        <color theme="0" tint="-0.249977111117893"/>
      </right>
      <top style="medium">
        <color rgb="FFBABABA"/>
      </top>
      <bottom style="medium">
        <color rgb="FFBABABA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rgb="FF292929"/>
      </left>
      <right/>
      <top style="medium">
        <color rgb="FFBABABA"/>
      </top>
      <bottom style="medium">
        <color theme="0" tint="-0.249977111117893"/>
      </bottom>
      <diagonal/>
    </border>
    <border>
      <left/>
      <right/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</borders>
  <cellStyleXfs count="1">
    <xf numFmtId="0" fontId="0" fillId="0" borderId="0"/>
  </cellStyleXfs>
  <cellXfs count="591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3" fillId="0" borderId="12" xfId="0" applyNumberFormat="1" applyFont="1" applyBorder="1" applyAlignment="1">
      <alignment vertical="center" wrapText="1"/>
    </xf>
    <xf numFmtId="176" fontId="3" fillId="0" borderId="0" xfId="0" applyNumberFormat="1" applyFont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14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vertical="center"/>
    </xf>
    <xf numFmtId="176" fontId="2" fillId="0" borderId="9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13" xfId="0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 wrapText="1"/>
    </xf>
    <xf numFmtId="176" fontId="3" fillId="2" borderId="1" xfId="0" applyNumberFormat="1" applyFont="1" applyFill="1" applyBorder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vertical="center"/>
    </xf>
    <xf numFmtId="176" fontId="3" fillId="0" borderId="13" xfId="0" applyNumberFormat="1" applyFont="1" applyBorder="1" applyAlignment="1">
      <alignment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6" borderId="21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3" fillId="6" borderId="5" xfId="0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" fillId="7" borderId="1" xfId="0" applyFont="1" applyFill="1" applyBorder="1" applyAlignment="1">
      <alignment vertical="center"/>
    </xf>
    <xf numFmtId="179" fontId="5" fillId="0" borderId="0" xfId="0" applyNumberFormat="1" applyFont="1" applyAlignment="1">
      <alignment vertical="center"/>
    </xf>
    <xf numFmtId="3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7" fontId="8" fillId="7" borderId="5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vertical="center"/>
    </xf>
    <xf numFmtId="176" fontId="3" fillId="5" borderId="1" xfId="0" applyNumberFormat="1" applyFont="1" applyFill="1" applyBorder="1" applyAlignment="1">
      <alignment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38" fontId="3" fillId="8" borderId="24" xfId="0" applyNumberFormat="1" applyFont="1" applyFill="1" applyBorder="1" applyAlignment="1">
      <alignment horizontal="center" vertical="center"/>
    </xf>
    <xf numFmtId="3" fontId="3" fillId="8" borderId="24" xfId="0" applyNumberFormat="1" applyFont="1" applyFill="1" applyBorder="1" applyAlignment="1">
      <alignment horizontal="center" vertical="center"/>
    </xf>
    <xf numFmtId="177" fontId="3" fillId="8" borderId="24" xfId="0" applyNumberFormat="1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178" fontId="3" fillId="8" borderId="28" xfId="0" applyNumberFormat="1" applyFont="1" applyFill="1" applyBorder="1" applyAlignment="1">
      <alignment horizontal="center" vertical="center"/>
    </xf>
    <xf numFmtId="177" fontId="3" fillId="4" borderId="5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177" fontId="2" fillId="0" borderId="5" xfId="0" applyNumberFormat="1" applyFont="1" applyBorder="1" applyAlignment="1">
      <alignment vertical="center"/>
    </xf>
    <xf numFmtId="3" fontId="2" fillId="10" borderId="5" xfId="0" applyNumberFormat="1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177" fontId="2" fillId="10" borderId="5" xfId="0" applyNumberFormat="1" applyFont="1" applyFill="1" applyBorder="1" applyAlignment="1">
      <alignment vertical="center"/>
    </xf>
    <xf numFmtId="178" fontId="2" fillId="10" borderId="5" xfId="0" applyNumberFormat="1" applyFont="1" applyFill="1" applyBorder="1" applyAlignment="1">
      <alignment vertical="center"/>
    </xf>
    <xf numFmtId="38" fontId="2" fillId="0" borderId="5" xfId="0" applyNumberFormat="1" applyFont="1" applyBorder="1" applyAlignment="1">
      <alignment vertical="center"/>
    </xf>
    <xf numFmtId="178" fontId="2" fillId="0" borderId="5" xfId="0" applyNumberFormat="1" applyFont="1" applyBorder="1" applyAlignment="1">
      <alignment vertical="center"/>
    </xf>
    <xf numFmtId="38" fontId="2" fillId="10" borderId="5" xfId="0" applyNumberFormat="1" applyFont="1" applyFill="1" applyBorder="1" applyAlignment="1">
      <alignment vertical="center"/>
    </xf>
    <xf numFmtId="3" fontId="2" fillId="10" borderId="21" xfId="0" applyNumberFormat="1" applyFont="1" applyFill="1" applyBorder="1" applyAlignment="1">
      <alignment vertical="center"/>
    </xf>
    <xf numFmtId="38" fontId="8" fillId="11" borderId="4" xfId="0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3" fontId="2" fillId="4" borderId="5" xfId="0" applyNumberFormat="1" applyFont="1" applyFill="1" applyBorder="1" applyAlignment="1">
      <alignment vertical="center"/>
    </xf>
    <xf numFmtId="38" fontId="2" fillId="4" borderId="5" xfId="0" applyNumberFormat="1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3" fontId="8" fillId="11" borderId="4" xfId="0" applyNumberFormat="1" applyFont="1" applyFill="1" applyBorder="1" applyAlignment="1">
      <alignment horizontal="center" vertical="center"/>
    </xf>
    <xf numFmtId="178" fontId="2" fillId="4" borderId="5" xfId="0" applyNumberFormat="1" applyFont="1" applyFill="1" applyBorder="1" applyAlignment="1">
      <alignment vertical="center"/>
    </xf>
    <xf numFmtId="38" fontId="2" fillId="0" borderId="10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3" fontId="2" fillId="4" borderId="21" xfId="0" applyNumberFormat="1" applyFont="1" applyFill="1" applyBorder="1" applyAlignment="1">
      <alignment vertical="center"/>
    </xf>
    <xf numFmtId="38" fontId="2" fillId="4" borderId="21" xfId="0" applyNumberFormat="1" applyFont="1" applyFill="1" applyBorder="1" applyAlignment="1">
      <alignment vertical="center"/>
    </xf>
    <xf numFmtId="0" fontId="2" fillId="4" borderId="35" xfId="0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vertical="center"/>
    </xf>
    <xf numFmtId="38" fontId="2" fillId="5" borderId="40" xfId="0" applyNumberFormat="1" applyFont="1" applyFill="1" applyBorder="1" applyAlignment="1">
      <alignment vertical="center"/>
    </xf>
    <xf numFmtId="3" fontId="2" fillId="5" borderId="39" xfId="0" applyNumberFormat="1" applyFont="1" applyFill="1" applyBorder="1" applyAlignment="1">
      <alignment vertical="center"/>
    </xf>
    <xf numFmtId="3" fontId="2" fillId="5" borderId="40" xfId="0" applyNumberFormat="1" applyFont="1" applyFill="1" applyBorder="1" applyAlignment="1">
      <alignment vertical="center"/>
    </xf>
    <xf numFmtId="177" fontId="2" fillId="5" borderId="39" xfId="0" applyNumberFormat="1" applyFont="1" applyFill="1" applyBorder="1" applyAlignment="1">
      <alignment vertical="center"/>
    </xf>
    <xf numFmtId="178" fontId="2" fillId="5" borderId="41" xfId="0" applyNumberFormat="1" applyFont="1" applyFill="1" applyBorder="1" applyAlignment="1">
      <alignment vertical="center"/>
    </xf>
    <xf numFmtId="38" fontId="2" fillId="0" borderId="0" xfId="0" applyNumberFormat="1" applyFont="1" applyAlignment="1">
      <alignment vertical="center"/>
    </xf>
    <xf numFmtId="0" fontId="4" fillId="0" borderId="43" xfId="0" applyFont="1" applyBorder="1" applyAlignment="1">
      <alignment vertical="center"/>
    </xf>
    <xf numFmtId="176" fontId="7" fillId="0" borderId="0" xfId="0" applyNumberFormat="1" applyFont="1" applyAlignment="1">
      <alignment vertical="center"/>
    </xf>
    <xf numFmtId="177" fontId="9" fillId="7" borderId="5" xfId="0" applyNumberFormat="1" applyFont="1" applyFill="1" applyBorder="1" applyAlignment="1">
      <alignment horizontal="center" vertical="center"/>
    </xf>
    <xf numFmtId="177" fontId="11" fillId="4" borderId="5" xfId="0" applyNumberFormat="1" applyFont="1" applyFill="1" applyBorder="1" applyAlignment="1">
      <alignment horizontal="center" vertical="center"/>
    </xf>
    <xf numFmtId="3" fontId="12" fillId="4" borderId="5" xfId="0" applyNumberFormat="1" applyFont="1" applyFill="1" applyBorder="1" applyAlignment="1">
      <alignment horizontal="center" vertical="center"/>
    </xf>
    <xf numFmtId="178" fontId="13" fillId="4" borderId="5" xfId="0" applyNumberFormat="1" applyFont="1" applyFill="1" applyBorder="1" applyAlignment="1">
      <alignment horizontal="center" vertical="center"/>
    </xf>
    <xf numFmtId="3" fontId="14" fillId="5" borderId="1" xfId="0" applyNumberFormat="1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7" fillId="12" borderId="54" xfId="0" applyFont="1" applyFill="1" applyBorder="1" applyAlignment="1">
      <alignment horizontal="center" vertical="center" wrapText="1"/>
    </xf>
    <xf numFmtId="0" fontId="17" fillId="12" borderId="34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3" borderId="21" xfId="0" applyFont="1" applyFill="1" applyBorder="1" applyAlignment="1">
      <alignment horizontal="center" vertical="center" wrapText="1"/>
    </xf>
    <xf numFmtId="0" fontId="18" fillId="13" borderId="56" xfId="0" applyFont="1" applyFill="1" applyBorder="1" applyAlignment="1">
      <alignment horizontal="center" vertical="center" wrapText="1"/>
    </xf>
    <xf numFmtId="0" fontId="17" fillId="12" borderId="58" xfId="0" applyFont="1" applyFill="1" applyBorder="1" applyAlignment="1">
      <alignment horizontal="center" vertical="center" wrapText="1"/>
    </xf>
    <xf numFmtId="0" fontId="17" fillId="12" borderId="59" xfId="0" applyFont="1" applyFill="1" applyBorder="1" applyAlignment="1">
      <alignment horizontal="center" vertical="center" wrapText="1"/>
    </xf>
    <xf numFmtId="0" fontId="2" fillId="12" borderId="59" xfId="0" applyFont="1" applyFill="1" applyBorder="1" applyAlignment="1">
      <alignment vertical="center" wrapText="1"/>
    </xf>
    <xf numFmtId="0" fontId="17" fillId="13" borderId="59" xfId="0" applyFont="1" applyFill="1" applyBorder="1" applyAlignment="1">
      <alignment horizontal="center" vertical="center" wrapText="1"/>
    </xf>
    <xf numFmtId="0" fontId="18" fillId="13" borderId="60" xfId="0" applyFont="1" applyFill="1" applyBorder="1" applyAlignment="1">
      <alignment horizontal="center" vertical="center" wrapText="1"/>
    </xf>
    <xf numFmtId="0" fontId="17" fillId="0" borderId="61" xfId="0" applyFont="1" applyBorder="1" applyAlignment="1">
      <alignment horizontal="center" vertical="center" wrapText="1"/>
    </xf>
    <xf numFmtId="3" fontId="18" fillId="0" borderId="62" xfId="0" applyNumberFormat="1" applyFont="1" applyBorder="1" applyAlignment="1">
      <alignment horizontal="center" vertical="center" wrapText="1"/>
    </xf>
    <xf numFmtId="4" fontId="18" fillId="0" borderId="62" xfId="0" applyNumberFormat="1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180" fontId="18" fillId="0" borderId="62" xfId="0" applyNumberFormat="1" applyFont="1" applyBorder="1" applyAlignment="1">
      <alignment horizontal="center" vertical="center" wrapText="1"/>
    </xf>
    <xf numFmtId="181" fontId="18" fillId="0" borderId="62" xfId="0" applyNumberFormat="1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2" xfId="0" quotePrefix="1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180" fontId="18" fillId="0" borderId="64" xfId="0" applyNumberFormat="1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4" fontId="18" fillId="0" borderId="64" xfId="0" applyNumberFormat="1" applyFont="1" applyBorder="1" applyAlignment="1">
      <alignment horizontal="center" vertical="center" wrapText="1"/>
    </xf>
    <xf numFmtId="4" fontId="18" fillId="0" borderId="66" xfId="0" applyNumberFormat="1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180" fontId="18" fillId="0" borderId="66" xfId="0" applyNumberFormat="1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7" fillId="14" borderId="61" xfId="0" applyFont="1" applyFill="1" applyBorder="1" applyAlignment="1">
      <alignment horizontal="center" vertical="center" wrapText="1"/>
    </xf>
    <xf numFmtId="3" fontId="18" fillId="14" borderId="5" xfId="0" applyNumberFormat="1" applyFont="1" applyFill="1" applyBorder="1" applyAlignment="1">
      <alignment horizontal="center" vertical="center" wrapText="1"/>
    </xf>
    <xf numFmtId="4" fontId="18" fillId="14" borderId="5" xfId="0" applyNumberFormat="1" applyFont="1" applyFill="1" applyBorder="1" applyAlignment="1">
      <alignment horizontal="center" vertical="center" wrapText="1"/>
    </xf>
    <xf numFmtId="0" fontId="18" fillId="14" borderId="5" xfId="0" applyFont="1" applyFill="1" applyBorder="1" applyAlignment="1">
      <alignment horizontal="center" vertical="center" wrapText="1"/>
    </xf>
    <xf numFmtId="180" fontId="18" fillId="14" borderId="5" xfId="0" applyNumberFormat="1" applyFont="1" applyFill="1" applyBorder="1" applyAlignment="1">
      <alignment horizontal="center" vertical="center" wrapText="1"/>
    </xf>
    <xf numFmtId="181" fontId="18" fillId="14" borderId="5" xfId="0" applyNumberFormat="1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center" vertical="center" wrapText="1"/>
    </xf>
    <xf numFmtId="0" fontId="19" fillId="14" borderId="5" xfId="0" quotePrefix="1" applyFont="1" applyFill="1" applyBorder="1" applyAlignment="1">
      <alignment horizontal="center" vertical="center" wrapText="1"/>
    </xf>
    <xf numFmtId="0" fontId="19" fillId="14" borderId="68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80" fontId="18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" xfId="0" quotePrefix="1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7" fillId="12" borderId="69" xfId="0" applyFont="1" applyFill="1" applyBorder="1" applyAlignment="1">
      <alignment horizontal="center" vertical="center" wrapText="1"/>
    </xf>
    <xf numFmtId="3" fontId="17" fillId="12" borderId="70" xfId="0" applyNumberFormat="1" applyFont="1" applyFill="1" applyBorder="1" applyAlignment="1">
      <alignment horizontal="center" vertical="center" wrapText="1"/>
    </xf>
    <xf numFmtId="4" fontId="17" fillId="12" borderId="70" xfId="0" applyNumberFormat="1" applyFont="1" applyFill="1" applyBorder="1" applyAlignment="1">
      <alignment horizontal="center" vertical="center" wrapText="1"/>
    </xf>
    <xf numFmtId="0" fontId="17" fillId="12" borderId="70" xfId="0" applyFont="1" applyFill="1" applyBorder="1" applyAlignment="1">
      <alignment horizontal="center" vertical="center" wrapText="1"/>
    </xf>
    <xf numFmtId="180" fontId="17" fillId="12" borderId="70" xfId="0" applyNumberFormat="1" applyFont="1" applyFill="1" applyBorder="1" applyAlignment="1">
      <alignment horizontal="center" vertical="center" wrapText="1"/>
    </xf>
    <xf numFmtId="181" fontId="17" fillId="12" borderId="70" xfId="0" applyNumberFormat="1" applyFont="1" applyFill="1" applyBorder="1" applyAlignment="1">
      <alignment horizontal="center" vertical="center" wrapText="1"/>
    </xf>
    <xf numFmtId="0" fontId="20" fillId="12" borderId="70" xfId="0" applyFont="1" applyFill="1" applyBorder="1" applyAlignment="1">
      <alignment horizontal="center" vertical="center" wrapText="1"/>
    </xf>
    <xf numFmtId="0" fontId="20" fillId="12" borderId="70" xfId="0" quotePrefix="1" applyFont="1" applyFill="1" applyBorder="1" applyAlignment="1">
      <alignment horizontal="center" vertical="center" wrapText="1"/>
    </xf>
    <xf numFmtId="0" fontId="20" fillId="12" borderId="7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82" fontId="2" fillId="0" borderId="0" xfId="0" applyNumberFormat="1" applyFont="1" applyAlignment="1">
      <alignment vertical="center"/>
    </xf>
    <xf numFmtId="182" fontId="3" fillId="15" borderId="5" xfId="0" applyNumberFormat="1" applyFont="1" applyFill="1" applyBorder="1" applyAlignment="1">
      <alignment vertical="center"/>
    </xf>
    <xf numFmtId="182" fontId="23" fillId="0" borderId="5" xfId="0" applyNumberFormat="1" applyFont="1" applyBorder="1" applyAlignment="1">
      <alignment vertical="center"/>
    </xf>
    <xf numFmtId="182" fontId="2" fillId="0" borderId="5" xfId="0" applyNumberFormat="1" applyFont="1" applyBorder="1" applyAlignment="1">
      <alignment vertical="center"/>
    </xf>
    <xf numFmtId="182" fontId="3" fillId="15" borderId="21" xfId="0" applyNumberFormat="1" applyFont="1" applyFill="1" applyBorder="1" applyAlignment="1">
      <alignment vertical="center"/>
    </xf>
    <xf numFmtId="182" fontId="23" fillId="0" borderId="6" xfId="0" applyNumberFormat="1" applyFont="1" applyBorder="1" applyAlignment="1">
      <alignment vertical="center"/>
    </xf>
    <xf numFmtId="182" fontId="24" fillId="0" borderId="5" xfId="0" applyNumberFormat="1" applyFont="1" applyBorder="1" applyAlignment="1">
      <alignment vertical="center"/>
    </xf>
    <xf numFmtId="182" fontId="3" fillId="0" borderId="0" xfId="0" applyNumberFormat="1" applyFont="1" applyAlignment="1">
      <alignment vertical="center"/>
    </xf>
    <xf numFmtId="182" fontId="23" fillId="0" borderId="0" xfId="0" applyNumberFormat="1" applyFont="1" applyAlignment="1">
      <alignment vertical="center"/>
    </xf>
    <xf numFmtId="182" fontId="24" fillId="0" borderId="0" xfId="0" applyNumberFormat="1" applyFont="1" applyAlignment="1">
      <alignment vertical="center"/>
    </xf>
    <xf numFmtId="0" fontId="17" fillId="13" borderId="5" xfId="0" applyFont="1" applyFill="1" applyBorder="1" applyAlignment="1">
      <alignment horizontal="center" vertical="center" wrapText="1"/>
    </xf>
    <xf numFmtId="0" fontId="17" fillId="13" borderId="68" xfId="0" applyFont="1" applyFill="1" applyBorder="1" applyAlignment="1">
      <alignment horizontal="center" vertical="center" wrapText="1"/>
    </xf>
    <xf numFmtId="180" fontId="19" fillId="0" borderId="5" xfId="0" applyNumberFormat="1" applyFont="1" applyBorder="1" applyAlignment="1">
      <alignment horizontal="center" vertical="center" wrapText="1"/>
    </xf>
    <xf numFmtId="180" fontId="19" fillId="14" borderId="5" xfId="0" applyNumberFormat="1" applyFont="1" applyFill="1" applyBorder="1" applyAlignment="1">
      <alignment horizontal="center" vertical="center" wrapText="1"/>
    </xf>
    <xf numFmtId="0" fontId="17" fillId="0" borderId="78" xfId="0" applyFont="1" applyBorder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180" fontId="19" fillId="0" borderId="6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180" fontId="20" fillId="12" borderId="70" xfId="0" applyNumberFormat="1" applyFont="1" applyFill="1" applyBorder="1" applyAlignment="1">
      <alignment horizontal="center" vertical="center" wrapText="1"/>
    </xf>
    <xf numFmtId="0" fontId="19" fillId="12" borderId="70" xfId="0" applyFont="1" applyFill="1" applyBorder="1" applyAlignment="1">
      <alignment horizontal="center" vertical="center" wrapText="1"/>
    </xf>
    <xf numFmtId="0" fontId="25" fillId="14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176" fontId="2" fillId="0" borderId="59" xfId="0" applyNumberFormat="1" applyFont="1" applyBorder="1" applyAlignment="1">
      <alignment horizontal="center"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43" xfId="0" applyNumberFormat="1" applyFont="1" applyBorder="1" applyAlignment="1">
      <alignment vertical="center"/>
    </xf>
    <xf numFmtId="176" fontId="3" fillId="0" borderId="21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right" vertical="center"/>
    </xf>
    <xf numFmtId="176" fontId="2" fillId="0" borderId="35" xfId="0" applyNumberFormat="1" applyFont="1" applyBorder="1" applyAlignment="1">
      <alignment vertical="center"/>
    </xf>
    <xf numFmtId="176" fontId="3" fillId="0" borderId="59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vertical="center" wrapText="1"/>
    </xf>
    <xf numFmtId="0" fontId="28" fillId="0" borderId="12" xfId="0" applyFont="1" applyBorder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30" fillId="0" borderId="0" xfId="0" applyFont="1" applyAlignment="1">
      <alignment vertical="center"/>
    </xf>
    <xf numFmtId="176" fontId="2" fillId="0" borderId="22" xfId="0" applyNumberFormat="1" applyFont="1" applyBorder="1" applyAlignment="1">
      <alignment horizontal="center" vertical="center"/>
    </xf>
    <xf numFmtId="176" fontId="2" fillId="0" borderId="58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right" vertical="center"/>
    </xf>
    <xf numFmtId="176" fontId="2" fillId="0" borderId="82" xfId="0" applyNumberFormat="1" applyFont="1" applyBorder="1" applyAlignment="1">
      <alignment horizontal="right" vertical="center"/>
    </xf>
    <xf numFmtId="176" fontId="3" fillId="16" borderId="4" xfId="0" applyNumberFormat="1" applyFont="1" applyFill="1" applyBorder="1" applyAlignment="1">
      <alignment horizontal="center" vertical="center"/>
    </xf>
    <xf numFmtId="176" fontId="3" fillId="17" borderId="4" xfId="0" applyNumberFormat="1" applyFont="1" applyFill="1" applyBorder="1" applyAlignment="1">
      <alignment horizontal="center" vertical="center"/>
    </xf>
    <xf numFmtId="176" fontId="4" fillId="0" borderId="43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31" fillId="0" borderId="82" xfId="0" applyFont="1" applyBorder="1" applyAlignment="1">
      <alignment vertical="center"/>
    </xf>
    <xf numFmtId="176" fontId="3" fillId="18" borderId="4" xfId="0" applyNumberFormat="1" applyFont="1" applyFill="1" applyBorder="1" applyAlignment="1">
      <alignment horizontal="center" vertical="center"/>
    </xf>
    <xf numFmtId="176" fontId="2" fillId="0" borderId="21" xfId="0" applyNumberFormat="1" applyFont="1" applyBorder="1" applyAlignment="1">
      <alignment vertical="center"/>
    </xf>
    <xf numFmtId="176" fontId="2" fillId="0" borderId="37" xfId="0" applyNumberFormat="1" applyFont="1" applyBorder="1" applyAlignment="1">
      <alignment vertical="center"/>
    </xf>
    <xf numFmtId="176" fontId="2" fillId="0" borderId="22" xfId="0" applyNumberFormat="1" applyFont="1" applyBorder="1" applyAlignment="1">
      <alignment horizontal="right" vertical="center"/>
    </xf>
    <xf numFmtId="176" fontId="2" fillId="0" borderId="43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vertical="center"/>
    </xf>
    <xf numFmtId="38" fontId="2" fillId="0" borderId="5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176" fontId="8" fillId="4" borderId="1" xfId="0" applyNumberFormat="1" applyFont="1" applyFill="1" applyBorder="1" applyAlignment="1">
      <alignment vertical="center"/>
    </xf>
    <xf numFmtId="176" fontId="8" fillId="5" borderId="1" xfId="0" applyNumberFormat="1" applyFont="1" applyFill="1" applyBorder="1" applyAlignment="1">
      <alignment vertical="center"/>
    </xf>
    <xf numFmtId="10" fontId="8" fillId="4" borderId="1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33" fillId="19" borderId="0" xfId="0" applyNumberFormat="1" applyFont="1" applyFill="1" applyAlignment="1">
      <alignment horizontal="center" vertical="center"/>
    </xf>
    <xf numFmtId="176" fontId="3" fillId="0" borderId="43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0" fillId="0" borderId="43" xfId="0" applyBorder="1" applyAlignment="1">
      <alignment vertical="center"/>
    </xf>
    <xf numFmtId="176" fontId="2" fillId="0" borderId="30" xfId="0" applyNumberFormat="1" applyFont="1" applyBorder="1" applyAlignment="1">
      <alignment horizontal="right" vertical="center"/>
    </xf>
    <xf numFmtId="177" fontId="2" fillId="0" borderId="22" xfId="0" applyNumberFormat="1" applyFont="1" applyBorder="1" applyAlignment="1">
      <alignment vertical="center"/>
    </xf>
    <xf numFmtId="176" fontId="7" fillId="0" borderId="43" xfId="0" applyNumberFormat="1" applyFont="1" applyBorder="1" applyAlignment="1">
      <alignment vertical="center"/>
    </xf>
    <xf numFmtId="3" fontId="2" fillId="0" borderId="21" xfId="0" applyNumberFormat="1" applyFont="1" applyBorder="1" applyAlignment="1">
      <alignment vertical="center"/>
    </xf>
    <xf numFmtId="3" fontId="2" fillId="10" borderId="59" xfId="0" applyNumberFormat="1" applyFont="1" applyFill="1" applyBorder="1" applyAlignment="1">
      <alignment vertical="center"/>
    </xf>
    <xf numFmtId="38" fontId="2" fillId="10" borderId="59" xfId="0" applyNumberFormat="1" applyFont="1" applyFill="1" applyBorder="1" applyAlignment="1">
      <alignment vertical="center"/>
    </xf>
    <xf numFmtId="0" fontId="2" fillId="10" borderId="59" xfId="0" applyFont="1" applyFill="1" applyBorder="1" applyAlignment="1">
      <alignment vertical="center"/>
    </xf>
    <xf numFmtId="0" fontId="0" fillId="0" borderId="82" xfId="0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3" fontId="2" fillId="0" borderId="82" xfId="0" applyNumberFormat="1" applyFont="1" applyBorder="1" applyAlignment="1">
      <alignment vertical="center"/>
    </xf>
    <xf numFmtId="176" fontId="2" fillId="0" borderId="36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vertical="center"/>
    </xf>
    <xf numFmtId="176" fontId="2" fillId="19" borderId="82" xfId="0" applyNumberFormat="1" applyFont="1" applyFill="1" applyBorder="1" applyAlignment="1">
      <alignment horizontal="center" vertical="center"/>
    </xf>
    <xf numFmtId="38" fontId="8" fillId="11" borderId="91" xfId="0" applyNumberFormat="1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vertical="center"/>
    </xf>
    <xf numFmtId="3" fontId="2" fillId="4" borderId="59" xfId="0" applyNumberFormat="1" applyFont="1" applyFill="1" applyBorder="1" applyAlignment="1">
      <alignment vertical="center"/>
    </xf>
    <xf numFmtId="38" fontId="2" fillId="4" borderId="59" xfId="0" applyNumberFormat="1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3" fontId="8" fillId="11" borderId="91" xfId="0" applyNumberFormat="1" applyFont="1" applyFill="1" applyBorder="1" applyAlignment="1">
      <alignment horizontal="center" vertical="center"/>
    </xf>
    <xf numFmtId="178" fontId="2" fillId="4" borderId="59" xfId="0" applyNumberFormat="1" applyFont="1" applyFill="1" applyBorder="1" applyAlignment="1">
      <alignment vertical="center"/>
    </xf>
    <xf numFmtId="0" fontId="2" fillId="10" borderId="21" xfId="0" applyFont="1" applyFill="1" applyBorder="1" applyAlignment="1">
      <alignment vertical="center"/>
    </xf>
    <xf numFmtId="177" fontId="2" fillId="10" borderId="21" xfId="0" applyNumberFormat="1" applyFont="1" applyFill="1" applyBorder="1" applyAlignment="1">
      <alignment vertical="center"/>
    </xf>
    <xf numFmtId="178" fontId="2" fillId="10" borderId="21" xfId="0" applyNumberFormat="1" applyFont="1" applyFill="1" applyBorder="1" applyAlignment="1">
      <alignment vertical="center"/>
    </xf>
    <xf numFmtId="0" fontId="2" fillId="0" borderId="82" xfId="0" applyFont="1" applyBorder="1" applyAlignment="1">
      <alignment horizontal="center" vertical="center"/>
    </xf>
    <xf numFmtId="177" fontId="2" fillId="0" borderId="82" xfId="0" applyNumberFormat="1" applyFont="1" applyBorder="1" applyAlignment="1">
      <alignment vertical="center"/>
    </xf>
    <xf numFmtId="178" fontId="2" fillId="0" borderId="82" xfId="0" applyNumberFormat="1" applyFont="1" applyBorder="1" applyAlignment="1">
      <alignment vertical="center"/>
    </xf>
    <xf numFmtId="0" fontId="34" fillId="0" borderId="82" xfId="0" applyFont="1" applyBorder="1" applyAlignment="1">
      <alignment vertical="center"/>
    </xf>
    <xf numFmtId="176" fontId="2" fillId="20" borderId="82" xfId="0" applyNumberFormat="1" applyFont="1" applyFill="1" applyBorder="1" applyAlignment="1">
      <alignment horizontal="center" vertical="center"/>
    </xf>
    <xf numFmtId="176" fontId="2" fillId="21" borderId="13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right" vertical="center"/>
    </xf>
    <xf numFmtId="176" fontId="3" fillId="0" borderId="30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vertical="center"/>
    </xf>
    <xf numFmtId="176" fontId="2" fillId="0" borderId="59" xfId="0" applyNumberFormat="1" applyFont="1" applyBorder="1" applyAlignment="1">
      <alignment vertical="center"/>
    </xf>
    <xf numFmtId="176" fontId="2" fillId="22" borderId="5" xfId="0" applyNumberFormat="1" applyFont="1" applyFill="1" applyBorder="1" applyAlignment="1">
      <alignment horizontal="center" vertical="center"/>
    </xf>
    <xf numFmtId="176" fontId="2" fillId="22" borderId="5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center" vertical="center"/>
    </xf>
    <xf numFmtId="176" fontId="2" fillId="22" borderId="21" xfId="0" applyNumberFormat="1" applyFont="1" applyFill="1" applyBorder="1" applyAlignment="1">
      <alignment vertical="center"/>
    </xf>
    <xf numFmtId="176" fontId="2" fillId="22" borderId="22" xfId="0" applyNumberFormat="1" applyFont="1" applyFill="1" applyBorder="1" applyAlignment="1">
      <alignment horizontal="right" vertical="center"/>
    </xf>
    <xf numFmtId="176" fontId="2" fillId="22" borderId="5" xfId="0" applyNumberFormat="1" applyFont="1" applyFill="1" applyBorder="1" applyAlignment="1">
      <alignment horizontal="right" vertical="center"/>
    </xf>
    <xf numFmtId="176" fontId="2" fillId="22" borderId="6" xfId="0" applyNumberFormat="1" applyFont="1" applyFill="1" applyBorder="1" applyAlignment="1">
      <alignment horizontal="center" vertical="center"/>
    </xf>
    <xf numFmtId="176" fontId="2" fillId="22" borderId="13" xfId="0" applyNumberFormat="1" applyFont="1" applyFill="1" applyBorder="1" applyAlignment="1">
      <alignment horizontal="right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22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right" vertical="center"/>
    </xf>
    <xf numFmtId="176" fontId="2" fillId="22" borderId="9" xfId="0" applyNumberFormat="1" applyFont="1" applyFill="1" applyBorder="1" applyAlignment="1">
      <alignment horizontal="center" vertical="center"/>
    </xf>
    <xf numFmtId="176" fontId="2" fillId="22" borderId="82" xfId="0" applyNumberFormat="1" applyFont="1" applyFill="1" applyBorder="1" applyAlignment="1">
      <alignment horizontal="right" vertical="center"/>
    </xf>
    <xf numFmtId="176" fontId="2" fillId="22" borderId="82" xfId="0" applyNumberFormat="1" applyFont="1" applyFill="1" applyBorder="1" applyAlignment="1">
      <alignment vertical="center"/>
    </xf>
    <xf numFmtId="176" fontId="2" fillId="22" borderId="82" xfId="0" applyNumberFormat="1" applyFont="1" applyFill="1" applyBorder="1" applyAlignment="1">
      <alignment horizontal="center" vertical="center"/>
    </xf>
    <xf numFmtId="176" fontId="2" fillId="22" borderId="0" xfId="0" applyNumberFormat="1" applyFont="1" applyFill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3" fillId="22" borderId="5" xfId="0" applyNumberFormat="1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vertical="center"/>
    </xf>
    <xf numFmtId="3" fontId="2" fillId="22" borderId="5" xfId="0" applyNumberFormat="1" applyFont="1" applyFill="1" applyBorder="1" applyAlignment="1">
      <alignment vertical="center"/>
    </xf>
    <xf numFmtId="3" fontId="2" fillId="22" borderId="10" xfId="0" applyNumberFormat="1" applyFont="1" applyFill="1" applyBorder="1" applyAlignment="1">
      <alignment vertical="center"/>
    </xf>
    <xf numFmtId="3" fontId="2" fillId="22" borderId="59" xfId="0" applyNumberFormat="1" applyFont="1" applyFill="1" applyBorder="1" applyAlignment="1">
      <alignment vertical="center"/>
    </xf>
    <xf numFmtId="176" fontId="7" fillId="22" borderId="0" xfId="0" applyNumberFormat="1" applyFont="1" applyFill="1" applyAlignment="1">
      <alignment vertical="center"/>
    </xf>
    <xf numFmtId="3" fontId="2" fillId="22" borderId="21" xfId="0" applyNumberFormat="1" applyFont="1" applyFill="1" applyBorder="1" applyAlignment="1">
      <alignment vertical="center"/>
    </xf>
    <xf numFmtId="178" fontId="2" fillId="0" borderId="22" xfId="0" applyNumberFormat="1" applyFont="1" applyBorder="1" applyAlignment="1">
      <alignment vertical="center"/>
    </xf>
    <xf numFmtId="177" fontId="2" fillId="0" borderId="37" xfId="0" applyNumberFormat="1" applyFont="1" applyBorder="1" applyAlignment="1">
      <alignment vertical="center"/>
    </xf>
    <xf numFmtId="3" fontId="2" fillId="0" borderId="54" xfId="0" applyNumberFormat="1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176" fontId="2" fillId="20" borderId="5" xfId="0" applyNumberFormat="1" applyFont="1" applyFill="1" applyBorder="1" applyAlignment="1">
      <alignment horizontal="center" vertical="center"/>
    </xf>
    <xf numFmtId="176" fontId="2" fillId="20" borderId="0" xfId="0" applyNumberFormat="1" applyFont="1" applyFill="1" applyAlignment="1">
      <alignment horizontal="center" vertical="center"/>
    </xf>
    <xf numFmtId="3" fontId="2" fillId="22" borderId="82" xfId="0" applyNumberFormat="1" applyFont="1" applyFill="1" applyBorder="1" applyAlignment="1">
      <alignment vertical="center"/>
    </xf>
    <xf numFmtId="0" fontId="0" fillId="0" borderId="140" xfId="0" applyBorder="1" applyAlignment="1">
      <alignment vertical="center"/>
    </xf>
    <xf numFmtId="0" fontId="0" fillId="0" borderId="142" xfId="0" applyBorder="1" applyAlignment="1">
      <alignment vertical="center"/>
    </xf>
    <xf numFmtId="0" fontId="0" fillId="0" borderId="146" xfId="0" applyBorder="1" applyAlignment="1">
      <alignment vertical="center"/>
    </xf>
    <xf numFmtId="0" fontId="0" fillId="0" borderId="148" xfId="0" applyBorder="1" applyAlignment="1">
      <alignment vertical="center"/>
    </xf>
    <xf numFmtId="0" fontId="0" fillId="0" borderId="141" xfId="0" applyBorder="1" applyAlignment="1">
      <alignment vertical="center"/>
    </xf>
    <xf numFmtId="0" fontId="0" fillId="0" borderId="151" xfId="0" applyBorder="1" applyAlignment="1">
      <alignment vertical="center"/>
    </xf>
    <xf numFmtId="0" fontId="0" fillId="0" borderId="153" xfId="0" applyBorder="1" applyAlignment="1">
      <alignment vertical="center"/>
    </xf>
    <xf numFmtId="0" fontId="0" fillId="0" borderId="154" xfId="0" applyBorder="1" applyAlignment="1">
      <alignment vertical="center"/>
    </xf>
    <xf numFmtId="177" fontId="2" fillId="0" borderId="31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36" fillId="0" borderId="43" xfId="0" applyFont="1" applyBorder="1" applyAlignment="1">
      <alignment horizontal="center" vertical="center" wrapText="1" readingOrder="1"/>
    </xf>
    <xf numFmtId="0" fontId="36" fillId="0" borderId="122" xfId="0" applyFont="1" applyBorder="1" applyAlignment="1">
      <alignment horizontal="center" vertical="center" wrapText="1" readingOrder="1"/>
    </xf>
    <xf numFmtId="0" fontId="36" fillId="0" borderId="139" xfId="0" applyFont="1" applyBorder="1" applyAlignment="1">
      <alignment horizontal="center" vertical="center" wrapText="1" readingOrder="1"/>
    </xf>
    <xf numFmtId="0" fontId="36" fillId="0" borderId="138" xfId="0" applyFont="1" applyBorder="1" applyAlignment="1">
      <alignment horizontal="center" vertical="center" wrapText="1" readingOrder="1"/>
    </xf>
    <xf numFmtId="0" fontId="38" fillId="0" borderId="138" xfId="0" applyFont="1" applyBorder="1" applyAlignment="1">
      <alignment horizontal="center" vertical="center" wrapText="1" readingOrder="1"/>
    </xf>
    <xf numFmtId="0" fontId="36" fillId="0" borderId="145" xfId="0" applyFont="1" applyBorder="1" applyAlignment="1">
      <alignment horizontal="center" vertical="center" wrapText="1" readingOrder="1"/>
    </xf>
    <xf numFmtId="3" fontId="39" fillId="0" borderId="96" xfId="0" applyNumberFormat="1" applyFont="1" applyBorder="1" applyAlignment="1">
      <alignment horizontal="center" vertical="center" wrapText="1" readingOrder="1"/>
    </xf>
    <xf numFmtId="3" fontId="39" fillId="0" borderId="165" xfId="0" applyNumberFormat="1" applyFont="1" applyBorder="1" applyAlignment="1">
      <alignment horizontal="center" vertical="center" wrapText="1" readingOrder="1"/>
    </xf>
    <xf numFmtId="3" fontId="39" fillId="0" borderId="119" xfId="0" applyNumberFormat="1" applyFont="1" applyBorder="1" applyAlignment="1">
      <alignment horizontal="center" vertical="center" wrapText="1" readingOrder="1"/>
    </xf>
    <xf numFmtId="9" fontId="39" fillId="0" borderId="131" xfId="0" applyNumberFormat="1" applyFont="1" applyBorder="1" applyAlignment="1">
      <alignment horizontal="left" vertical="center" wrapText="1" readingOrder="1"/>
    </xf>
    <xf numFmtId="9" fontId="39" fillId="0" borderId="97" xfId="0" applyNumberFormat="1" applyFont="1" applyBorder="1" applyAlignment="1">
      <alignment horizontal="left" vertical="center" wrapText="1" readingOrder="1"/>
    </xf>
    <xf numFmtId="0" fontId="40" fillId="0" borderId="130" xfId="0" applyFont="1" applyBorder="1" applyAlignment="1">
      <alignment horizontal="left" vertical="center" wrapText="1" readingOrder="1"/>
    </xf>
    <xf numFmtId="3" fontId="39" fillId="0" borderId="118" xfId="0" applyNumberFormat="1" applyFont="1" applyBorder="1" applyAlignment="1">
      <alignment horizontal="center" vertical="center" wrapText="1" readingOrder="1"/>
    </xf>
    <xf numFmtId="3" fontId="39" fillId="0" borderId="117" xfId="0" applyNumberFormat="1" applyFont="1" applyBorder="1" applyAlignment="1">
      <alignment horizontal="center" vertical="center" wrapText="1" readingOrder="1"/>
    </xf>
    <xf numFmtId="9" fontId="39" fillId="0" borderId="114" xfId="0" applyNumberFormat="1" applyFont="1" applyBorder="1" applyAlignment="1">
      <alignment horizontal="left" vertical="center" wrapText="1" readingOrder="1"/>
    </xf>
    <xf numFmtId="9" fontId="39" fillId="0" borderId="99" xfId="0" applyNumberFormat="1" applyFont="1" applyBorder="1" applyAlignment="1">
      <alignment horizontal="left" vertical="center" wrapText="1" readingOrder="1"/>
    </xf>
    <xf numFmtId="0" fontId="40" fillId="0" borderId="157" xfId="0" applyFont="1" applyBorder="1" applyAlignment="1">
      <alignment horizontal="left" vertical="center" wrapText="1" readingOrder="1"/>
    </xf>
    <xf numFmtId="0" fontId="40" fillId="0" borderId="160" xfId="0" applyFont="1" applyBorder="1" applyAlignment="1">
      <alignment horizontal="left" vertical="center" wrapText="1" readingOrder="1"/>
    </xf>
    <xf numFmtId="0" fontId="40" fillId="0" borderId="163" xfId="0" applyFont="1" applyBorder="1" applyAlignment="1">
      <alignment horizontal="left" vertical="center" wrapText="1" readingOrder="1"/>
    </xf>
    <xf numFmtId="0" fontId="40" fillId="0" borderId="162" xfId="0" applyFont="1" applyBorder="1" applyAlignment="1">
      <alignment horizontal="left" vertical="center" wrapText="1" readingOrder="1"/>
    </xf>
    <xf numFmtId="0" fontId="36" fillId="0" borderId="147" xfId="0" applyFont="1" applyBorder="1" applyAlignment="1">
      <alignment horizontal="center" vertical="center" wrapText="1" readingOrder="1"/>
    </xf>
    <xf numFmtId="3" fontId="39" fillId="0" borderId="166" xfId="0" applyNumberFormat="1" applyFont="1" applyBorder="1" applyAlignment="1">
      <alignment horizontal="center" vertical="center" wrapText="1" readingOrder="1"/>
    </xf>
    <xf numFmtId="3" fontId="39" fillId="0" borderId="107" xfId="0" applyNumberFormat="1" applyFont="1" applyBorder="1" applyAlignment="1">
      <alignment horizontal="center" vertical="center" wrapText="1" readingOrder="1"/>
    </xf>
    <xf numFmtId="9" fontId="39" fillId="0" borderId="105" xfId="0" applyNumberFormat="1" applyFont="1" applyBorder="1" applyAlignment="1">
      <alignment horizontal="left" vertical="center" wrapText="1" readingOrder="1"/>
    </xf>
    <xf numFmtId="3" fontId="39" fillId="0" borderId="106" xfId="0" applyNumberFormat="1" applyFont="1" applyBorder="1" applyAlignment="1">
      <alignment horizontal="center" vertical="center" wrapText="1" readingOrder="1"/>
    </xf>
    <xf numFmtId="0" fontId="41" fillId="0" borderId="152" xfId="0" applyFont="1" applyBorder="1" applyAlignment="1">
      <alignment vertical="center"/>
    </xf>
    <xf numFmtId="3" fontId="39" fillId="0" borderId="112" xfId="0" applyNumberFormat="1" applyFont="1" applyBorder="1" applyAlignment="1">
      <alignment horizontal="center" vertical="center" wrapText="1" readingOrder="1"/>
    </xf>
    <xf numFmtId="9" fontId="39" fillId="0" borderId="110" xfId="0" applyNumberFormat="1" applyFont="1" applyBorder="1" applyAlignment="1">
      <alignment horizontal="left" vertical="center" wrapText="1" readingOrder="1"/>
    </xf>
    <xf numFmtId="0" fontId="40" fillId="0" borderId="100" xfId="0" applyFont="1" applyBorder="1" applyAlignment="1">
      <alignment vertical="center" wrapText="1" readingOrder="1"/>
    </xf>
    <xf numFmtId="3" fontId="39" fillId="0" borderId="104" xfId="0" applyNumberFormat="1" applyFont="1" applyBorder="1" applyAlignment="1">
      <alignment horizontal="center" vertical="center" wrapText="1" readingOrder="1"/>
    </xf>
    <xf numFmtId="3" fontId="39" fillId="0" borderId="167" xfId="0" applyNumberFormat="1" applyFont="1" applyBorder="1" applyAlignment="1">
      <alignment horizontal="center" vertical="center" wrapText="1" readingOrder="1"/>
    </xf>
    <xf numFmtId="0" fontId="37" fillId="0" borderId="105" xfId="0" applyFont="1" applyBorder="1" applyAlignment="1">
      <alignment horizontal="right" vertical="top" wrapText="1"/>
    </xf>
    <xf numFmtId="3" fontId="39" fillId="0" borderId="43" xfId="0" applyNumberFormat="1" applyFont="1" applyBorder="1" applyAlignment="1">
      <alignment horizontal="center" vertical="center" wrapText="1" readingOrder="1"/>
    </xf>
    <xf numFmtId="0" fontId="0" fillId="0" borderId="169" xfId="0" applyBorder="1" applyAlignment="1">
      <alignment vertical="center"/>
    </xf>
    <xf numFmtId="176" fontId="2" fillId="0" borderId="43" xfId="0" applyNumberFormat="1" applyFont="1" applyBorder="1" applyAlignment="1">
      <alignment horizontal="right" vertical="center"/>
    </xf>
    <xf numFmtId="3" fontId="39" fillId="0" borderId="124" xfId="0" applyNumberFormat="1" applyFont="1" applyBorder="1" applyAlignment="1">
      <alignment horizontal="right" vertical="center" wrapText="1" readingOrder="1"/>
    </xf>
    <xf numFmtId="3" fontId="39" fillId="0" borderId="125" xfId="0" applyNumberFormat="1" applyFont="1" applyBorder="1" applyAlignment="1">
      <alignment horizontal="right" vertical="center" wrapText="1" readingOrder="1"/>
    </xf>
    <xf numFmtId="3" fontId="44" fillId="0" borderId="125" xfId="0" applyNumberFormat="1" applyFont="1" applyBorder="1" applyAlignment="1">
      <alignment horizontal="right" vertical="center" wrapText="1" readingOrder="1"/>
    </xf>
    <xf numFmtId="3" fontId="39" fillId="0" borderId="116" xfId="0" applyNumberFormat="1" applyFont="1" applyBorder="1" applyAlignment="1">
      <alignment horizontal="right" vertical="center" wrapText="1" readingOrder="1"/>
    </xf>
    <xf numFmtId="3" fontId="39" fillId="0" borderId="128" xfId="0" applyNumberFormat="1" applyFont="1" applyBorder="1" applyAlignment="1">
      <alignment horizontal="right" vertical="center" wrapText="1" readingOrder="1"/>
    </xf>
    <xf numFmtId="3" fontId="39" fillId="0" borderId="129" xfId="0" applyNumberFormat="1" applyFont="1" applyBorder="1" applyAlignment="1">
      <alignment horizontal="right" vertical="center" wrapText="1" readingOrder="1"/>
    </xf>
    <xf numFmtId="3" fontId="39" fillId="0" borderId="168" xfId="0" applyNumberFormat="1" applyFont="1" applyBorder="1" applyAlignment="1">
      <alignment horizontal="right" vertical="center" wrapText="1" readingOrder="1"/>
    </xf>
    <xf numFmtId="0" fontId="37" fillId="20" borderId="105" xfId="0" applyFont="1" applyFill="1" applyBorder="1" applyAlignment="1">
      <alignment horizontal="center" vertical="center" wrapText="1"/>
    </xf>
    <xf numFmtId="0" fontId="37" fillId="23" borderId="161" xfId="0" applyFont="1" applyFill="1" applyBorder="1" applyAlignment="1">
      <alignment horizontal="center" vertical="center" wrapText="1"/>
    </xf>
    <xf numFmtId="0" fontId="37" fillId="23" borderId="110" xfId="0" applyFont="1" applyFill="1" applyBorder="1" applyAlignment="1">
      <alignment horizontal="center" vertical="center" wrapText="1"/>
    </xf>
    <xf numFmtId="0" fontId="34" fillId="0" borderId="12" xfId="0" applyFont="1" applyBorder="1" applyAlignment="1">
      <alignment vertical="center"/>
    </xf>
    <xf numFmtId="176" fontId="2" fillId="20" borderId="21" xfId="0" applyNumberFormat="1" applyFont="1" applyFill="1" applyBorder="1" applyAlignment="1">
      <alignment horizontal="center" vertical="center"/>
    </xf>
    <xf numFmtId="176" fontId="2" fillId="20" borderId="22" xfId="0" applyNumberFormat="1" applyFont="1" applyFill="1" applyBorder="1" applyAlignment="1">
      <alignment horizontal="right" vertical="center"/>
    </xf>
    <xf numFmtId="176" fontId="2" fillId="20" borderId="5" xfId="0" applyNumberFormat="1" applyFont="1" applyFill="1" applyBorder="1" applyAlignment="1">
      <alignment horizontal="right" vertical="center"/>
    </xf>
    <xf numFmtId="0" fontId="37" fillId="20" borderId="131" xfId="0" applyFont="1" applyFill="1" applyBorder="1" applyAlignment="1">
      <alignment horizontal="center" vertical="center" wrapText="1"/>
    </xf>
    <xf numFmtId="0" fontId="37" fillId="20" borderId="103" xfId="0" applyFont="1" applyFill="1" applyBorder="1" applyAlignment="1">
      <alignment horizontal="center" vertical="center" wrapText="1"/>
    </xf>
    <xf numFmtId="0" fontId="37" fillId="20" borderId="170" xfId="0" applyFont="1" applyFill="1" applyBorder="1" applyAlignment="1">
      <alignment horizontal="center" vertical="center" wrapText="1"/>
    </xf>
    <xf numFmtId="0" fontId="0" fillId="0" borderId="172" xfId="0" applyBorder="1" applyAlignment="1">
      <alignment vertical="center"/>
    </xf>
    <xf numFmtId="0" fontId="36" fillId="0" borderId="171" xfId="0" applyFont="1" applyBorder="1" applyAlignment="1">
      <alignment horizontal="center" vertical="center" wrapText="1" readingOrder="1"/>
    </xf>
    <xf numFmtId="0" fontId="0" fillId="0" borderId="173" xfId="0" applyBorder="1" applyAlignment="1">
      <alignment vertical="center"/>
    </xf>
    <xf numFmtId="0" fontId="0" fillId="0" borderId="164" xfId="0" applyBorder="1" applyAlignment="1">
      <alignment vertical="center"/>
    </xf>
    <xf numFmtId="3" fontId="39" fillId="0" borderId="176" xfId="0" applyNumberFormat="1" applyFont="1" applyBorder="1" applyAlignment="1">
      <alignment horizontal="right" vertical="center" wrapText="1" readingOrder="1"/>
    </xf>
    <xf numFmtId="3" fontId="39" fillId="0" borderId="177" xfId="0" applyNumberFormat="1" applyFont="1" applyBorder="1" applyAlignment="1">
      <alignment horizontal="left" vertical="center" wrapText="1" readingOrder="1"/>
    </xf>
    <xf numFmtId="9" fontId="37" fillId="0" borderId="178" xfId="0" applyNumberFormat="1" applyFont="1" applyBorder="1" applyAlignment="1">
      <alignment vertical="top" wrapText="1"/>
    </xf>
    <xf numFmtId="0" fontId="37" fillId="0" borderId="178" xfId="0" applyFont="1" applyBorder="1" applyAlignment="1">
      <alignment horizontal="right" vertical="top" wrapText="1"/>
    </xf>
    <xf numFmtId="9" fontId="39" fillId="0" borderId="114" xfId="0" applyNumberFormat="1" applyFont="1" applyBorder="1" applyAlignment="1">
      <alignment horizontal="left" vertical="center" wrapText="1" readingOrder="1"/>
    </xf>
    <xf numFmtId="9" fontId="39" fillId="0" borderId="95" xfId="0" applyNumberFormat="1" applyFont="1" applyBorder="1" applyAlignment="1">
      <alignment horizontal="left" vertical="center" wrapText="1" readingOrder="1"/>
    </xf>
    <xf numFmtId="9" fontId="39" fillId="0" borderId="132" xfId="0" applyNumberFormat="1" applyFont="1" applyBorder="1" applyAlignment="1">
      <alignment horizontal="left" vertical="center" wrapText="1" readingOrder="1"/>
    </xf>
    <xf numFmtId="9" fontId="39" fillId="0" borderId="99" xfId="0" applyNumberFormat="1" applyFont="1" applyBorder="1" applyAlignment="1">
      <alignment horizontal="left" vertical="center" wrapText="1" readingOrder="1"/>
    </xf>
    <xf numFmtId="9" fontId="39" fillId="0" borderId="103" xfId="0" applyNumberFormat="1" applyFont="1" applyBorder="1" applyAlignment="1">
      <alignment horizontal="left" vertical="center" wrapText="1" readingOrder="1"/>
    </xf>
    <xf numFmtId="0" fontId="42" fillId="0" borderId="141" xfId="0" applyFont="1" applyBorder="1" applyAlignment="1">
      <alignment horizontal="center" vertical="top"/>
    </xf>
    <xf numFmtId="0" fontId="43" fillId="0" borderId="141" xfId="0" applyFont="1" applyBorder="1" applyAlignment="1">
      <alignment horizontal="center" vertical="top"/>
    </xf>
    <xf numFmtId="3" fontId="39" fillId="0" borderId="126" xfId="0" applyNumberFormat="1" applyFont="1" applyBorder="1" applyAlignment="1">
      <alignment horizontal="right" vertical="center" wrapText="1" readingOrder="1"/>
    </xf>
    <xf numFmtId="3" fontId="39" fillId="0" borderId="159" xfId="0" applyNumberFormat="1" applyFont="1" applyBorder="1" applyAlignment="1">
      <alignment horizontal="right" vertical="center" wrapText="1" readingOrder="1"/>
    </xf>
    <xf numFmtId="3" fontId="39" fillId="0" borderId="127" xfId="0" applyNumberFormat="1" applyFont="1" applyBorder="1" applyAlignment="1">
      <alignment horizontal="right" vertical="center" wrapText="1" readingOrder="1"/>
    </xf>
    <xf numFmtId="3" fontId="39" fillId="0" borderId="118" xfId="0" applyNumberFormat="1" applyFont="1" applyBorder="1" applyAlignment="1">
      <alignment horizontal="center" vertical="center" wrapText="1" readingOrder="1"/>
    </xf>
    <xf numFmtId="3" fontId="39" fillId="0" borderId="158" xfId="0" applyNumberFormat="1" applyFont="1" applyBorder="1" applyAlignment="1">
      <alignment horizontal="center" vertical="center" wrapText="1" readingOrder="1"/>
    </xf>
    <xf numFmtId="3" fontId="39" fillId="0" borderId="119" xfId="0" applyNumberFormat="1" applyFont="1" applyBorder="1" applyAlignment="1">
      <alignment horizontal="center" vertical="center" wrapText="1" readingOrder="1"/>
    </xf>
    <xf numFmtId="0" fontId="36" fillId="0" borderId="144" xfId="0" applyFont="1" applyBorder="1" applyAlignment="1">
      <alignment horizontal="center" vertical="center" wrapText="1" readingOrder="1"/>
    </xf>
    <xf numFmtId="0" fontId="36" fillId="0" borderId="143" xfId="0" applyFont="1" applyBorder="1" applyAlignment="1">
      <alignment horizontal="center" vertical="center" wrapText="1" readingOrder="1"/>
    </xf>
    <xf numFmtId="0" fontId="36" fillId="0" borderId="93" xfId="0" applyFont="1" applyBorder="1" applyAlignment="1">
      <alignment horizontal="center" vertical="center" wrapText="1" readingOrder="1"/>
    </xf>
    <xf numFmtId="0" fontId="36" fillId="0" borderId="43" xfId="0" applyFont="1" applyBorder="1" applyAlignment="1">
      <alignment horizontal="center" vertical="center" wrapText="1" readingOrder="1"/>
    </xf>
    <xf numFmtId="0" fontId="37" fillId="0" borderId="121" xfId="0" applyFont="1" applyBorder="1" applyAlignment="1">
      <alignment horizontal="center" vertical="top" wrapText="1"/>
    </xf>
    <xf numFmtId="0" fontId="37" fillId="0" borderId="123" xfId="0" applyFont="1" applyBorder="1" applyAlignment="1">
      <alignment horizontal="center" vertical="top" wrapText="1"/>
    </xf>
    <xf numFmtId="0" fontId="36" fillId="0" borderId="156" xfId="0" applyFont="1" applyBorder="1" applyAlignment="1">
      <alignment horizontal="center" vertical="center" wrapText="1" readingOrder="1"/>
    </xf>
    <xf numFmtId="0" fontId="36" fillId="0" borderId="155" xfId="0" applyFont="1" applyBorder="1" applyAlignment="1">
      <alignment horizontal="center" vertical="center" wrapText="1" readingOrder="1"/>
    </xf>
    <xf numFmtId="0" fontId="36" fillId="0" borderId="133" xfId="0" applyFont="1" applyBorder="1" applyAlignment="1">
      <alignment horizontal="center" vertical="center" wrapText="1" readingOrder="1"/>
    </xf>
    <xf numFmtId="0" fontId="36" fillId="0" borderId="134" xfId="0" applyFont="1" applyBorder="1" applyAlignment="1">
      <alignment horizontal="center" vertical="center" wrapText="1" readingOrder="1"/>
    </xf>
    <xf numFmtId="0" fontId="36" fillId="0" borderId="135" xfId="0" applyFont="1" applyBorder="1" applyAlignment="1">
      <alignment horizontal="center" vertical="center" wrapText="1" readingOrder="1"/>
    </xf>
    <xf numFmtId="0" fontId="36" fillId="0" borderId="121" xfId="0" applyFont="1" applyBorder="1" applyAlignment="1">
      <alignment horizontal="center" vertical="center" wrapText="1" readingOrder="1"/>
    </xf>
    <xf numFmtId="0" fontId="36" fillId="0" borderId="120" xfId="0" applyFont="1" applyBorder="1" applyAlignment="1">
      <alignment horizontal="center" vertical="center" wrapText="1" readingOrder="1"/>
    </xf>
    <xf numFmtId="0" fontId="36" fillId="0" borderId="136" xfId="0" applyFont="1" applyBorder="1" applyAlignment="1">
      <alignment horizontal="center" vertical="center" wrapText="1" readingOrder="1"/>
    </xf>
    <xf numFmtId="0" fontId="36" fillId="0" borderId="137" xfId="0" applyFont="1" applyBorder="1" applyAlignment="1">
      <alignment horizontal="center" vertical="center" wrapText="1" readingOrder="1"/>
    </xf>
    <xf numFmtId="3" fontId="39" fillId="0" borderId="98" xfId="0" applyNumberFormat="1" applyFont="1" applyBorder="1" applyAlignment="1">
      <alignment horizontal="center" vertical="center" wrapText="1" readingOrder="1"/>
    </xf>
    <xf numFmtId="3" fontId="39" fillId="0" borderId="101" xfId="0" applyNumberFormat="1" applyFont="1" applyBorder="1" applyAlignment="1">
      <alignment horizontal="center" vertical="center" wrapText="1" readingOrder="1"/>
    </xf>
    <xf numFmtId="0" fontId="36" fillId="0" borderId="149" xfId="0" applyFont="1" applyBorder="1" applyAlignment="1">
      <alignment horizontal="center" vertical="center" wrapText="1" readingOrder="1"/>
    </xf>
    <xf numFmtId="0" fontId="36" fillId="0" borderId="150" xfId="0" applyFont="1" applyBorder="1" applyAlignment="1">
      <alignment horizontal="center" vertical="center" wrapText="1" readingOrder="1"/>
    </xf>
    <xf numFmtId="3" fontId="39" fillId="0" borderId="108" xfId="0" applyNumberFormat="1" applyFont="1" applyBorder="1" applyAlignment="1">
      <alignment horizontal="center" vertical="center" wrapText="1" readingOrder="1"/>
    </xf>
    <xf numFmtId="3" fontId="39" fillId="0" borderId="113" xfId="0" applyNumberFormat="1" applyFont="1" applyBorder="1" applyAlignment="1">
      <alignment horizontal="center" vertical="center" wrapText="1" readingOrder="1"/>
    </xf>
    <xf numFmtId="3" fontId="39" fillId="0" borderId="109" xfId="0" applyNumberFormat="1" applyFont="1" applyBorder="1" applyAlignment="1">
      <alignment horizontal="center" vertical="center" wrapText="1" readingOrder="1"/>
    </xf>
    <xf numFmtId="3" fontId="39" fillId="0" borderId="174" xfId="0" applyNumberFormat="1" applyFont="1" applyBorder="1" applyAlignment="1">
      <alignment horizontal="right" vertical="center" wrapText="1" readingOrder="1"/>
    </xf>
    <xf numFmtId="3" fontId="39" fillId="0" borderId="175" xfId="0" applyNumberFormat="1" applyFont="1" applyBorder="1" applyAlignment="1">
      <alignment horizontal="right" vertical="center" wrapText="1" readingOrder="1"/>
    </xf>
    <xf numFmtId="3" fontId="39" fillId="0" borderId="111" xfId="0" applyNumberFormat="1" applyFont="1" applyBorder="1" applyAlignment="1">
      <alignment horizontal="right" vertical="center" wrapText="1" readingOrder="1"/>
    </xf>
    <xf numFmtId="176" fontId="2" fillId="0" borderId="82" xfId="0" applyNumberFormat="1" applyFont="1" applyBorder="1" applyAlignment="1">
      <alignment horizontal="center"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92" xfId="0" applyNumberFormat="1" applyFont="1" applyBorder="1" applyAlignment="1">
      <alignment horizontal="center" vertical="center"/>
    </xf>
    <xf numFmtId="176" fontId="2" fillId="22" borderId="85" xfId="0" applyNumberFormat="1" applyFont="1" applyFill="1" applyBorder="1" applyAlignment="1">
      <alignment horizontal="center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2" fillId="22" borderId="86" xfId="0" applyNumberFormat="1" applyFont="1" applyFill="1" applyBorder="1" applyAlignment="1">
      <alignment horizontal="center" vertical="center"/>
    </xf>
    <xf numFmtId="176" fontId="2" fillId="22" borderId="43" xfId="0" applyNumberFormat="1" applyFont="1" applyFill="1" applyBorder="1" applyAlignment="1">
      <alignment horizontal="center" vertical="center"/>
    </xf>
    <xf numFmtId="176" fontId="2" fillId="22" borderId="87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4" fillId="0" borderId="21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176" fontId="3" fillId="0" borderId="0" xfId="0" applyNumberFormat="1" applyFont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3" fillId="6" borderId="19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76" fontId="3" fillId="0" borderId="14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54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center"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2" fillId="10" borderId="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90" xfId="0" applyFont="1" applyFill="1" applyBorder="1" applyAlignment="1">
      <alignment horizontal="center" vertical="center"/>
    </xf>
    <xf numFmtId="0" fontId="2" fillId="4" borderId="8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38" fontId="2" fillId="0" borderId="21" xfId="0" applyNumberFormat="1" applyFont="1" applyBorder="1" applyAlignment="1">
      <alignment horizontal="center" vertical="center"/>
    </xf>
    <xf numFmtId="38" fontId="2" fillId="0" borderId="54" xfId="0" applyNumberFormat="1" applyFont="1" applyBorder="1" applyAlignment="1">
      <alignment horizontal="center" vertical="center"/>
    </xf>
    <xf numFmtId="38" fontId="2" fillId="0" borderId="59" xfId="0" applyNumberFormat="1" applyFont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8" fontId="2" fillId="0" borderId="36" xfId="0" applyNumberFormat="1" applyFont="1" applyBorder="1" applyAlignment="1">
      <alignment horizontal="center" vertical="center"/>
    </xf>
    <xf numFmtId="38" fontId="2" fillId="0" borderId="43" xfId="0" applyNumberFormat="1" applyFont="1" applyBorder="1" applyAlignment="1">
      <alignment horizontal="center" vertical="center"/>
    </xf>
    <xf numFmtId="38" fontId="2" fillId="0" borderId="40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38" fontId="2" fillId="0" borderId="12" xfId="0" applyNumberFormat="1" applyFont="1" applyBorder="1" applyAlignment="1">
      <alignment horizontal="center" vertical="center"/>
    </xf>
    <xf numFmtId="38" fontId="2" fillId="0" borderId="14" xfId="0" applyNumberFormat="1" applyFont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4" fillId="0" borderId="43" xfId="0" applyFont="1" applyBorder="1" applyAlignment="1">
      <alignment vertical="center"/>
    </xf>
    <xf numFmtId="0" fontId="8" fillId="7" borderId="9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38" fontId="2" fillId="0" borderId="6" xfId="0" applyNumberFormat="1" applyFont="1" applyBorder="1" applyAlignment="1">
      <alignment horizontal="center" vertical="center"/>
    </xf>
    <xf numFmtId="3" fontId="2" fillId="0" borderId="82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3" fontId="2" fillId="0" borderId="83" xfId="0" applyNumberFormat="1" applyFont="1" applyBorder="1" applyAlignment="1">
      <alignment horizontal="center" vertical="center"/>
    </xf>
    <xf numFmtId="3" fontId="2" fillId="0" borderId="84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35" xfId="0" applyNumberFormat="1" applyFont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18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82" fontId="3" fillId="15" borderId="6" xfId="0" applyNumberFormat="1" applyFont="1" applyFill="1" applyBorder="1" applyAlignment="1">
      <alignment horizontal="center" vertical="center"/>
    </xf>
    <xf numFmtId="182" fontId="3" fillId="15" borderId="9" xfId="0" applyNumberFormat="1" applyFont="1" applyFill="1" applyBorder="1" applyAlignment="1">
      <alignment horizontal="center" vertical="center"/>
    </xf>
    <xf numFmtId="182" fontId="3" fillId="15" borderId="7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182" fontId="23" fillId="0" borderId="0" xfId="0" applyNumberFormat="1" applyFont="1" applyAlignment="1">
      <alignment horizontal="center" vertical="center"/>
    </xf>
    <xf numFmtId="182" fontId="24" fillId="0" borderId="0" xfId="0" applyNumberFormat="1" applyFont="1" applyAlignment="1">
      <alignment horizontal="center" vertical="center"/>
    </xf>
    <xf numFmtId="182" fontId="3" fillId="0" borderId="12" xfId="0" applyNumberFormat="1" applyFont="1" applyBorder="1" applyAlignment="1">
      <alignment horizontal="center" vertical="center"/>
    </xf>
    <xf numFmtId="182" fontId="23" fillId="0" borderId="6" xfId="0" applyNumberFormat="1" applyFont="1" applyBorder="1" applyAlignment="1">
      <alignment horizontal="right" vertical="center"/>
    </xf>
    <xf numFmtId="182" fontId="2" fillId="0" borderId="6" xfId="0" applyNumberFormat="1" applyFont="1" applyBorder="1" applyAlignment="1">
      <alignment horizontal="center" vertical="center"/>
    </xf>
    <xf numFmtId="0" fontId="16" fillId="0" borderId="46" xfId="0" applyFont="1" applyBorder="1" applyAlignment="1">
      <alignment horizontal="right" vertical="center" wrapText="1"/>
    </xf>
    <xf numFmtId="0" fontId="4" fillId="0" borderId="46" xfId="0" applyFont="1" applyBorder="1" applyAlignment="1">
      <alignment vertical="center"/>
    </xf>
    <xf numFmtId="0" fontId="17" fillId="12" borderId="47" xfId="0" applyFont="1" applyFill="1" applyBorder="1" applyAlignment="1">
      <alignment horizontal="center" vertical="center" wrapText="1"/>
    </xf>
    <xf numFmtId="0" fontId="4" fillId="0" borderId="53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17" fillId="12" borderId="48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17" fillId="13" borderId="48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0" fontId="25" fillId="14" borderId="9" xfId="0" applyFont="1" applyFill="1" applyBorder="1" applyAlignment="1">
      <alignment horizontal="center" vertical="center" wrapText="1"/>
    </xf>
    <xf numFmtId="0" fontId="17" fillId="14" borderId="79" xfId="0" applyFont="1" applyFill="1" applyBorder="1" applyAlignment="1">
      <alignment horizontal="center" vertical="center" wrapText="1"/>
    </xf>
    <xf numFmtId="0" fontId="18" fillId="0" borderId="79" xfId="0" applyFont="1" applyBorder="1" applyAlignment="1">
      <alignment horizontal="center" vertical="center" wrapText="1"/>
    </xf>
    <xf numFmtId="0" fontId="17" fillId="12" borderId="80" xfId="0" applyFont="1" applyFill="1" applyBorder="1" applyAlignment="1">
      <alignment horizontal="center" vertical="center" wrapText="1"/>
    </xf>
    <xf numFmtId="0" fontId="4" fillId="0" borderId="81" xfId="0" applyFont="1" applyBorder="1" applyAlignment="1">
      <alignment vertical="center"/>
    </xf>
    <xf numFmtId="0" fontId="25" fillId="14" borderId="6" xfId="0" applyFont="1" applyFill="1" applyBorder="1" applyAlignment="1">
      <alignment horizontal="center" vertical="center" wrapText="1"/>
    </xf>
    <xf numFmtId="0" fontId="26" fillId="14" borderId="6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 wrapText="1"/>
    </xf>
    <xf numFmtId="0" fontId="17" fillId="12" borderId="72" xfId="0" applyFont="1" applyFill="1" applyBorder="1" applyAlignment="1">
      <alignment horizontal="center" vertical="center" wrapText="1"/>
    </xf>
    <xf numFmtId="0" fontId="4" fillId="0" borderId="77" xfId="0" applyFont="1" applyBorder="1" applyAlignment="1">
      <alignment vertical="center"/>
    </xf>
    <xf numFmtId="0" fontId="17" fillId="12" borderId="73" xfId="0" applyFont="1" applyFill="1" applyBorder="1" applyAlignment="1">
      <alignment horizontal="center" vertical="center" wrapText="1"/>
    </xf>
    <xf numFmtId="0" fontId="17" fillId="13" borderId="73" xfId="0" applyFont="1" applyFill="1" applyBorder="1" applyAlignment="1">
      <alignment horizontal="center" vertical="center" wrapText="1"/>
    </xf>
    <xf numFmtId="0" fontId="17" fillId="13" borderId="74" xfId="0" applyFont="1" applyFill="1" applyBorder="1" applyAlignment="1">
      <alignment horizontal="center" vertical="center" wrapText="1"/>
    </xf>
    <xf numFmtId="0" fontId="4" fillId="0" borderId="75" xfId="0" applyFont="1" applyBorder="1" applyAlignment="1">
      <alignment vertical="center"/>
    </xf>
    <xf numFmtId="0" fontId="4" fillId="0" borderId="76" xfId="0" applyFont="1" applyBorder="1" applyAlignment="1">
      <alignment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38" fontId="2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49" fontId="46" fillId="0" borderId="111" xfId="0" applyNumberFormat="1" applyFont="1" applyBorder="1" applyAlignment="1">
      <alignment horizontal="center" vertical="center" wrapText="1" readingOrder="1"/>
    </xf>
    <xf numFmtId="49" fontId="39" fillId="0" borderId="115" xfId="0" applyNumberFormat="1" applyFont="1" applyBorder="1" applyAlignment="1">
      <alignment horizontal="center" vertical="center" wrapText="1" readingOrder="1"/>
    </xf>
    <xf numFmtId="49" fontId="39" fillId="0" borderId="94" xfId="0" applyNumberFormat="1" applyFont="1" applyBorder="1" applyAlignment="1">
      <alignment horizontal="center" vertical="center" wrapText="1" readingOrder="1"/>
    </xf>
    <xf numFmtId="49" fontId="39" fillId="0" borderId="102" xfId="0" applyNumberFormat="1" applyFont="1" applyBorder="1" applyAlignment="1">
      <alignment horizontal="center" vertical="center" wrapText="1" readingOrder="1"/>
    </xf>
    <xf numFmtId="178" fontId="39" fillId="0" borderId="99" xfId="0" applyNumberFormat="1" applyFont="1" applyBorder="1" applyAlignment="1">
      <alignment horizontal="left" vertical="center" wrapText="1" readingOrder="1"/>
    </xf>
    <xf numFmtId="178" fontId="45" fillId="0" borderId="178" xfId="0" applyNumberFormat="1" applyFont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3</a:t>
            </a:r>
            <a:r>
              <a:rPr lang="ko-KR" altLang="en-US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차년도 장학금 예산 소진 현황 및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tx1"/>
                </a:solidFill>
              </a:ln>
              <a:effectLst/>
            </c:spPr>
          </c:marker>
          <c:cat>
            <c:strRef>
              <c:f>소진일정!$AD$1:$AO$1</c:f>
              <c:strCache>
                <c:ptCount val="12"/>
                <c:pt idx="0">
                  <c:v>3월</c:v>
                </c:pt>
                <c:pt idx="1">
                  <c:v>4월</c:v>
                </c:pt>
                <c:pt idx="2">
                  <c:v>5월</c:v>
                </c:pt>
                <c:pt idx="3">
                  <c:v>6월</c:v>
                </c:pt>
                <c:pt idx="4">
                  <c:v>7월</c:v>
                </c:pt>
                <c:pt idx="5">
                  <c:v>8월</c:v>
                </c:pt>
                <c:pt idx="6">
                  <c:v>9월</c:v>
                </c:pt>
                <c:pt idx="7">
                  <c:v>10월</c:v>
                </c:pt>
                <c:pt idx="8">
                  <c:v>11월</c:v>
                </c:pt>
                <c:pt idx="9">
                  <c:v>12월</c:v>
                </c:pt>
                <c:pt idx="10">
                  <c:v>1월</c:v>
                </c:pt>
                <c:pt idx="11">
                  <c:v>2월</c:v>
                </c:pt>
              </c:strCache>
            </c:strRef>
          </c:cat>
          <c:val>
            <c:numRef>
              <c:f>소진일정!$AD$3:$AO$3</c:f>
              <c:numCache>
                <c:formatCode>0.00%</c:formatCode>
                <c:ptCount val="12"/>
                <c:pt idx="0">
                  <c:v>4.9384386415911247E-3</c:v>
                </c:pt>
                <c:pt idx="1">
                  <c:v>1.0817760790150184E-2</c:v>
                </c:pt>
                <c:pt idx="2">
                  <c:v>3.6266767352185092E-2</c:v>
                </c:pt>
                <c:pt idx="3">
                  <c:v>4.6758432891354354E-2</c:v>
                </c:pt>
                <c:pt idx="4">
                  <c:v>0.19078499388614534</c:v>
                </c:pt>
                <c:pt idx="5">
                  <c:v>0.20186814296103373</c:v>
                </c:pt>
                <c:pt idx="6">
                  <c:v>0.36185993159755114</c:v>
                </c:pt>
                <c:pt idx="7">
                  <c:v>0.4327223263766744</c:v>
                </c:pt>
                <c:pt idx="8">
                  <c:v>0.6300713877097146</c:v>
                </c:pt>
                <c:pt idx="9">
                  <c:v>0.64727646277567319</c:v>
                </c:pt>
                <c:pt idx="10">
                  <c:v>0.69972710677682326</c:v>
                </c:pt>
                <c:pt idx="11">
                  <c:v>0.96504069219320798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C-42E9-A750-BCBB52F3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08640"/>
        <c:axId val="931517760"/>
      </c:lineChart>
      <c:catAx>
        <c:axId val="9315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17760"/>
        <c:crosses val="autoZero"/>
        <c:auto val="1"/>
        <c:lblAlgn val="ctr"/>
        <c:lblOffset val="100"/>
        <c:noMultiLvlLbl val="0"/>
      </c:catAx>
      <c:valAx>
        <c:axId val="9315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83</xdr:row>
      <xdr:rowOff>0</xdr:rowOff>
    </xdr:from>
    <xdr:ext cx="323850" cy="323850"/>
    <xdr:sp macro="" textlink="">
      <xdr:nvSpPr>
        <xdr:cNvPr id="3" name="Shape 3" descr="image.png 표시 중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28575</xdr:colOff>
      <xdr:row>30</xdr:row>
      <xdr:rowOff>9525</xdr:rowOff>
    </xdr:from>
    <xdr:ext cx="5753100" cy="1676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246</xdr:row>
      <xdr:rowOff>0</xdr:rowOff>
    </xdr:from>
    <xdr:ext cx="6591300" cy="25050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242887</xdr:colOff>
      <xdr:row>10</xdr:row>
      <xdr:rowOff>23812</xdr:rowOff>
    </xdr:from>
    <xdr:to>
      <xdr:col>40</xdr:col>
      <xdr:colOff>352425</xdr:colOff>
      <xdr:row>36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CD69799-26F5-156E-7DC9-8957011AF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A2C1-E830-43A2-8492-4AD01E262BA8}">
  <dimension ref="A1:M18"/>
  <sheetViews>
    <sheetView topLeftCell="A4" zoomScaleNormal="100" workbookViewId="0">
      <selection activeCell="H12" sqref="H12"/>
    </sheetView>
  </sheetViews>
  <sheetFormatPr defaultRowHeight="15"/>
  <cols>
    <col min="1" max="1" width="4.42578125" customWidth="1"/>
    <col min="2" max="2" width="17.85546875" bestFit="1" customWidth="1"/>
    <col min="3" max="3" width="17.7109375" bestFit="1" customWidth="1"/>
    <col min="4" max="4" width="15.7109375" bestFit="1" customWidth="1"/>
    <col min="5" max="5" width="17.7109375" bestFit="1" customWidth="1"/>
    <col min="6" max="6" width="5.28515625" bestFit="1" customWidth="1"/>
    <col min="7" max="7" width="16.28515625" customWidth="1"/>
    <col min="8" max="8" width="23.42578125" customWidth="1"/>
    <col min="9" max="9" width="21.42578125" customWidth="1"/>
    <col min="10" max="10" width="22.28515625" bestFit="1" customWidth="1"/>
    <col min="11" max="11" width="3.7109375" customWidth="1"/>
    <col min="12" max="12" width="53.85546875" customWidth="1"/>
    <col min="13" max="13" width="4.28515625" customWidth="1"/>
  </cols>
  <sheetData>
    <row r="1" spans="1:13" ht="107.25" customHeight="1" thickBot="1">
      <c r="A1" s="401" t="s">
        <v>500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</row>
    <row r="2" spans="1:13" ht="20.25" customHeight="1" thickBot="1">
      <c r="A2" s="369"/>
      <c r="B2" s="409" t="s">
        <v>246</v>
      </c>
      <c r="C2" s="411" t="s">
        <v>487</v>
      </c>
      <c r="D2" s="412"/>
      <c r="E2" s="412"/>
      <c r="F2" s="420" t="s">
        <v>492</v>
      </c>
      <c r="G2" s="421"/>
      <c r="H2" s="337" t="s">
        <v>497</v>
      </c>
      <c r="I2" s="338" t="s">
        <v>488</v>
      </c>
      <c r="J2" s="336" t="s">
        <v>489</v>
      </c>
      <c r="K2" s="413"/>
      <c r="L2" s="415" t="s">
        <v>537</v>
      </c>
      <c r="M2" s="256"/>
    </row>
    <row r="3" spans="1:13" ht="22.5" thickBot="1">
      <c r="A3" s="325"/>
      <c r="B3" s="410"/>
      <c r="C3" s="417" t="s">
        <v>536</v>
      </c>
      <c r="D3" s="418"/>
      <c r="E3" s="419"/>
      <c r="F3" s="422" t="s">
        <v>536</v>
      </c>
      <c r="G3" s="423"/>
      <c r="H3" s="339" t="s">
        <v>536</v>
      </c>
      <c r="I3" s="340" t="s">
        <v>505</v>
      </c>
      <c r="J3" s="340" t="s">
        <v>506</v>
      </c>
      <c r="K3" s="414"/>
      <c r="L3" s="416"/>
      <c r="M3" s="329"/>
    </row>
    <row r="4" spans="1:13" ht="53.25" customHeight="1" thickBot="1">
      <c r="A4" s="327"/>
      <c r="B4" s="341" t="s">
        <v>7</v>
      </c>
      <c r="C4" s="342"/>
      <c r="D4" s="343"/>
      <c r="E4" s="374">
        <v>393499</v>
      </c>
      <c r="F4" s="344" t="s">
        <v>493</v>
      </c>
      <c r="G4" s="371">
        <f>ROUND((예산!G5+예산!G26)/1000,0)</f>
        <v>393499</v>
      </c>
      <c r="H4" s="585" t="s">
        <v>535</v>
      </c>
      <c r="I4" s="345">
        <f>SUM(소진일정!H4:H9,소진일정!H19:H25)/SUM(소진일정!H18,소진일정!H31)</f>
        <v>0.37462211920158378</v>
      </c>
      <c r="J4" s="346">
        <v>1</v>
      </c>
      <c r="K4" s="385" t="s">
        <v>522</v>
      </c>
      <c r="L4" s="347" t="s">
        <v>521</v>
      </c>
      <c r="M4" s="332"/>
    </row>
    <row r="5" spans="1:13" ht="62.25" customHeight="1" thickBot="1">
      <c r="A5" s="328"/>
      <c r="B5" s="426" t="s">
        <v>490</v>
      </c>
      <c r="C5" s="428">
        <f>SUM(E5:E8)</f>
        <v>1251782</v>
      </c>
      <c r="D5" s="348" t="s">
        <v>495</v>
      </c>
      <c r="E5" s="372">
        <v>300225</v>
      </c>
      <c r="F5" s="349" t="s">
        <v>493</v>
      </c>
      <c r="G5" s="372">
        <f>ROUND((SUM(예산!G69,예산!G79:G80))/1000,0)</f>
        <v>300225</v>
      </c>
      <c r="H5" s="585" t="s">
        <v>535</v>
      </c>
      <c r="I5" s="350">
        <v>0</v>
      </c>
      <c r="J5" s="351">
        <v>1</v>
      </c>
      <c r="K5" s="387" t="s">
        <v>522</v>
      </c>
      <c r="L5" s="352" t="s">
        <v>518</v>
      </c>
      <c r="M5" s="331"/>
    </row>
    <row r="6" spans="1:13" ht="35.25" thickBot="1">
      <c r="A6" s="327"/>
      <c r="B6" s="409"/>
      <c r="C6" s="429"/>
      <c r="D6" s="406" t="s">
        <v>496</v>
      </c>
      <c r="E6" s="403">
        <v>951557</v>
      </c>
      <c r="F6" s="406" t="s">
        <v>493</v>
      </c>
      <c r="G6" s="403">
        <f>ROUND((SUM(예산!G70:G78,예산!G89))/1000,0)</f>
        <v>951557</v>
      </c>
      <c r="H6" s="586" t="s">
        <v>534</v>
      </c>
      <c r="I6" s="396">
        <f>SUM(소진일정!H34,소진일정!H39,소진일정!H40,소진일정!H41)/SUM(소진일정!H33:H41)</f>
        <v>0.10841568601044735</v>
      </c>
      <c r="J6" s="399">
        <v>1</v>
      </c>
      <c r="K6" s="386" t="s">
        <v>522</v>
      </c>
      <c r="L6" s="353" t="s">
        <v>525</v>
      </c>
      <c r="M6" s="332"/>
    </row>
    <row r="7" spans="1:13" ht="35.25" thickBot="1">
      <c r="A7" s="256"/>
      <c r="B7" s="409"/>
      <c r="C7" s="429"/>
      <c r="D7" s="407"/>
      <c r="E7" s="404"/>
      <c r="F7" s="407"/>
      <c r="G7" s="404"/>
      <c r="H7" s="587"/>
      <c r="I7" s="397"/>
      <c r="J7" s="397"/>
      <c r="K7" s="379" t="s">
        <v>523</v>
      </c>
      <c r="L7" s="354" t="s">
        <v>519</v>
      </c>
      <c r="M7" s="332"/>
    </row>
    <row r="8" spans="1:13" ht="27" thickBot="1">
      <c r="A8" s="327"/>
      <c r="B8" s="427"/>
      <c r="C8" s="430"/>
      <c r="D8" s="408"/>
      <c r="E8" s="405"/>
      <c r="F8" s="408"/>
      <c r="G8" s="405"/>
      <c r="H8" s="588"/>
      <c r="I8" s="398"/>
      <c r="J8" s="400"/>
      <c r="K8" s="380" t="s">
        <v>523</v>
      </c>
      <c r="L8" s="355" t="s">
        <v>526</v>
      </c>
      <c r="M8" s="332"/>
    </row>
    <row r="9" spans="1:13" ht="59.25" customHeight="1" thickBot="1">
      <c r="A9" s="325"/>
      <c r="B9" s="356" t="s">
        <v>72</v>
      </c>
      <c r="C9" s="357"/>
      <c r="D9" s="358"/>
      <c r="E9" s="375">
        <v>108040</v>
      </c>
      <c r="F9" s="349" t="s">
        <v>493</v>
      </c>
      <c r="G9" s="372">
        <f>ROUND(예산!G97/1000,0)</f>
        <v>108040</v>
      </c>
      <c r="H9" s="585" t="s">
        <v>535</v>
      </c>
      <c r="I9" s="350">
        <f>SUM(예산!G100,예산!G104,예산!G105,예산!G107:G119)/예산!G97</f>
        <v>0.56558470744496225</v>
      </c>
      <c r="J9" s="359">
        <v>1</v>
      </c>
      <c r="K9" s="378" t="s">
        <v>522</v>
      </c>
      <c r="L9" s="355" t="s">
        <v>520</v>
      </c>
      <c r="M9" s="329"/>
    </row>
    <row r="10" spans="1:13" ht="44.25" customHeight="1" thickBot="1">
      <c r="A10" s="329"/>
      <c r="B10" s="426" t="s">
        <v>84</v>
      </c>
      <c r="C10" s="424">
        <f>SUM(E10:E11)</f>
        <v>1153816</v>
      </c>
      <c r="D10" s="360" t="s">
        <v>498</v>
      </c>
      <c r="E10" s="376">
        <v>683000</v>
      </c>
      <c r="F10" s="349" t="s">
        <v>493</v>
      </c>
      <c r="G10" s="372">
        <f>ROUND(예산!G140/1000,0)</f>
        <v>683000</v>
      </c>
      <c r="H10" s="585" t="s">
        <v>535</v>
      </c>
      <c r="I10" s="350">
        <f>SUM(221100,28137)/683000</f>
        <v>0.36491508052708638</v>
      </c>
      <c r="J10" s="351">
        <f>674437/683000</f>
        <v>0.98746266471449484</v>
      </c>
      <c r="K10" s="378" t="s">
        <v>522</v>
      </c>
      <c r="L10" s="361" t="s">
        <v>530</v>
      </c>
    </row>
    <row r="11" spans="1:13" ht="51.75" customHeight="1" thickBot="1">
      <c r="B11" s="427"/>
      <c r="C11" s="425"/>
      <c r="D11" s="362" t="s">
        <v>499</v>
      </c>
      <c r="E11" s="375">
        <v>470816</v>
      </c>
      <c r="F11" s="349" t="s">
        <v>494</v>
      </c>
      <c r="G11" s="373">
        <f>ROUND(SUM(예산!G153,예산!G183,예산!G192,예산!G197,예산!G205,예산!G211,예산!G217,예산!G226,예산!G245)/1000,0)</f>
        <v>466805</v>
      </c>
      <c r="H11" s="585" t="s">
        <v>533</v>
      </c>
      <c r="I11" s="363">
        <f>SUM(소진일정!H117,소진일정!H118,소진일정!H126:H128,소진일정!H130,소진일정!H131,소진일정!H132,소진일정!H133,소진일정!H138,소진일정!H139,소진일정!H161,소진일정!H164,소진일정!H167:H169,소진일정!H171:H173)/소진일정!F176</f>
        <v>0.85420728574372773</v>
      </c>
      <c r="J11" s="351">
        <v>1</v>
      </c>
      <c r="K11" s="378" t="s">
        <v>522</v>
      </c>
      <c r="L11" s="364" t="s">
        <v>532</v>
      </c>
      <c r="M11" s="330"/>
    </row>
    <row r="12" spans="1:13" ht="51" customHeight="1" thickBot="1">
      <c r="A12" s="326"/>
      <c r="B12" s="356" t="s">
        <v>184</v>
      </c>
      <c r="C12" s="365"/>
      <c r="D12" s="366"/>
      <c r="E12" s="377">
        <v>2907122</v>
      </c>
      <c r="F12" s="349"/>
      <c r="G12" s="372">
        <f>ROUND(예산!G3/1000,0)</f>
        <v>2903126</v>
      </c>
      <c r="H12" s="585"/>
      <c r="I12" s="363">
        <f>SUM(예산!H4:H9,예산!G71,예산!G76:G78,예산!G79,예산!G80,예산!G100,예산!G104,예산!G105,예산!G106,예산!G107,예산!G108,예산!G109,예산!G110,예산!G111,예산!G112,예산!G114,예산!G115,예산!G116,예산!G117,예산!G118,예산!G119,예산!G146,예산!G147,예산!G163,예산!G165,예산!G166,예산!G167,예산!G168,예산!G169,예산!G170,예산!G171,예산!G174,예산!G175,예산!G176,예산!G177,예산!G181,예산!G189,예산!G190,예산!G210,예산!G216,예산!G221,예산!G222,예산!G223,예산!G236:G244)/예산!C3</f>
        <v>0.20879298403463672</v>
      </c>
      <c r="J12" s="589">
        <f>G12/C18</f>
        <v>0.98198011094574478</v>
      </c>
      <c r="K12" s="367"/>
      <c r="L12" s="364"/>
      <c r="M12" s="329"/>
    </row>
    <row r="13" spans="1:13" ht="27" thickBot="1">
      <c r="A13" s="325"/>
      <c r="B13" s="389" t="s">
        <v>491</v>
      </c>
      <c r="C13" s="431">
        <v>49263</v>
      </c>
      <c r="D13" s="432"/>
      <c r="E13" s="433"/>
      <c r="F13" s="368"/>
      <c r="G13" s="392">
        <f>2956400-G12</f>
        <v>53274</v>
      </c>
      <c r="H13" s="393"/>
      <c r="I13" s="394"/>
      <c r="J13" s="590">
        <f>G13/C18</f>
        <v>1.8019889054255174E-2</v>
      </c>
      <c r="K13" s="395"/>
      <c r="L13" s="364" t="s">
        <v>538</v>
      </c>
      <c r="M13" s="330"/>
    </row>
    <row r="14" spans="1:13" ht="15.75" thickBot="1">
      <c r="A14" s="325"/>
      <c r="B14" s="388"/>
      <c r="C14" s="388"/>
      <c r="D14" s="388"/>
      <c r="E14" s="390"/>
      <c r="F14" s="391"/>
      <c r="G14" s="391"/>
      <c r="H14" s="256"/>
      <c r="I14" s="388"/>
      <c r="J14" s="388"/>
      <c r="K14" s="388"/>
      <c r="L14" s="388"/>
      <c r="M14" s="330"/>
    </row>
    <row r="18" spans="2:3" ht="16.5">
      <c r="B18" s="334" t="s">
        <v>504</v>
      </c>
      <c r="C18" s="335">
        <v>2956400</v>
      </c>
    </row>
  </sheetData>
  <mergeCells count="20">
    <mergeCell ref="C10:C11"/>
    <mergeCell ref="D6:D8"/>
    <mergeCell ref="B5:B8"/>
    <mergeCell ref="C5:C8"/>
    <mergeCell ref="C13:E13"/>
    <mergeCell ref="B10:B11"/>
    <mergeCell ref="I6:I8"/>
    <mergeCell ref="J6:J8"/>
    <mergeCell ref="A1:M1"/>
    <mergeCell ref="E6:E8"/>
    <mergeCell ref="H6:H8"/>
    <mergeCell ref="G6:G8"/>
    <mergeCell ref="F6:F8"/>
    <mergeCell ref="B2:B3"/>
    <mergeCell ref="C2:E2"/>
    <mergeCell ref="K2:K3"/>
    <mergeCell ref="L2:L3"/>
    <mergeCell ref="C3:E3"/>
    <mergeCell ref="F2:G2"/>
    <mergeCell ref="F3:G3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2"/>
  <sheetViews>
    <sheetView tabSelected="1" topLeftCell="A97" workbookViewId="0">
      <selection activeCell="F62" sqref="F62"/>
    </sheetView>
  </sheetViews>
  <sheetFormatPr defaultColWidth="12.5703125" defaultRowHeight="15" customHeight="1"/>
  <cols>
    <col min="1" max="1" width="6" customWidth="1"/>
    <col min="2" max="2" width="44.5703125" bestFit="1" customWidth="1"/>
    <col min="3" max="3" width="48.42578125" customWidth="1"/>
    <col min="4" max="4" width="18" bestFit="1" customWidth="1"/>
    <col min="6" max="6" width="16.7109375" bestFit="1" customWidth="1"/>
    <col min="7" max="7" width="18.140625" bestFit="1" customWidth="1"/>
    <col min="8" max="8" width="33.140625" customWidth="1"/>
    <col min="9" max="9" width="8.85546875" customWidth="1"/>
    <col min="10" max="10" width="6" customWidth="1"/>
    <col min="11" max="11" width="22" customWidth="1"/>
    <col min="12" max="12" width="40.5703125" customWidth="1"/>
    <col min="13" max="13" width="14" bestFit="1" customWidth="1"/>
    <col min="15" max="15" width="12.140625" customWidth="1"/>
    <col min="16" max="16" width="16" bestFit="1" customWidth="1"/>
    <col min="17" max="17" width="47" customWidth="1"/>
    <col min="18" max="18" width="27.42578125" customWidth="1"/>
    <col min="19" max="19" width="17" customWidth="1"/>
    <col min="20" max="20" width="9.7109375" customWidth="1"/>
    <col min="21" max="21" width="21.140625" customWidth="1"/>
    <col min="22" max="22" width="11.7109375" customWidth="1"/>
    <col min="23" max="26" width="7.85546875" customWidth="1"/>
  </cols>
  <sheetData>
    <row r="1" spans="1:26" ht="41.25" customHeight="1">
      <c r="A1" s="467" t="s">
        <v>0</v>
      </c>
      <c r="B1" s="451"/>
      <c r="C1" s="451"/>
      <c r="D1" s="451"/>
      <c r="E1" s="451"/>
      <c r="F1" s="451"/>
      <c r="G1" s="451"/>
      <c r="H1" s="451"/>
      <c r="I1" s="2"/>
      <c r="J1" s="467" t="s">
        <v>1</v>
      </c>
      <c r="K1" s="451"/>
      <c r="L1" s="451"/>
      <c r="M1" s="451"/>
      <c r="N1" s="451"/>
      <c r="O1" s="451"/>
      <c r="P1" s="451"/>
      <c r="Q1" s="45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 t="s">
        <v>2</v>
      </c>
      <c r="C2" s="3">
        <f>3050000000 + 62000000</f>
        <v>3112000000</v>
      </c>
      <c r="D2" s="3"/>
      <c r="E2" s="3"/>
      <c r="F2" s="3"/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3">
        <v>1</v>
      </c>
      <c r="B3" s="3" t="s">
        <v>3</v>
      </c>
      <c r="C3" s="3">
        <f>C2*0.95</f>
        <v>2956400000</v>
      </c>
      <c r="D3" s="3"/>
      <c r="E3" s="3"/>
      <c r="F3" s="5" t="s">
        <v>4</v>
      </c>
      <c r="G3" s="6">
        <f>SUM(G5,G26,G66,G97,G128)</f>
        <v>2903126142.4000001</v>
      </c>
      <c r="H3" s="3">
        <f>C3-G3</f>
        <v>53273857.599999905</v>
      </c>
      <c r="I3" s="7"/>
      <c r="J3" s="3">
        <v>1</v>
      </c>
      <c r="K3" s="3" t="s">
        <v>3</v>
      </c>
      <c r="L3" s="8">
        <v>485690651</v>
      </c>
      <c r="M3" s="3"/>
      <c r="N3" s="3"/>
      <c r="O3" s="5" t="s">
        <v>4</v>
      </c>
      <c r="P3" s="6">
        <f>SUM(P5,P15,P26,P50,P56)</f>
        <v>485690651</v>
      </c>
      <c r="Q3" s="8">
        <f>L3</f>
        <v>485690651</v>
      </c>
      <c r="R3" s="8">
        <f>Q3-P3</f>
        <v>0</v>
      </c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8" t="s">
        <v>5</v>
      </c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 t="s">
        <v>6</v>
      </c>
      <c r="B5" s="9" t="s">
        <v>7</v>
      </c>
      <c r="C5" s="9"/>
      <c r="D5" s="9"/>
      <c r="E5" s="9"/>
      <c r="F5" s="9"/>
      <c r="G5" s="233">
        <f>SUM(G14,G19)</f>
        <v>214498758.40000001</v>
      </c>
      <c r="H5" s="3"/>
      <c r="I5" s="7"/>
      <c r="J5" s="9" t="s">
        <v>6</v>
      </c>
      <c r="K5" s="9" t="s">
        <v>7</v>
      </c>
      <c r="L5" s="9"/>
      <c r="M5" s="9"/>
      <c r="N5" s="9"/>
      <c r="O5" s="9"/>
      <c r="P5" s="10">
        <f>P13</f>
        <v>4028892</v>
      </c>
      <c r="Q5" s="8">
        <v>4028892</v>
      </c>
      <c r="R5" s="8">
        <f>Q5-P5</f>
        <v>0</v>
      </c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3"/>
      <c r="B6" s="11" t="s">
        <v>8</v>
      </c>
      <c r="C6" s="12" t="s">
        <v>9</v>
      </c>
      <c r="D6" s="12" t="s">
        <v>10</v>
      </c>
      <c r="E6" s="12" t="s">
        <v>11</v>
      </c>
      <c r="F6" s="13" t="s">
        <v>12</v>
      </c>
      <c r="G6" s="14" t="s">
        <v>13</v>
      </c>
      <c r="H6" s="3" t="s">
        <v>367</v>
      </c>
      <c r="I6" s="4"/>
      <c r="J6" s="3"/>
      <c r="K6" s="11" t="s">
        <v>8</v>
      </c>
      <c r="L6" s="11" t="s">
        <v>9</v>
      </c>
      <c r="M6" s="11" t="s">
        <v>10</v>
      </c>
      <c r="N6" s="11" t="s">
        <v>11</v>
      </c>
      <c r="O6" s="15" t="s">
        <v>12</v>
      </c>
      <c r="P6" s="16" t="s">
        <v>13</v>
      </c>
      <c r="Q6" s="3"/>
      <c r="R6" s="3"/>
      <c r="S6" s="8"/>
      <c r="T6" s="17"/>
      <c r="U6" s="17"/>
      <c r="V6" s="3"/>
      <c r="W6" s="3"/>
      <c r="X6" s="3"/>
      <c r="Y6" s="3"/>
      <c r="Z6" s="3"/>
    </row>
    <row r="7" spans="1:26" ht="16.5" customHeight="1">
      <c r="A7" s="3"/>
      <c r="B7" s="443" t="s">
        <v>14</v>
      </c>
      <c r="C7" s="11" t="s">
        <v>365</v>
      </c>
      <c r="D7" s="15" t="s">
        <v>16</v>
      </c>
      <c r="E7" s="11">
        <v>1815760</v>
      </c>
      <c r="F7" s="18">
        <v>2</v>
      </c>
      <c r="G7" s="11">
        <f>(E7*F7)+1192128+1047560</f>
        <v>5871208</v>
      </c>
      <c r="H7" s="454" t="s">
        <v>17</v>
      </c>
      <c r="I7" s="4"/>
      <c r="J7" s="3"/>
      <c r="K7" s="468" t="s">
        <v>14</v>
      </c>
      <c r="L7" s="11" t="s">
        <v>15</v>
      </c>
      <c r="M7" s="11" t="s">
        <v>16</v>
      </c>
      <c r="N7" s="11">
        <v>1815760</v>
      </c>
      <c r="O7" s="15">
        <v>2</v>
      </c>
      <c r="P7" s="11">
        <f>(N7*O7)-1223848+31720</f>
        <v>2439392</v>
      </c>
      <c r="Q7" s="20" t="s">
        <v>18</v>
      </c>
      <c r="R7" s="21"/>
      <c r="S7" s="8"/>
      <c r="T7" s="8"/>
      <c r="U7" s="8"/>
      <c r="V7" s="3"/>
      <c r="W7" s="3"/>
      <c r="X7" s="3"/>
      <c r="Y7" s="3"/>
      <c r="Z7" s="3"/>
    </row>
    <row r="8" spans="1:26" ht="16.5" customHeight="1">
      <c r="A8" s="3"/>
      <c r="B8" s="444"/>
      <c r="C8" s="11" t="s">
        <v>338</v>
      </c>
      <c r="D8" s="13" t="s">
        <v>16</v>
      </c>
      <c r="E8" s="11">
        <v>1589500</v>
      </c>
      <c r="F8" s="15">
        <v>3</v>
      </c>
      <c r="G8" s="11">
        <f t="shared" ref="G8:G11" si="0">E8*F8</f>
        <v>4768500</v>
      </c>
      <c r="H8" s="451"/>
      <c r="I8" s="4"/>
      <c r="J8" s="3"/>
      <c r="K8" s="444"/>
      <c r="L8" s="15" t="s">
        <v>19</v>
      </c>
      <c r="M8" s="18" t="s">
        <v>16</v>
      </c>
      <c r="N8" s="11">
        <v>1589500</v>
      </c>
      <c r="O8" s="18">
        <v>1</v>
      </c>
      <c r="P8" s="11">
        <f>N8*O8</f>
        <v>1589500</v>
      </c>
      <c r="Q8" s="22">
        <f>-1223848+31720</f>
        <v>-1192128</v>
      </c>
      <c r="R8" s="21"/>
      <c r="S8" s="8"/>
      <c r="T8" s="17"/>
      <c r="U8" s="17"/>
      <c r="V8" s="3"/>
      <c r="W8" s="3"/>
      <c r="X8" s="3"/>
      <c r="Y8" s="3"/>
      <c r="Z8" s="3"/>
    </row>
    <row r="9" spans="1:26" ht="16.5" customHeight="1">
      <c r="A9" s="3"/>
      <c r="B9" s="445"/>
      <c r="C9" s="216" t="s">
        <v>337</v>
      </c>
      <c r="D9" s="217" t="s">
        <v>339</v>
      </c>
      <c r="E9" s="216">
        <f>4668777*21/40</f>
        <v>2451107.9249999998</v>
      </c>
      <c r="F9" s="217">
        <v>8</v>
      </c>
      <c r="G9" s="216">
        <f t="shared" si="0"/>
        <v>19608863.399999999</v>
      </c>
      <c r="I9" s="212"/>
      <c r="J9" s="3"/>
      <c r="K9" s="445"/>
      <c r="L9" s="219"/>
      <c r="M9" s="213"/>
      <c r="N9" s="213"/>
      <c r="O9" s="213"/>
      <c r="P9" s="11"/>
      <c r="Q9" s="220"/>
      <c r="R9" s="21"/>
      <c r="S9" s="8"/>
      <c r="T9" s="17"/>
      <c r="U9" s="17"/>
      <c r="V9" s="3"/>
      <c r="W9" s="3"/>
      <c r="X9" s="3"/>
      <c r="Y9" s="3"/>
      <c r="Z9" s="3"/>
    </row>
    <row r="10" spans="1:26" ht="16.5" customHeight="1">
      <c r="A10" s="3"/>
      <c r="B10" s="453"/>
      <c r="C10" s="218" t="s">
        <v>336</v>
      </c>
      <c r="D10" s="218" t="s">
        <v>16</v>
      </c>
      <c r="E10" s="218">
        <v>4668777</v>
      </c>
      <c r="F10" s="218">
        <v>8</v>
      </c>
      <c r="G10" s="218">
        <f t="shared" si="0"/>
        <v>37350216</v>
      </c>
      <c r="H10" s="19"/>
      <c r="I10" s="4"/>
      <c r="J10" s="3"/>
      <c r="K10" s="444"/>
      <c r="L10" s="15"/>
      <c r="M10" s="18"/>
      <c r="N10" s="18"/>
      <c r="O10" s="18"/>
      <c r="P10" s="11"/>
      <c r="Q10" s="23"/>
      <c r="R10" s="21"/>
      <c r="S10" s="8"/>
      <c r="T10" s="17"/>
      <c r="U10" s="17"/>
      <c r="V10" s="3"/>
      <c r="W10" s="3"/>
      <c r="X10" s="3"/>
      <c r="Y10" s="3"/>
      <c r="Z10" s="3"/>
    </row>
    <row r="11" spans="1:26" ht="16.5" customHeight="1">
      <c r="A11" s="3"/>
      <c r="B11" s="453"/>
      <c r="C11" s="218" t="s">
        <v>387</v>
      </c>
      <c r="D11" s="218" t="s">
        <v>16</v>
      </c>
      <c r="E11" s="218">
        <v>4668777</v>
      </c>
      <c r="F11" s="218">
        <v>7</v>
      </c>
      <c r="G11" s="218">
        <f t="shared" si="0"/>
        <v>32681439</v>
      </c>
      <c r="H11" s="21"/>
      <c r="I11" s="4"/>
      <c r="J11" s="3"/>
      <c r="K11" s="446"/>
      <c r="L11" s="469" t="s">
        <v>21</v>
      </c>
      <c r="M11" s="458"/>
      <c r="N11" s="458"/>
      <c r="O11" s="459"/>
      <c r="P11" s="11">
        <f>SUM(P7:P8)</f>
        <v>4028892</v>
      </c>
      <c r="Q11" s="3"/>
      <c r="R11" s="3"/>
      <c r="S11" s="8"/>
      <c r="T11" s="17"/>
      <c r="U11" s="17"/>
      <c r="V11" s="3"/>
      <c r="W11" s="3"/>
      <c r="X11" s="3"/>
      <c r="Y11" s="3"/>
      <c r="Z11" s="3"/>
    </row>
    <row r="12" spans="1:26" ht="16.5" customHeight="1">
      <c r="A12" s="3"/>
      <c r="B12" s="453"/>
      <c r="C12" s="218" t="s">
        <v>413</v>
      </c>
      <c r="D12" s="218" t="s">
        <v>16</v>
      </c>
      <c r="E12" s="218">
        <v>3476422</v>
      </c>
      <c r="F12" s="218">
        <v>6</v>
      </c>
      <c r="G12" s="218">
        <f t="shared" ref="G12" si="1">E12*F12</f>
        <v>20858532</v>
      </c>
      <c r="H12" s="21"/>
      <c r="I12" s="212"/>
      <c r="J12" s="3"/>
      <c r="K12" s="46"/>
      <c r="L12" s="213"/>
      <c r="M12" s="214"/>
      <c r="N12" s="214"/>
      <c r="O12" s="215"/>
      <c r="P12" s="11"/>
      <c r="Q12" s="3"/>
      <c r="R12" s="3"/>
      <c r="S12" s="8"/>
      <c r="T12" s="17"/>
      <c r="U12" s="17"/>
      <c r="V12" s="3"/>
      <c r="W12" s="3"/>
      <c r="X12" s="3"/>
      <c r="Y12" s="3"/>
      <c r="Z12" s="3"/>
    </row>
    <row r="13" spans="1:26" ht="16.5" customHeight="1">
      <c r="A13" s="3"/>
      <c r="B13" s="456"/>
      <c r="C13" s="434" t="s">
        <v>21</v>
      </c>
      <c r="D13" s="470"/>
      <c r="E13" s="470"/>
      <c r="F13" s="470"/>
      <c r="G13" s="218">
        <f>SUM(G7:G12)</f>
        <v>121138758.40000001</v>
      </c>
      <c r="H13" s="3"/>
      <c r="I13" s="4"/>
      <c r="J13" s="3"/>
      <c r="K13" s="457" t="s">
        <v>22</v>
      </c>
      <c r="L13" s="458"/>
      <c r="M13" s="458"/>
      <c r="N13" s="458"/>
      <c r="O13" s="459"/>
      <c r="P13" s="26">
        <f>SUM(P11)</f>
        <v>4028892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"/>
      <c r="B14" s="469" t="s">
        <v>22</v>
      </c>
      <c r="C14" s="464"/>
      <c r="D14" s="464"/>
      <c r="E14" s="464"/>
      <c r="F14" s="466"/>
      <c r="G14" s="211">
        <f>SUM(G13)</f>
        <v>121138758.40000001</v>
      </c>
      <c r="H14" s="3"/>
      <c r="I14" s="4"/>
      <c r="J14" s="3"/>
      <c r="K14" s="3"/>
      <c r="L14" s="3"/>
      <c r="M14" s="3"/>
      <c r="N14" s="3"/>
      <c r="O14" s="3"/>
      <c r="P14" s="3"/>
      <c r="Q14" s="3" t="s">
        <v>23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"/>
      <c r="B15" s="3"/>
      <c r="C15" s="3"/>
      <c r="D15" s="3"/>
      <c r="E15" s="3"/>
      <c r="F15" s="3"/>
      <c r="G15" s="3"/>
      <c r="H15" s="3" t="s">
        <v>23</v>
      </c>
      <c r="I15" s="4"/>
      <c r="J15" s="9" t="s">
        <v>24</v>
      </c>
      <c r="K15" s="9" t="s">
        <v>25</v>
      </c>
      <c r="L15" s="9">
        <f>COUNT(#REF!,#REF!,#REF!)</f>
        <v>0</v>
      </c>
      <c r="M15" s="9"/>
      <c r="N15" s="9"/>
      <c r="O15" s="9"/>
      <c r="P15" s="10">
        <v>0</v>
      </c>
      <c r="Q15" s="8"/>
      <c r="R15" s="8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"/>
      <c r="B16" s="3" t="s">
        <v>26</v>
      </c>
      <c r="C16" s="3" t="s">
        <v>27</v>
      </c>
      <c r="D16" s="3"/>
      <c r="E16" s="3"/>
      <c r="F16" s="3"/>
      <c r="G16" s="3"/>
      <c r="H16" s="3"/>
      <c r="I16" s="4"/>
      <c r="J16" s="3"/>
      <c r="K16" s="11"/>
      <c r="L16" s="11"/>
      <c r="M16" s="11"/>
      <c r="N16" s="11"/>
      <c r="O16" s="11"/>
      <c r="P16" s="16"/>
      <c r="Q16" s="3"/>
      <c r="R16" s="3"/>
      <c r="S16" s="23"/>
      <c r="T16" s="3"/>
      <c r="U16" s="3"/>
      <c r="V16" s="3"/>
      <c r="W16" s="3"/>
      <c r="X16" s="3"/>
      <c r="Y16" s="3"/>
      <c r="Z16" s="3"/>
    </row>
    <row r="17" spans="1:26" ht="16.5" customHeight="1">
      <c r="A17" s="3"/>
      <c r="B17" s="11" t="s">
        <v>8</v>
      </c>
      <c r="C17" s="469" t="s">
        <v>28</v>
      </c>
      <c r="D17" s="458"/>
      <c r="E17" s="458"/>
      <c r="F17" s="459"/>
      <c r="G17" s="11" t="s">
        <v>13</v>
      </c>
      <c r="H17" s="3"/>
      <c r="I17" s="4"/>
      <c r="J17" s="3"/>
      <c r="K17" s="27"/>
      <c r="L17" s="11"/>
      <c r="M17" s="11"/>
      <c r="N17" s="11"/>
      <c r="O17" s="11"/>
      <c r="P17" s="1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"/>
      <c r="B18" s="11" t="s">
        <v>29</v>
      </c>
      <c r="C18" s="27"/>
      <c r="D18" s="27"/>
      <c r="E18" s="27"/>
      <c r="F18" s="27"/>
      <c r="G18" s="11">
        <f>C2*0.03</f>
        <v>93360000</v>
      </c>
      <c r="H18" s="3"/>
      <c r="I18" s="4"/>
      <c r="J18" s="3"/>
      <c r="K18" s="27"/>
      <c r="L18" s="27"/>
      <c r="M18" s="27"/>
      <c r="N18" s="27"/>
      <c r="O18" s="27"/>
      <c r="P18" s="1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"/>
      <c r="B19" s="469" t="s">
        <v>22</v>
      </c>
      <c r="C19" s="458"/>
      <c r="D19" s="458"/>
      <c r="E19" s="458"/>
      <c r="F19" s="459"/>
      <c r="G19" s="11">
        <f>G18</f>
        <v>93360000</v>
      </c>
      <c r="H19" s="3"/>
      <c r="I19" s="4"/>
      <c r="J19" s="3"/>
      <c r="K19" s="27"/>
      <c r="L19" s="27"/>
      <c r="M19" s="27"/>
      <c r="N19" s="27"/>
      <c r="O19" s="27"/>
      <c r="P19" s="1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"/>
      <c r="B20" s="3"/>
      <c r="C20" s="3"/>
      <c r="D20" s="3"/>
      <c r="E20" s="3"/>
      <c r="F20" s="3"/>
      <c r="G20" s="3"/>
      <c r="H20" s="3"/>
      <c r="I20" s="4" t="s">
        <v>23</v>
      </c>
      <c r="J20" s="3"/>
      <c r="K20" s="3"/>
      <c r="L20" s="3"/>
      <c r="M20" s="3"/>
      <c r="N20" s="3"/>
      <c r="O20" s="3"/>
      <c r="P20" s="3"/>
      <c r="Q20" s="3"/>
      <c r="R20" s="3"/>
      <c r="S20" s="8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3" t="s">
        <v>453</v>
      </c>
      <c r="C21" s="3"/>
      <c r="D21" s="3"/>
      <c r="E21" s="3"/>
      <c r="F21" s="3"/>
      <c r="G21" s="3"/>
      <c r="H21" s="3"/>
      <c r="I21" s="212"/>
      <c r="J21" s="3"/>
      <c r="K21" s="3"/>
      <c r="L21" s="3"/>
      <c r="M21" s="3"/>
      <c r="N21" s="3"/>
      <c r="O21" s="3"/>
      <c r="P21" s="3"/>
      <c r="Q21" s="3"/>
      <c r="R21" s="3"/>
      <c r="S21" s="8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11" t="s">
        <v>8</v>
      </c>
      <c r="C22" s="469" t="s">
        <v>28</v>
      </c>
      <c r="D22" s="458"/>
      <c r="E22" s="458"/>
      <c r="F22" s="459"/>
      <c r="G22" s="11" t="s">
        <v>13</v>
      </c>
      <c r="H22" s="3"/>
      <c r="I22" s="212"/>
      <c r="J22" s="3"/>
      <c r="K22" s="3"/>
      <c r="L22" s="3"/>
      <c r="M22" s="3"/>
      <c r="N22" s="3"/>
      <c r="O22" s="3"/>
      <c r="P22" s="3"/>
      <c r="Q22" s="3"/>
      <c r="R22" s="3"/>
      <c r="S22" s="8"/>
      <c r="T22" s="3"/>
      <c r="U22" s="3"/>
      <c r="V22" s="3"/>
      <c r="W22" s="3"/>
      <c r="X22" s="3"/>
      <c r="Y22" s="3"/>
      <c r="Z22" s="3"/>
    </row>
    <row r="23" spans="1:26" ht="16.5" customHeight="1">
      <c r="A23" s="3"/>
      <c r="B23" s="11" t="s">
        <v>29</v>
      </c>
      <c r="C23" s="27"/>
      <c r="D23" s="27"/>
      <c r="E23" s="27"/>
      <c r="F23" s="27"/>
      <c r="G23" s="11"/>
      <c r="H23" s="3"/>
      <c r="I23" s="212"/>
      <c r="J23" s="3"/>
      <c r="K23" s="3"/>
      <c r="L23" s="3"/>
      <c r="M23" s="3"/>
      <c r="N23" s="3"/>
      <c r="O23" s="3"/>
      <c r="P23" s="3"/>
      <c r="Q23" s="3"/>
      <c r="R23" s="3"/>
      <c r="S23" s="8"/>
      <c r="T23" s="3"/>
      <c r="U23" s="3"/>
      <c r="V23" s="3"/>
      <c r="W23" s="3"/>
      <c r="X23" s="3"/>
      <c r="Y23" s="3"/>
      <c r="Z23" s="3"/>
    </row>
    <row r="24" spans="1:26" ht="16.5" customHeight="1">
      <c r="A24" s="3"/>
      <c r="B24" s="469" t="s">
        <v>22</v>
      </c>
      <c r="C24" s="458"/>
      <c r="D24" s="458"/>
      <c r="E24" s="458"/>
      <c r="F24" s="459"/>
      <c r="G24" s="11"/>
      <c r="H24" s="3"/>
      <c r="I24" s="212"/>
      <c r="J24" s="3"/>
      <c r="K24" s="3"/>
      <c r="L24" s="3"/>
      <c r="M24" s="3"/>
      <c r="N24" s="3"/>
      <c r="O24" s="3"/>
      <c r="P24" s="3"/>
      <c r="Q24" s="3"/>
      <c r="R24" s="3"/>
      <c r="S24" s="8"/>
      <c r="T24" s="3"/>
      <c r="U24" s="3"/>
      <c r="V24" s="3"/>
      <c r="W24" s="3"/>
      <c r="X24" s="3"/>
      <c r="Y24" s="3"/>
      <c r="Z24" s="3"/>
    </row>
    <row r="25" spans="1:26" ht="16.5" customHeight="1">
      <c r="A25" s="3"/>
      <c r="B25" s="244"/>
      <c r="C25" s="119"/>
      <c r="D25" s="119"/>
      <c r="E25" s="119"/>
      <c r="F25" s="119"/>
      <c r="G25" s="244"/>
      <c r="H25" s="3"/>
      <c r="I25" s="212"/>
      <c r="J25" s="3"/>
      <c r="K25" s="3"/>
      <c r="L25" s="3"/>
      <c r="M25" s="3"/>
      <c r="N25" s="3"/>
      <c r="O25" s="3"/>
      <c r="P25" s="3"/>
      <c r="Q25" s="3"/>
      <c r="R25" s="3"/>
      <c r="S25" s="8"/>
      <c r="T25" s="3"/>
      <c r="U25" s="3"/>
      <c r="V25" s="3"/>
      <c r="W25" s="3"/>
      <c r="X25" s="3"/>
      <c r="Y25" s="3"/>
      <c r="Z25" s="3"/>
    </row>
    <row r="26" spans="1:26" ht="16.5" customHeight="1">
      <c r="A26" s="9" t="s">
        <v>24</v>
      </c>
      <c r="B26" s="9" t="s">
        <v>25</v>
      </c>
      <c r="C26" s="9">
        <f>COUNT(G28:G53,#REF!,G55:G62)</f>
        <v>34</v>
      </c>
      <c r="D26" s="9"/>
      <c r="E26" s="9"/>
      <c r="F26" s="9"/>
      <c r="G26" s="234">
        <f>SUM(G64)</f>
        <v>179000000</v>
      </c>
      <c r="H26" s="3"/>
      <c r="I26" s="4"/>
      <c r="J26" s="9" t="s">
        <v>30</v>
      </c>
      <c r="K26" s="9" t="s">
        <v>31</v>
      </c>
      <c r="L26" s="9"/>
      <c r="M26" s="9"/>
      <c r="N26" s="9"/>
      <c r="O26" s="9"/>
      <c r="P26" s="10">
        <f>P31</f>
        <v>282398210</v>
      </c>
      <c r="Q26" s="8">
        <v>282398210</v>
      </c>
      <c r="R26" s="8">
        <f>Q26-P26</f>
        <v>0</v>
      </c>
      <c r="S26" s="8"/>
      <c r="T26" s="3"/>
      <c r="U26" s="3"/>
      <c r="V26" s="3"/>
      <c r="W26" s="3"/>
      <c r="X26" s="3"/>
      <c r="Y26" s="3"/>
      <c r="Z26" s="3"/>
    </row>
    <row r="27" spans="1:26" ht="16.5" customHeight="1">
      <c r="A27" s="3"/>
      <c r="B27" s="11" t="s">
        <v>8</v>
      </c>
      <c r="C27" s="11" t="s">
        <v>9</v>
      </c>
      <c r="D27" s="11" t="s">
        <v>10</v>
      </c>
      <c r="E27" s="11" t="s">
        <v>11</v>
      </c>
      <c r="F27" s="15" t="s">
        <v>12</v>
      </c>
      <c r="G27" s="16" t="s">
        <v>13</v>
      </c>
      <c r="H27" s="3"/>
      <c r="I27" s="4"/>
      <c r="J27" s="3"/>
      <c r="K27" s="3" t="s">
        <v>32</v>
      </c>
      <c r="L27" s="3"/>
      <c r="M27" s="3"/>
      <c r="N27" s="3"/>
      <c r="O27" s="3"/>
      <c r="P27" s="3"/>
      <c r="Q27" s="3"/>
      <c r="R27" s="3"/>
      <c r="S27" s="8"/>
      <c r="T27" s="3"/>
      <c r="U27" s="3"/>
      <c r="V27" s="3"/>
      <c r="W27" s="3"/>
      <c r="X27" s="3"/>
      <c r="Y27" s="3"/>
      <c r="Z27" s="3"/>
    </row>
    <row r="28" spans="1:26" ht="16.5" customHeight="1">
      <c r="A28" s="3"/>
      <c r="B28" s="443" t="s">
        <v>33</v>
      </c>
      <c r="C28" s="11" t="s">
        <v>34</v>
      </c>
      <c r="D28" s="11" t="s">
        <v>35</v>
      </c>
      <c r="E28" s="11">
        <v>900000</v>
      </c>
      <c r="F28" s="15">
        <v>8</v>
      </c>
      <c r="G28" s="11">
        <f t="shared" ref="G28:G53" si="2">E28*F28</f>
        <v>7200000</v>
      </c>
      <c r="H28" s="460" t="s">
        <v>36</v>
      </c>
      <c r="I28" s="4"/>
      <c r="J28" s="3"/>
      <c r="K28" s="216" t="s">
        <v>37</v>
      </c>
      <c r="L28" s="216" t="s">
        <v>38</v>
      </c>
      <c r="M28" s="216" t="s">
        <v>39</v>
      </c>
      <c r="N28" s="216" t="s">
        <v>40</v>
      </c>
      <c r="O28" s="223" t="s">
        <v>41</v>
      </c>
      <c r="P28" s="216" t="s">
        <v>42</v>
      </c>
      <c r="Q28" s="3"/>
      <c r="R28" s="3"/>
      <c r="S28" s="8"/>
      <c r="T28" s="3"/>
      <c r="U28" s="3"/>
      <c r="V28" s="3"/>
      <c r="W28" s="3"/>
      <c r="X28" s="3"/>
      <c r="Y28" s="3"/>
      <c r="Z28" s="3"/>
    </row>
    <row r="29" spans="1:26" ht="16.5" customHeight="1">
      <c r="A29" s="3"/>
      <c r="B29" s="444"/>
      <c r="C29" s="11" t="s">
        <v>43</v>
      </c>
      <c r="D29" s="11" t="s">
        <v>44</v>
      </c>
      <c r="E29" s="11">
        <v>900000</v>
      </c>
      <c r="F29" s="15">
        <v>12</v>
      </c>
      <c r="G29" s="11">
        <f t="shared" si="2"/>
        <v>10800000</v>
      </c>
      <c r="H29" s="453"/>
      <c r="I29" s="4"/>
      <c r="J29" s="3"/>
      <c r="K29" s="218" t="s">
        <v>45</v>
      </c>
      <c r="L29" s="218" t="s">
        <v>46</v>
      </c>
      <c r="M29" s="218"/>
      <c r="N29" s="218">
        <v>1</v>
      </c>
      <c r="O29" s="218">
        <v>99990000</v>
      </c>
      <c r="P29" s="218">
        <v>95987810</v>
      </c>
      <c r="Q29" s="3" t="s">
        <v>47</v>
      </c>
      <c r="R29" s="8">
        <f>99990000*1-P29</f>
        <v>4002190</v>
      </c>
      <c r="S29" s="8"/>
      <c r="T29" s="3"/>
      <c r="U29" s="3"/>
      <c r="V29" s="3"/>
      <c r="W29" s="3"/>
      <c r="X29" s="3"/>
      <c r="Y29" s="3"/>
      <c r="Z29" s="3"/>
    </row>
    <row r="30" spans="1:26" ht="16.5" customHeight="1">
      <c r="A30" s="3"/>
      <c r="B30" s="444"/>
      <c r="C30" s="11" t="s">
        <v>48</v>
      </c>
      <c r="D30" s="11" t="s">
        <v>44</v>
      </c>
      <c r="E30" s="11">
        <v>900000</v>
      </c>
      <c r="F30" s="15">
        <v>12</v>
      </c>
      <c r="G30" s="11">
        <f t="shared" si="2"/>
        <v>10800000</v>
      </c>
      <c r="H30" s="3"/>
      <c r="I30" s="4"/>
      <c r="J30" s="3"/>
      <c r="K30" s="218"/>
      <c r="L30" s="218" t="s">
        <v>49</v>
      </c>
      <c r="M30" s="218"/>
      <c r="N30" s="218">
        <v>3</v>
      </c>
      <c r="O30" s="218">
        <v>62136800</v>
      </c>
      <c r="P30" s="218">
        <f>N30*O30</f>
        <v>186410400</v>
      </c>
      <c r="Q30" s="3" t="s">
        <v>50</v>
      </c>
      <c r="R30" s="8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"/>
      <c r="B31" s="444"/>
      <c r="C31" s="11" t="s">
        <v>51</v>
      </c>
      <c r="D31" s="11" t="s">
        <v>44</v>
      </c>
      <c r="E31" s="11">
        <v>900000</v>
      </c>
      <c r="F31" s="15">
        <v>3</v>
      </c>
      <c r="G31" s="11">
        <f t="shared" si="2"/>
        <v>2700000</v>
      </c>
      <c r="H31" s="462" t="s">
        <v>52</v>
      </c>
      <c r="I31" s="4"/>
      <c r="J31" s="3"/>
      <c r="K31" s="465" t="s">
        <v>22</v>
      </c>
      <c r="L31" s="464"/>
      <c r="M31" s="464"/>
      <c r="N31" s="464"/>
      <c r="O31" s="466"/>
      <c r="P31" s="224">
        <f>SUM(P29:P30)</f>
        <v>282398210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444"/>
      <c r="C32" s="11" t="s">
        <v>53</v>
      </c>
      <c r="D32" s="11" t="s">
        <v>44</v>
      </c>
      <c r="E32" s="11">
        <v>900000</v>
      </c>
      <c r="F32" s="15">
        <v>3</v>
      </c>
      <c r="G32" s="11">
        <f t="shared" si="2"/>
        <v>2700000</v>
      </c>
      <c r="H32" s="453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444"/>
      <c r="C33" s="11" t="s">
        <v>54</v>
      </c>
      <c r="D33" s="11" t="s">
        <v>55</v>
      </c>
      <c r="E33" s="11">
        <v>900000</v>
      </c>
      <c r="F33" s="15">
        <v>12</v>
      </c>
      <c r="G33" s="11">
        <f t="shared" si="2"/>
        <v>10800000</v>
      </c>
      <c r="H33" s="3"/>
      <c r="I33" s="4"/>
      <c r="J33" s="3"/>
      <c r="K33" s="3" t="s">
        <v>56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444"/>
      <c r="C34" s="11" t="s">
        <v>57</v>
      </c>
      <c r="D34" s="11" t="s">
        <v>55</v>
      </c>
      <c r="E34" s="11">
        <v>900000</v>
      </c>
      <c r="F34" s="15">
        <v>12</v>
      </c>
      <c r="G34" s="11">
        <f t="shared" si="2"/>
        <v>10800000</v>
      </c>
      <c r="H34" s="3"/>
      <c r="I34" s="4"/>
      <c r="J34" s="3"/>
      <c r="K34" s="11" t="s">
        <v>8</v>
      </c>
      <c r="L34" s="11" t="s">
        <v>37</v>
      </c>
      <c r="M34" s="11" t="s">
        <v>58</v>
      </c>
      <c r="N34" s="11" t="s">
        <v>40</v>
      </c>
      <c r="O34" s="28" t="s">
        <v>41</v>
      </c>
      <c r="P34" s="11" t="s">
        <v>42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444"/>
      <c r="C35" s="11" t="s">
        <v>59</v>
      </c>
      <c r="D35" s="11" t="s">
        <v>60</v>
      </c>
      <c r="E35" s="11">
        <v>1300000</v>
      </c>
      <c r="F35" s="15">
        <v>1</v>
      </c>
      <c r="G35" s="11">
        <f t="shared" si="2"/>
        <v>1300000</v>
      </c>
      <c r="H35" s="460" t="s">
        <v>61</v>
      </c>
      <c r="I35" s="4"/>
      <c r="J35" s="3"/>
      <c r="K35" s="27"/>
      <c r="L35" s="29"/>
      <c r="M35" s="11"/>
      <c r="N35" s="11"/>
      <c r="O35" s="31"/>
      <c r="P35" s="11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444"/>
      <c r="C36" s="11" t="s">
        <v>62</v>
      </c>
      <c r="D36" s="11" t="s">
        <v>60</v>
      </c>
      <c r="E36" s="11">
        <v>1300000</v>
      </c>
      <c r="F36" s="15">
        <v>1</v>
      </c>
      <c r="G36" s="11">
        <f t="shared" si="2"/>
        <v>1300000</v>
      </c>
      <c r="H36" s="453"/>
      <c r="I36" s="4"/>
      <c r="J36" s="3"/>
      <c r="K36" s="27"/>
      <c r="L36" s="29"/>
      <c r="M36" s="11"/>
      <c r="N36" s="11"/>
      <c r="O36" s="31"/>
      <c r="P36" s="11">
        <f t="shared" ref="P36:P38" si="3">O36*N36</f>
        <v>0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444"/>
      <c r="C37" s="11" t="s">
        <v>63</v>
      </c>
      <c r="D37" s="11" t="s">
        <v>64</v>
      </c>
      <c r="E37" s="11">
        <v>900000</v>
      </c>
      <c r="F37" s="18">
        <v>6</v>
      </c>
      <c r="G37" s="11">
        <f t="shared" si="2"/>
        <v>5400000</v>
      </c>
      <c r="H37" s="462" t="s">
        <v>65</v>
      </c>
      <c r="I37" s="4"/>
      <c r="J37" s="3"/>
      <c r="K37" s="27"/>
      <c r="L37" s="29"/>
      <c r="M37" s="11"/>
      <c r="N37" s="11"/>
      <c r="O37" s="31"/>
      <c r="P37" s="11">
        <f t="shared" si="3"/>
        <v>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444"/>
      <c r="C38" s="11" t="s">
        <v>66</v>
      </c>
      <c r="D38" s="11" t="s">
        <v>64</v>
      </c>
      <c r="E38" s="11">
        <v>900000</v>
      </c>
      <c r="F38" s="18">
        <v>6</v>
      </c>
      <c r="G38" s="11">
        <f t="shared" si="2"/>
        <v>5400000</v>
      </c>
      <c r="H38" s="453"/>
      <c r="I38" s="4"/>
      <c r="J38" s="3"/>
      <c r="K38" s="27"/>
      <c r="L38" s="29"/>
      <c r="M38" s="11"/>
      <c r="N38" s="11"/>
      <c r="O38" s="31"/>
      <c r="P38" s="11">
        <f t="shared" si="3"/>
        <v>0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444"/>
      <c r="C39" s="11" t="s">
        <v>20</v>
      </c>
      <c r="D39" s="11" t="s">
        <v>67</v>
      </c>
      <c r="E39" s="11">
        <v>900000</v>
      </c>
      <c r="F39" s="11">
        <v>0</v>
      </c>
      <c r="G39" s="11">
        <f t="shared" si="2"/>
        <v>0</v>
      </c>
      <c r="H39" s="30"/>
      <c r="I39" s="4"/>
      <c r="J39" s="3"/>
      <c r="K39" s="28"/>
      <c r="L39" s="18"/>
      <c r="M39" s="18"/>
      <c r="N39" s="18"/>
      <c r="O39" s="32"/>
      <c r="P39" s="16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444"/>
      <c r="C40" s="11" t="s">
        <v>20</v>
      </c>
      <c r="D40" s="11" t="s">
        <v>67</v>
      </c>
      <c r="E40" s="11">
        <v>900000</v>
      </c>
      <c r="F40" s="11">
        <v>0</v>
      </c>
      <c r="G40" s="11">
        <f t="shared" si="2"/>
        <v>0</v>
      </c>
      <c r="H40" s="30"/>
      <c r="I40" s="4"/>
      <c r="J40" s="3"/>
      <c r="K40" s="28"/>
      <c r="L40" s="18"/>
      <c r="M40" s="18"/>
      <c r="N40" s="18"/>
      <c r="O40" s="32"/>
      <c r="P40" s="16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444"/>
      <c r="C41" s="11" t="s">
        <v>20</v>
      </c>
      <c r="D41" s="11" t="s">
        <v>67</v>
      </c>
      <c r="E41" s="11">
        <v>900000</v>
      </c>
      <c r="F41" s="11">
        <v>0</v>
      </c>
      <c r="G41" s="11">
        <f t="shared" si="2"/>
        <v>0</v>
      </c>
      <c r="H41" s="462" t="s">
        <v>68</v>
      </c>
      <c r="I41" s="4"/>
      <c r="J41" s="3"/>
      <c r="K41" s="457" t="s">
        <v>22</v>
      </c>
      <c r="L41" s="458"/>
      <c r="M41" s="458"/>
      <c r="N41" s="458"/>
      <c r="O41" s="459"/>
      <c r="P41" s="16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444"/>
      <c r="C42" s="11" t="s">
        <v>20</v>
      </c>
      <c r="D42" s="11" t="s">
        <v>67</v>
      </c>
      <c r="E42" s="11">
        <v>900000</v>
      </c>
      <c r="F42" s="11">
        <v>0</v>
      </c>
      <c r="G42" s="11">
        <f t="shared" si="2"/>
        <v>0</v>
      </c>
      <c r="H42" s="453"/>
      <c r="I42" s="4"/>
      <c r="J42" s="3"/>
      <c r="K42" s="8"/>
      <c r="L42" s="8"/>
      <c r="M42" s="8"/>
      <c r="N42" s="8"/>
      <c r="O42" s="8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444"/>
      <c r="C43" s="11" t="s">
        <v>467</v>
      </c>
      <c r="D43" s="11" t="s">
        <v>69</v>
      </c>
      <c r="E43" s="11">
        <v>1200000</v>
      </c>
      <c r="F43" s="15">
        <v>3</v>
      </c>
      <c r="G43" s="11">
        <f t="shared" si="2"/>
        <v>3600000</v>
      </c>
      <c r="H43" s="453"/>
      <c r="I43" s="4"/>
      <c r="J43" s="3"/>
      <c r="K43" s="8"/>
      <c r="L43" s="8"/>
      <c r="M43" s="8"/>
      <c r="N43" s="8"/>
      <c r="O43" s="8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444"/>
      <c r="C44" s="11" t="s">
        <v>468</v>
      </c>
      <c r="D44" s="11" t="s">
        <v>69</v>
      </c>
      <c r="E44" s="11">
        <v>1200000</v>
      </c>
      <c r="F44" s="15">
        <v>3</v>
      </c>
      <c r="G44" s="11">
        <f t="shared" si="2"/>
        <v>3600000</v>
      </c>
      <c r="H44" s="453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444"/>
      <c r="C45" s="11" t="s">
        <v>469</v>
      </c>
      <c r="D45" s="11" t="s">
        <v>69</v>
      </c>
      <c r="E45" s="11">
        <v>1200000</v>
      </c>
      <c r="F45" s="15">
        <v>3</v>
      </c>
      <c r="G45" s="11">
        <f t="shared" si="2"/>
        <v>3600000</v>
      </c>
      <c r="H45" s="453"/>
      <c r="I45" s="4"/>
      <c r="J45" s="3"/>
      <c r="K45" s="3" t="s">
        <v>70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444"/>
      <c r="C46" s="11" t="s">
        <v>470</v>
      </c>
      <c r="D46" s="11" t="s">
        <v>69</v>
      </c>
      <c r="E46" s="11">
        <v>900000</v>
      </c>
      <c r="F46" s="15">
        <v>4</v>
      </c>
      <c r="G46" s="11">
        <f t="shared" si="2"/>
        <v>3600000</v>
      </c>
      <c r="H46" s="453"/>
      <c r="I46" s="4"/>
      <c r="J46" s="3"/>
      <c r="K46" s="12" t="s">
        <v>8</v>
      </c>
      <c r="L46" s="13" t="s">
        <v>28</v>
      </c>
      <c r="M46" s="33"/>
      <c r="N46" s="33"/>
      <c r="O46" s="34"/>
      <c r="P46" s="12" t="s">
        <v>13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444"/>
      <c r="C47" s="11" t="s">
        <v>471</v>
      </c>
      <c r="D47" s="11" t="s">
        <v>69</v>
      </c>
      <c r="E47" s="11">
        <v>900000</v>
      </c>
      <c r="F47" s="18">
        <v>4</v>
      </c>
      <c r="G47" s="11">
        <f t="shared" si="2"/>
        <v>3600000</v>
      </c>
      <c r="H47" s="453"/>
      <c r="I47" s="4"/>
      <c r="J47" s="3"/>
      <c r="K47" s="11"/>
      <c r="L47" s="11"/>
      <c r="M47" s="11"/>
      <c r="N47" s="27"/>
      <c r="O47" s="27"/>
      <c r="P47" s="11">
        <f>O47*N47</f>
        <v>0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444"/>
      <c r="C48" s="11" t="s">
        <v>472</v>
      </c>
      <c r="D48" s="11" t="s">
        <v>69</v>
      </c>
      <c r="E48" s="11">
        <v>900000</v>
      </c>
      <c r="F48" s="18">
        <v>4</v>
      </c>
      <c r="G48" s="11">
        <f t="shared" si="2"/>
        <v>3600000</v>
      </c>
      <c r="H48" s="453"/>
      <c r="I48" s="4"/>
      <c r="J48" s="3"/>
      <c r="K48" s="457" t="s">
        <v>22</v>
      </c>
      <c r="L48" s="458"/>
      <c r="M48" s="458"/>
      <c r="N48" s="458"/>
      <c r="O48" s="459"/>
      <c r="P48" s="16">
        <f>SUM(P47)</f>
        <v>0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444"/>
      <c r="C49" s="11" t="s">
        <v>473</v>
      </c>
      <c r="D49" s="11" t="s">
        <v>69</v>
      </c>
      <c r="E49" s="11">
        <v>900000</v>
      </c>
      <c r="F49" s="18">
        <v>4</v>
      </c>
      <c r="G49" s="11">
        <f t="shared" si="2"/>
        <v>3600000</v>
      </c>
      <c r="H49" s="453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444"/>
      <c r="C50" s="11" t="s">
        <v>474</v>
      </c>
      <c r="D50" s="11" t="s">
        <v>69</v>
      </c>
      <c r="E50" s="11">
        <v>900000</v>
      </c>
      <c r="F50" s="18">
        <v>4</v>
      </c>
      <c r="G50" s="11">
        <f t="shared" si="2"/>
        <v>3600000</v>
      </c>
      <c r="H50" s="453"/>
      <c r="I50" s="4"/>
      <c r="J50" s="9" t="s">
        <v>71</v>
      </c>
      <c r="K50" s="9" t="s">
        <v>72</v>
      </c>
      <c r="L50" s="9"/>
      <c r="M50" s="9"/>
      <c r="N50" s="9"/>
      <c r="O50" s="9"/>
      <c r="P50" s="10">
        <f>P54</f>
        <v>1144000</v>
      </c>
      <c r="Q50" s="8">
        <v>1144000</v>
      </c>
      <c r="R50" s="8">
        <f>Q50-P50</f>
        <v>0</v>
      </c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444"/>
      <c r="C51" s="11" t="s">
        <v>475</v>
      </c>
      <c r="D51" s="11" t="s">
        <v>69</v>
      </c>
      <c r="E51" s="11">
        <v>900000</v>
      </c>
      <c r="F51" s="18">
        <v>4</v>
      </c>
      <c r="G51" s="11">
        <f t="shared" si="2"/>
        <v>3600000</v>
      </c>
      <c r="H51" s="453"/>
      <c r="I51" s="4"/>
      <c r="J51" s="3"/>
      <c r="K51" s="3" t="s">
        <v>73</v>
      </c>
      <c r="L51" s="3"/>
      <c r="M51" s="3"/>
      <c r="N51" s="3"/>
      <c r="O51" s="3"/>
      <c r="P51" s="3"/>
      <c r="Q51" s="3"/>
      <c r="R51" s="8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444"/>
      <c r="C52" s="11" t="s">
        <v>476</v>
      </c>
      <c r="D52" s="11" t="s">
        <v>69</v>
      </c>
      <c r="E52" s="11">
        <v>900000</v>
      </c>
      <c r="F52" s="18">
        <v>4</v>
      </c>
      <c r="G52" s="11">
        <f t="shared" si="2"/>
        <v>3600000</v>
      </c>
      <c r="H52" s="453"/>
      <c r="I52" s="4"/>
      <c r="J52" s="3"/>
      <c r="K52" s="12" t="s">
        <v>37</v>
      </c>
      <c r="L52" s="12" t="s">
        <v>38</v>
      </c>
      <c r="M52" s="12" t="s">
        <v>39</v>
      </c>
      <c r="N52" s="12" t="s">
        <v>40</v>
      </c>
      <c r="O52" s="13" t="s">
        <v>74</v>
      </c>
      <c r="P52" s="12" t="s">
        <v>42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444"/>
      <c r="C53" s="11" t="s">
        <v>477</v>
      </c>
      <c r="D53" s="11" t="s">
        <v>69</v>
      </c>
      <c r="E53" s="11">
        <v>900000</v>
      </c>
      <c r="F53" s="18">
        <v>4</v>
      </c>
      <c r="G53" s="11">
        <f t="shared" si="2"/>
        <v>3600000</v>
      </c>
      <c r="H53" s="453"/>
      <c r="I53" s="4"/>
      <c r="J53" s="3"/>
      <c r="K53" s="11" t="s">
        <v>75</v>
      </c>
      <c r="L53" s="11" t="s">
        <v>76</v>
      </c>
      <c r="M53" s="12" t="s">
        <v>77</v>
      </c>
      <c r="N53" s="12">
        <v>1</v>
      </c>
      <c r="O53" s="13">
        <v>1144000</v>
      </c>
      <c r="P53" s="12">
        <f>N53*O53</f>
        <v>1144000</v>
      </c>
      <c r="Q53" s="22" t="s">
        <v>78</v>
      </c>
      <c r="R53" s="21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446"/>
      <c r="C54" s="469" t="s">
        <v>21</v>
      </c>
      <c r="D54" s="458"/>
      <c r="E54" s="458"/>
      <c r="F54" s="459"/>
      <c r="G54" s="11">
        <f>SUM(G28:G53)</f>
        <v>108800000</v>
      </c>
      <c r="H54" s="3"/>
      <c r="I54" s="4"/>
      <c r="J54" s="3"/>
      <c r="K54" s="457" t="s">
        <v>22</v>
      </c>
      <c r="L54" s="458"/>
      <c r="M54" s="458"/>
      <c r="N54" s="458"/>
      <c r="O54" s="459"/>
      <c r="P54" s="26">
        <f>SUM(P53)</f>
        <v>1144000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443" t="s">
        <v>79</v>
      </c>
      <c r="C55" s="11" t="s">
        <v>80</v>
      </c>
      <c r="D55" s="11" t="s">
        <v>81</v>
      </c>
      <c r="E55" s="11">
        <v>1300000</v>
      </c>
      <c r="F55" s="15">
        <v>12</v>
      </c>
      <c r="G55" s="11">
        <f t="shared" ref="G55:G62" si="4">E55*F55</f>
        <v>15600000</v>
      </c>
      <c r="H55" s="22"/>
      <c r="I55" s="4"/>
      <c r="J55" s="3"/>
      <c r="K55" s="3"/>
      <c r="L55" s="23"/>
      <c r="M55" s="23"/>
      <c r="N55" s="23"/>
      <c r="O55" s="2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444"/>
      <c r="C56" s="11" t="s">
        <v>82</v>
      </c>
      <c r="D56" s="11" t="s">
        <v>81</v>
      </c>
      <c r="E56" s="11">
        <v>1300000</v>
      </c>
      <c r="F56" s="15">
        <v>0</v>
      </c>
      <c r="G56" s="11">
        <f t="shared" si="4"/>
        <v>0</v>
      </c>
      <c r="H56" s="22"/>
      <c r="I56" s="4"/>
      <c r="J56" s="9" t="s">
        <v>83</v>
      </c>
      <c r="K56" s="9" t="s">
        <v>84</v>
      </c>
      <c r="L56" s="9"/>
      <c r="M56" s="9"/>
      <c r="N56" s="9"/>
      <c r="O56" s="9"/>
      <c r="P56" s="10">
        <f>SUM(P61,P69,P83,P89,P96,P102,P134,P127)</f>
        <v>198119549</v>
      </c>
      <c r="Q56" s="8">
        <v>198119549</v>
      </c>
      <c r="R56" s="8">
        <f>Q56-P56</f>
        <v>0</v>
      </c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444"/>
      <c r="C57" s="11" t="s">
        <v>85</v>
      </c>
      <c r="D57" s="11" t="s">
        <v>81</v>
      </c>
      <c r="E57" s="11">
        <v>1300000</v>
      </c>
      <c r="F57" s="15">
        <v>12</v>
      </c>
      <c r="G57" s="11">
        <f t="shared" si="4"/>
        <v>15600000</v>
      </c>
      <c r="H57" s="22"/>
      <c r="I57" s="4"/>
      <c r="J57" s="3"/>
      <c r="K57" s="3" t="s">
        <v>86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444"/>
      <c r="C58" s="11" t="s">
        <v>87</v>
      </c>
      <c r="D58" s="11" t="s">
        <v>81</v>
      </c>
      <c r="E58" s="11">
        <v>1300000</v>
      </c>
      <c r="F58" s="15">
        <v>12</v>
      </c>
      <c r="G58" s="11">
        <f t="shared" si="4"/>
        <v>15600000</v>
      </c>
      <c r="H58" s="22"/>
      <c r="I58" s="4"/>
      <c r="J58" s="3"/>
      <c r="K58" s="11" t="s">
        <v>8</v>
      </c>
      <c r="L58" s="11" t="s">
        <v>28</v>
      </c>
      <c r="M58" s="11"/>
      <c r="N58" s="11" t="s">
        <v>40</v>
      </c>
      <c r="O58" s="11" t="s">
        <v>74</v>
      </c>
      <c r="P58" s="11" t="s">
        <v>13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444"/>
      <c r="C59" s="11" t="s">
        <v>88</v>
      </c>
      <c r="D59" s="11" t="s">
        <v>81</v>
      </c>
      <c r="E59" s="11">
        <v>1300000</v>
      </c>
      <c r="F59" s="15">
        <v>6</v>
      </c>
      <c r="G59" s="11">
        <f t="shared" si="4"/>
        <v>7800000</v>
      </c>
      <c r="H59" s="462" t="s">
        <v>89</v>
      </c>
      <c r="I59" s="4"/>
      <c r="J59" s="21"/>
      <c r="K59" s="11"/>
      <c r="L59" s="11"/>
      <c r="M59" s="27"/>
      <c r="N59" s="27"/>
      <c r="O59" s="11"/>
      <c r="P59" s="11"/>
      <c r="Q59" s="21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444"/>
      <c r="C60" s="11" t="s">
        <v>90</v>
      </c>
      <c r="D60" s="11" t="s">
        <v>81</v>
      </c>
      <c r="E60" s="11">
        <v>1300000</v>
      </c>
      <c r="F60" s="15">
        <v>12</v>
      </c>
      <c r="G60" s="11">
        <f t="shared" si="4"/>
        <v>15600000</v>
      </c>
      <c r="H60" s="453"/>
      <c r="I60" s="4"/>
      <c r="J60" s="21"/>
      <c r="K60" s="11"/>
      <c r="L60" s="11"/>
      <c r="M60" s="27"/>
      <c r="N60" s="27"/>
      <c r="O60" s="11"/>
      <c r="P60" s="11"/>
      <c r="Q60" s="21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444"/>
      <c r="C61" s="11" t="s">
        <v>91</v>
      </c>
      <c r="D61" s="11" t="s">
        <v>81</v>
      </c>
      <c r="E61" s="11">
        <v>1300000</v>
      </c>
      <c r="F61" s="15">
        <v>0</v>
      </c>
      <c r="G61" s="11">
        <f t="shared" si="4"/>
        <v>0</v>
      </c>
      <c r="H61" s="3" t="s">
        <v>92</v>
      </c>
      <c r="I61" s="4"/>
      <c r="J61" s="3"/>
      <c r="K61" s="457" t="s">
        <v>22</v>
      </c>
      <c r="L61" s="458"/>
      <c r="M61" s="458"/>
      <c r="N61" s="458"/>
      <c r="O61" s="459"/>
      <c r="P61" s="11">
        <f>SUM(P59:P60)</f>
        <v>0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444"/>
      <c r="C62" s="11" t="s">
        <v>539</v>
      </c>
      <c r="D62" s="11" t="s">
        <v>81</v>
      </c>
      <c r="E62" s="11">
        <v>1300000</v>
      </c>
      <c r="F62" s="11">
        <v>0</v>
      </c>
      <c r="G62" s="11">
        <f t="shared" si="4"/>
        <v>0</v>
      </c>
      <c r="H62" s="3" t="s">
        <v>93</v>
      </c>
      <c r="I62" s="4"/>
      <c r="J62" s="3"/>
      <c r="K62" s="3"/>
      <c r="L62" s="3"/>
      <c r="M62" s="3"/>
      <c r="N62" s="3"/>
      <c r="O62" s="3"/>
      <c r="P62" s="3"/>
      <c r="Q62" s="2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446"/>
      <c r="C63" s="469" t="s">
        <v>21</v>
      </c>
      <c r="D63" s="458"/>
      <c r="E63" s="458"/>
      <c r="F63" s="459"/>
      <c r="G63" s="11">
        <f>SUM(G55:G62)</f>
        <v>70200000</v>
      </c>
      <c r="H63" s="3"/>
      <c r="I63" s="4"/>
      <c r="J63" s="3"/>
      <c r="K63" s="3" t="s">
        <v>94</v>
      </c>
      <c r="L63" s="3"/>
      <c r="M63" s="3"/>
      <c r="N63" s="3"/>
      <c r="O63" s="3"/>
      <c r="P63" s="3"/>
      <c r="Q63" s="2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469" t="s">
        <v>22</v>
      </c>
      <c r="C64" s="458"/>
      <c r="D64" s="458"/>
      <c r="E64" s="458"/>
      <c r="F64" s="459"/>
      <c r="G64" s="11">
        <f>SUM(G54,G63)</f>
        <v>179000000</v>
      </c>
      <c r="H64" s="3"/>
      <c r="I64" s="4"/>
      <c r="J64" s="3"/>
      <c r="K64" s="11" t="s">
        <v>8</v>
      </c>
      <c r="L64" s="15" t="s">
        <v>28</v>
      </c>
      <c r="M64" s="18"/>
      <c r="N64" s="18"/>
      <c r="O64" s="29"/>
      <c r="P64" s="11" t="s">
        <v>13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3"/>
      <c r="C65" s="3"/>
      <c r="D65" s="3"/>
      <c r="E65" s="3"/>
      <c r="F65" s="3"/>
      <c r="G65" s="3"/>
      <c r="H65" s="3"/>
      <c r="I65" s="4"/>
      <c r="J65" s="3"/>
      <c r="K65" s="443" t="s">
        <v>95</v>
      </c>
      <c r="L65" s="26"/>
      <c r="M65" s="35"/>
      <c r="N65" s="35"/>
      <c r="O65" s="35"/>
      <c r="P65" s="26"/>
      <c r="Q65" s="20"/>
      <c r="R65" s="36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9" t="s">
        <v>30</v>
      </c>
      <c r="B66" s="9" t="s">
        <v>31</v>
      </c>
      <c r="C66" s="9"/>
      <c r="D66" s="9"/>
      <c r="E66" s="9"/>
      <c r="F66" s="9"/>
      <c r="G66" s="234">
        <f>SUM(G82,G90,G95)</f>
        <v>1251782390</v>
      </c>
      <c r="H66" s="8"/>
      <c r="I66" s="4"/>
      <c r="J66" s="3"/>
      <c r="K66" s="444"/>
      <c r="L66" s="26"/>
      <c r="M66" s="35"/>
      <c r="N66" s="35"/>
      <c r="O66" s="35"/>
      <c r="P66" s="26"/>
      <c r="Q66" s="20"/>
      <c r="R66" s="21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3" t="s">
        <v>32</v>
      </c>
      <c r="C67" s="3"/>
      <c r="D67" s="3"/>
      <c r="E67" s="3"/>
      <c r="F67" s="3"/>
      <c r="G67" s="3"/>
      <c r="H67" s="3"/>
      <c r="I67" s="37"/>
      <c r="J67" s="3"/>
      <c r="K67" s="444"/>
      <c r="L67" s="26"/>
      <c r="M67" s="35"/>
      <c r="N67" s="35"/>
      <c r="O67" s="35"/>
      <c r="P67" s="26"/>
      <c r="Q67" s="20"/>
      <c r="R67" s="21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11" t="s">
        <v>37</v>
      </c>
      <c r="C68" s="11" t="s">
        <v>38</v>
      </c>
      <c r="D68" s="11" t="s">
        <v>39</v>
      </c>
      <c r="E68" s="11" t="s">
        <v>40</v>
      </c>
      <c r="F68" s="28" t="s">
        <v>41</v>
      </c>
      <c r="G68" s="11" t="s">
        <v>42</v>
      </c>
      <c r="H68" s="3"/>
      <c r="I68" s="37"/>
      <c r="J68" s="3"/>
      <c r="K68" s="446"/>
      <c r="L68" s="26"/>
      <c r="M68" s="35"/>
      <c r="N68" s="35"/>
      <c r="O68" s="35"/>
      <c r="P68" s="26"/>
      <c r="Q68" s="20"/>
      <c r="R68" s="21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11" t="s">
        <v>96</v>
      </c>
      <c r="C69" s="11" t="s">
        <v>46</v>
      </c>
      <c r="D69" s="11"/>
      <c r="E69" s="11">
        <v>3</v>
      </c>
      <c r="F69" s="11">
        <v>99990000</v>
      </c>
      <c r="G69" s="11">
        <f>F69*E69</f>
        <v>299970000</v>
      </c>
      <c r="H69" s="3" t="s">
        <v>97</v>
      </c>
      <c r="I69" s="4"/>
      <c r="J69" s="3"/>
      <c r="K69" s="457" t="s">
        <v>22</v>
      </c>
      <c r="L69" s="458"/>
      <c r="M69" s="458"/>
      <c r="N69" s="458"/>
      <c r="O69" s="459"/>
      <c r="P69" s="11">
        <f>SUM(P65:P68)</f>
        <v>0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475" t="s">
        <v>45</v>
      </c>
      <c r="C70" s="11" t="s">
        <v>46</v>
      </c>
      <c r="D70" s="11"/>
      <c r="E70" s="11">
        <v>2</v>
      </c>
      <c r="F70" s="11">
        <v>99990000</v>
      </c>
      <c r="G70" s="11">
        <f>F70*E70 + R29</f>
        <v>203982190</v>
      </c>
      <c r="H70" s="460" t="s">
        <v>98</v>
      </c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462"/>
      <c r="C71" s="11" t="s">
        <v>99</v>
      </c>
      <c r="D71" s="11"/>
      <c r="E71" s="11">
        <v>1</v>
      </c>
      <c r="F71" s="11">
        <v>29920000</v>
      </c>
      <c r="G71" s="11">
        <f t="shared" ref="G71:G81" si="5">F71*E71</f>
        <v>29920000</v>
      </c>
      <c r="H71" s="453"/>
      <c r="I71" s="4"/>
      <c r="J71" s="3"/>
      <c r="K71" s="3" t="s">
        <v>100</v>
      </c>
      <c r="L71" s="3"/>
      <c r="M71" s="3"/>
      <c r="N71" s="3"/>
      <c r="O71" s="3"/>
      <c r="P71" s="3"/>
      <c r="Q71" s="8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462"/>
      <c r="C72" s="11" t="s">
        <v>101</v>
      </c>
      <c r="D72" s="11"/>
      <c r="E72" s="11">
        <v>1</v>
      </c>
      <c r="F72" s="11">
        <v>97163000</v>
      </c>
      <c r="G72" s="11">
        <f t="shared" si="5"/>
        <v>97163000</v>
      </c>
      <c r="H72" s="460" t="s">
        <v>102</v>
      </c>
      <c r="I72" s="4"/>
      <c r="J72" s="3"/>
      <c r="K72" s="11" t="s">
        <v>8</v>
      </c>
      <c r="L72" s="13" t="s">
        <v>28</v>
      </c>
      <c r="M72" s="18"/>
      <c r="N72" s="18"/>
      <c r="O72" s="29"/>
      <c r="P72" s="11" t="s">
        <v>13</v>
      </c>
      <c r="Q72" s="8"/>
      <c r="R72" s="36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462"/>
      <c r="C73" s="216" t="s">
        <v>103</v>
      </c>
      <c r="D73" s="216"/>
      <c r="E73" s="216">
        <v>1</v>
      </c>
      <c r="F73" s="216">
        <v>98474200</v>
      </c>
      <c r="G73" s="216">
        <f t="shared" si="5"/>
        <v>98474200</v>
      </c>
      <c r="H73" s="453"/>
      <c r="I73" s="4"/>
      <c r="J73" s="3"/>
      <c r="K73" s="471" t="s">
        <v>104</v>
      </c>
      <c r="L73" s="38"/>
      <c r="M73" s="39"/>
      <c r="N73" s="40"/>
      <c r="O73" s="26"/>
      <c r="P73" s="26"/>
      <c r="Q73" s="41"/>
      <c r="R73" s="21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462"/>
      <c r="C74" s="218" t="s">
        <v>340</v>
      </c>
      <c r="D74" s="218"/>
      <c r="E74" s="218">
        <v>1</v>
      </c>
      <c r="F74" s="218">
        <v>95000000</v>
      </c>
      <c r="G74" s="218">
        <f t="shared" si="5"/>
        <v>95000000</v>
      </c>
      <c r="H74" s="119"/>
      <c r="I74" s="212"/>
      <c r="J74" s="3"/>
      <c r="K74" s="472"/>
      <c r="L74" s="221"/>
      <c r="M74" s="222"/>
      <c r="N74" s="40"/>
      <c r="O74" s="26"/>
      <c r="P74" s="26"/>
      <c r="Q74" s="41"/>
      <c r="R74" s="21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462"/>
      <c r="C75" s="287" t="s">
        <v>341</v>
      </c>
      <c r="D75" s="287"/>
      <c r="E75" s="287">
        <v>1</v>
      </c>
      <c r="F75" s="287">
        <v>352000000</v>
      </c>
      <c r="G75" s="287">
        <f t="shared" si="5"/>
        <v>352000000</v>
      </c>
      <c r="H75" s="119" t="s">
        <v>529</v>
      </c>
      <c r="I75" s="212"/>
      <c r="J75" s="3"/>
      <c r="K75" s="472"/>
      <c r="L75" s="221"/>
      <c r="M75" s="222"/>
      <c r="N75" s="40"/>
      <c r="O75" s="26"/>
      <c r="P75" s="26"/>
      <c r="Q75" s="41"/>
      <c r="R75" s="21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462"/>
      <c r="C76" s="218" t="s">
        <v>342</v>
      </c>
      <c r="D76" s="218"/>
      <c r="E76" s="218">
        <v>1</v>
      </c>
      <c r="F76" s="218">
        <v>22000000</v>
      </c>
      <c r="G76" s="218">
        <f t="shared" si="5"/>
        <v>22000000</v>
      </c>
      <c r="H76" s="119"/>
      <c r="I76" s="212"/>
      <c r="J76" s="3"/>
      <c r="K76" s="472"/>
      <c r="L76" s="221"/>
      <c r="M76" s="222"/>
      <c r="N76" s="40"/>
      <c r="O76" s="26"/>
      <c r="P76" s="26"/>
      <c r="Q76" s="41"/>
      <c r="R76" s="21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462"/>
      <c r="C77" s="218" t="s">
        <v>343</v>
      </c>
      <c r="D77" s="218"/>
      <c r="E77" s="218">
        <v>1</v>
      </c>
      <c r="F77" s="218">
        <v>8030000</v>
      </c>
      <c r="G77" s="218">
        <f t="shared" si="5"/>
        <v>8030000</v>
      </c>
      <c r="H77" s="119"/>
      <c r="I77" s="212"/>
      <c r="J77" s="3"/>
      <c r="K77" s="472"/>
      <c r="L77" s="221"/>
      <c r="M77" s="222"/>
      <c r="N77" s="40"/>
      <c r="O77" s="26"/>
      <c r="P77" s="26"/>
      <c r="Q77" s="41"/>
      <c r="R77" s="21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462"/>
      <c r="C78" s="270" t="s">
        <v>358</v>
      </c>
      <c r="D78" s="270"/>
      <c r="E78" s="270">
        <v>1</v>
      </c>
      <c r="F78" s="270">
        <v>42988000</v>
      </c>
      <c r="G78" s="270">
        <f t="shared" si="5"/>
        <v>42988000</v>
      </c>
      <c r="H78" s="235">
        <f>SUM(G74:G78)</f>
        <v>520018000</v>
      </c>
      <c r="I78" s="212"/>
      <c r="J78" s="3"/>
      <c r="K78" s="472"/>
      <c r="L78" s="221"/>
      <c r="M78" s="222"/>
      <c r="N78" s="40"/>
      <c r="O78" s="26"/>
      <c r="P78" s="26"/>
      <c r="Q78" s="41"/>
      <c r="R78" s="21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218" t="s">
        <v>450</v>
      </c>
      <c r="C79" s="218" t="s">
        <v>451</v>
      </c>
      <c r="D79" s="218"/>
      <c r="E79" s="218">
        <v>1</v>
      </c>
      <c r="F79" s="218">
        <v>165000</v>
      </c>
      <c r="G79" s="218">
        <f t="shared" si="5"/>
        <v>165000</v>
      </c>
      <c r="H79" s="235"/>
      <c r="I79" s="212"/>
      <c r="J79" s="3"/>
      <c r="K79" s="472"/>
      <c r="L79" s="221"/>
      <c r="M79" s="222"/>
      <c r="N79" s="40"/>
      <c r="O79" s="26"/>
      <c r="P79" s="26"/>
      <c r="Q79" s="41"/>
      <c r="R79" s="21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435" t="s">
        <v>461</v>
      </c>
      <c r="C80" s="218" t="s">
        <v>462</v>
      </c>
      <c r="D80" s="218"/>
      <c r="E80" s="218">
        <v>3</v>
      </c>
      <c r="F80" s="218">
        <v>30000</v>
      </c>
      <c r="G80" s="218">
        <f t="shared" si="5"/>
        <v>90000</v>
      </c>
      <c r="H80" s="235"/>
      <c r="I80" s="212"/>
      <c r="J80" s="3"/>
      <c r="K80" s="472"/>
      <c r="L80" s="221"/>
      <c r="M80" s="222"/>
      <c r="N80" s="40"/>
      <c r="O80" s="26"/>
      <c r="P80" s="26"/>
      <c r="Q80" s="41"/>
      <c r="R80" s="21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436"/>
      <c r="C81" s="218" t="s">
        <v>463</v>
      </c>
      <c r="D81" s="218"/>
      <c r="E81" s="218">
        <v>0</v>
      </c>
      <c r="F81" s="218">
        <v>30000</v>
      </c>
      <c r="G81" s="218">
        <f t="shared" si="5"/>
        <v>0</v>
      </c>
      <c r="H81" s="235"/>
      <c r="I81" s="212"/>
      <c r="J81" s="3"/>
      <c r="K81" s="472"/>
      <c r="L81" s="221"/>
      <c r="M81" s="222"/>
      <c r="N81" s="40"/>
      <c r="O81" s="26"/>
      <c r="P81" s="26"/>
      <c r="Q81" s="41"/>
      <c r="R81" s="21"/>
      <c r="S81" s="3"/>
      <c r="T81" s="3"/>
      <c r="U81" s="3"/>
      <c r="V81" s="3"/>
      <c r="W81" s="3"/>
      <c r="X81" s="3"/>
      <c r="Y81" s="3"/>
      <c r="Z81" s="3"/>
    </row>
    <row r="82" spans="1:26" ht="16.5">
      <c r="A82" s="3"/>
      <c r="B82" s="218" t="s">
        <v>22</v>
      </c>
      <c r="C82" s="271"/>
      <c r="D82" s="271"/>
      <c r="E82" s="271"/>
      <c r="F82" s="271"/>
      <c r="G82" s="272">
        <f>SUM(G69:G81)</f>
        <v>1249782390</v>
      </c>
      <c r="H82" s="253" t="s">
        <v>364</v>
      </c>
      <c r="I82" s="4"/>
      <c r="J82" s="3"/>
      <c r="K82" s="473"/>
      <c r="L82" s="38"/>
      <c r="M82" s="39"/>
      <c r="N82" s="40"/>
      <c r="O82" s="26"/>
      <c r="P82" s="26"/>
      <c r="Q82" s="41"/>
      <c r="R82" s="21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3"/>
      <c r="C83" s="3"/>
      <c r="D83" s="3"/>
      <c r="E83" s="3"/>
      <c r="F83" s="3"/>
      <c r="G83" s="3"/>
      <c r="H83" s="3"/>
      <c r="I83" s="4"/>
      <c r="J83" s="3"/>
      <c r="K83" s="457" t="s">
        <v>22</v>
      </c>
      <c r="L83" s="458"/>
      <c r="M83" s="458"/>
      <c r="N83" s="458"/>
      <c r="O83" s="459"/>
      <c r="P83" s="11">
        <f>SUM(P73:P82)</f>
        <v>0</v>
      </c>
      <c r="Q83" s="36"/>
      <c r="R83" s="21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3"/>
      <c r="C84" s="3"/>
      <c r="D84" s="3"/>
      <c r="E84" s="3"/>
      <c r="F84" s="3"/>
      <c r="G84" s="3"/>
      <c r="H84" s="44"/>
      <c r="I84" s="4"/>
      <c r="J84" s="3"/>
      <c r="K84" s="3"/>
      <c r="L84" s="3"/>
      <c r="M84" s="3"/>
      <c r="N84" s="3"/>
      <c r="O84" s="3"/>
      <c r="P84" s="3"/>
      <c r="Q84" s="36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3" t="s">
        <v>56</v>
      </c>
      <c r="C85" s="3"/>
      <c r="D85" s="3"/>
      <c r="E85" s="3"/>
      <c r="F85" s="3"/>
      <c r="G85" s="3"/>
      <c r="H85" s="3"/>
      <c r="I85" s="4"/>
      <c r="J85" s="3"/>
      <c r="K85" s="3" t="s">
        <v>105</v>
      </c>
      <c r="L85" s="3"/>
      <c r="M85" s="3"/>
      <c r="N85" s="3"/>
      <c r="O85" s="3"/>
      <c r="P85" s="3"/>
      <c r="Q85" s="3"/>
      <c r="R85" s="3"/>
      <c r="S85" s="8"/>
      <c r="T85" s="8"/>
      <c r="U85" s="8"/>
      <c r="V85" s="21"/>
      <c r="W85" s="450"/>
      <c r="X85" s="451"/>
      <c r="Y85" s="451"/>
      <c r="Z85" s="21"/>
    </row>
    <row r="86" spans="1:26" ht="16.5" customHeight="1">
      <c r="A86" s="3"/>
      <c r="B86" s="11" t="s">
        <v>8</v>
      </c>
      <c r="C86" s="11" t="s">
        <v>37</v>
      </c>
      <c r="D86" s="11" t="s">
        <v>58</v>
      </c>
      <c r="E86" s="11" t="s">
        <v>40</v>
      </c>
      <c r="F86" s="28" t="s">
        <v>41</v>
      </c>
      <c r="G86" s="11" t="s">
        <v>42</v>
      </c>
      <c r="H86" s="3"/>
      <c r="I86" s="4"/>
      <c r="J86" s="3"/>
      <c r="K86" s="11" t="s">
        <v>8</v>
      </c>
      <c r="L86" s="11" t="s">
        <v>28</v>
      </c>
      <c r="M86" s="11"/>
      <c r="N86" s="11"/>
      <c r="O86" s="11"/>
      <c r="P86" s="11"/>
      <c r="Q86" s="3"/>
      <c r="R86" s="21"/>
      <c r="S86" s="8"/>
      <c r="T86" s="8"/>
      <c r="U86" s="8"/>
      <c r="V86" s="21"/>
      <c r="W86" s="450"/>
      <c r="X86" s="451"/>
      <c r="Y86" s="451"/>
      <c r="Z86" s="21"/>
    </row>
    <row r="87" spans="1:26" ht="16.5" customHeight="1">
      <c r="A87" s="3"/>
      <c r="B87" s="12" t="s">
        <v>106</v>
      </c>
      <c r="C87" s="288" t="s">
        <v>107</v>
      </c>
      <c r="D87" s="289"/>
      <c r="E87" s="289">
        <v>0</v>
      </c>
      <c r="F87" s="290">
        <v>20000000</v>
      </c>
      <c r="G87" s="289">
        <f t="shared" ref="G87:G89" si="6">F87*E87</f>
        <v>0</v>
      </c>
      <c r="H87" s="22"/>
      <c r="I87" s="4"/>
      <c r="J87" s="3"/>
      <c r="K87" s="11" t="s">
        <v>108</v>
      </c>
      <c r="L87" s="11">
        <v>18480000</v>
      </c>
      <c r="M87" s="11"/>
      <c r="N87" s="11"/>
      <c r="O87" s="11"/>
      <c r="P87" s="11">
        <v>18480000</v>
      </c>
      <c r="Q87" s="452" t="s">
        <v>109</v>
      </c>
      <c r="R87" s="454" t="s">
        <v>110</v>
      </c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455" t="s">
        <v>111</v>
      </c>
      <c r="C88" s="289" t="s">
        <v>112</v>
      </c>
      <c r="D88" s="289"/>
      <c r="E88" s="289">
        <v>0</v>
      </c>
      <c r="F88" s="290">
        <v>8000000</v>
      </c>
      <c r="G88" s="289">
        <f t="shared" si="6"/>
        <v>0</v>
      </c>
      <c r="H88" s="22"/>
      <c r="I88" s="4"/>
      <c r="J88" s="3"/>
      <c r="K88" s="11" t="s">
        <v>113</v>
      </c>
      <c r="L88" s="11">
        <v>21120000</v>
      </c>
      <c r="M88" s="11"/>
      <c r="N88" s="11"/>
      <c r="O88" s="11"/>
      <c r="P88" s="11">
        <v>21120000</v>
      </c>
      <c r="Q88" s="453"/>
      <c r="R88" s="451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456"/>
      <c r="C89" s="11" t="s">
        <v>114</v>
      </c>
      <c r="D89" s="11"/>
      <c r="E89" s="11">
        <v>1</v>
      </c>
      <c r="F89" s="31">
        <v>2000000</v>
      </c>
      <c r="G89" s="11">
        <f t="shared" si="6"/>
        <v>2000000</v>
      </c>
      <c r="H89" s="460" t="s">
        <v>115</v>
      </c>
      <c r="I89" s="4"/>
      <c r="J89" s="3"/>
      <c r="K89" s="457" t="s">
        <v>22</v>
      </c>
      <c r="L89" s="458"/>
      <c r="M89" s="458"/>
      <c r="N89" s="458"/>
      <c r="O89" s="459"/>
      <c r="P89" s="11">
        <f>SUM(P87,P88)</f>
        <v>39600000</v>
      </c>
      <c r="Q89" s="3"/>
      <c r="R89" s="47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15" t="s">
        <v>22</v>
      </c>
      <c r="C90" s="48"/>
      <c r="D90" s="48"/>
      <c r="E90" s="48"/>
      <c r="F90" s="49"/>
      <c r="G90" s="16">
        <f>SUM(G87:G89)</f>
        <v>2000000</v>
      </c>
      <c r="H90" s="453"/>
      <c r="I90" s="4"/>
      <c r="J90" s="3"/>
      <c r="K90" s="3"/>
      <c r="L90" s="3"/>
      <c r="M90" s="3"/>
      <c r="N90" s="3"/>
      <c r="O90" s="3"/>
      <c r="P90" s="3"/>
      <c r="Q90" s="3"/>
      <c r="R90" s="47"/>
      <c r="S90" s="50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3"/>
      <c r="C91" s="3"/>
      <c r="D91" s="3"/>
      <c r="E91" s="3"/>
      <c r="F91" s="3"/>
      <c r="G91" s="3"/>
      <c r="H91" s="3"/>
      <c r="I91" s="7"/>
      <c r="J91" s="3"/>
      <c r="K91" s="3" t="s">
        <v>116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3" t="s">
        <v>70</v>
      </c>
      <c r="C92" s="3"/>
      <c r="D92" s="3"/>
      <c r="E92" s="3"/>
      <c r="F92" s="3"/>
      <c r="G92" s="3"/>
      <c r="H92" s="3"/>
      <c r="I92" s="4"/>
      <c r="J92" s="3"/>
      <c r="K92" s="11" t="s">
        <v>8</v>
      </c>
      <c r="L92" s="15" t="s">
        <v>28</v>
      </c>
      <c r="M92" s="18"/>
      <c r="N92" s="18"/>
      <c r="O92" s="29"/>
      <c r="P92" s="11" t="s">
        <v>13</v>
      </c>
      <c r="Q92" s="3"/>
      <c r="R92" s="47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12" t="s">
        <v>8</v>
      </c>
      <c r="C93" s="13" t="s">
        <v>28</v>
      </c>
      <c r="D93" s="33"/>
      <c r="E93" s="33"/>
      <c r="F93" s="34"/>
      <c r="G93" s="12" t="s">
        <v>13</v>
      </c>
      <c r="H93" s="3"/>
      <c r="I93" s="4"/>
      <c r="J93" s="3"/>
      <c r="K93" s="443" t="s">
        <v>117</v>
      </c>
      <c r="L93" s="11" t="s">
        <v>118</v>
      </c>
      <c r="M93" s="27"/>
      <c r="N93" s="31">
        <v>500000</v>
      </c>
      <c r="O93" s="11">
        <v>1</v>
      </c>
      <c r="P93" s="11">
        <f t="shared" ref="P93:P95" si="7">N93*O93</f>
        <v>500000</v>
      </c>
      <c r="Q93" s="3"/>
      <c r="R93" s="47"/>
      <c r="S93" s="50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11"/>
      <c r="C94" s="11"/>
      <c r="D94" s="11"/>
      <c r="E94" s="27"/>
      <c r="F94" s="27"/>
      <c r="G94" s="11">
        <f>F94*E94</f>
        <v>0</v>
      </c>
      <c r="H94" s="3"/>
      <c r="I94" s="4"/>
      <c r="J94" s="3"/>
      <c r="K94" s="444"/>
      <c r="L94" s="11" t="s">
        <v>119</v>
      </c>
      <c r="M94" s="27"/>
      <c r="N94" s="31">
        <v>50000</v>
      </c>
      <c r="O94" s="11">
        <v>1</v>
      </c>
      <c r="P94" s="11">
        <f t="shared" si="7"/>
        <v>50000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24" t="s">
        <v>22</v>
      </c>
      <c r="C95" s="48"/>
      <c r="D95" s="48"/>
      <c r="E95" s="48"/>
      <c r="F95" s="49"/>
      <c r="G95" s="16">
        <f>SUM(G94)</f>
        <v>0</v>
      </c>
      <c r="H95" s="3"/>
      <c r="I95" s="4"/>
      <c r="J95" s="3"/>
      <c r="K95" s="446"/>
      <c r="L95" s="11" t="s">
        <v>120</v>
      </c>
      <c r="M95" s="27"/>
      <c r="N95" s="31">
        <f>69279-9250</f>
        <v>60029</v>
      </c>
      <c r="O95" s="11">
        <v>1</v>
      </c>
      <c r="P95" s="11">
        <f t="shared" si="7"/>
        <v>60029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3"/>
      <c r="C96" s="3"/>
      <c r="D96" s="3"/>
      <c r="E96" s="3"/>
      <c r="F96" s="3"/>
      <c r="G96" s="3"/>
      <c r="H96" s="3"/>
      <c r="I96" s="4"/>
      <c r="J96" s="3"/>
      <c r="K96" s="457" t="s">
        <v>22</v>
      </c>
      <c r="L96" s="458"/>
      <c r="M96" s="458"/>
      <c r="N96" s="458"/>
      <c r="O96" s="459"/>
      <c r="P96" s="11">
        <f>SUM(P93:P95)</f>
        <v>610029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9" t="s">
        <v>71</v>
      </c>
      <c r="B97" s="51" t="s">
        <v>72</v>
      </c>
      <c r="C97" s="9"/>
      <c r="D97" s="9"/>
      <c r="E97" s="9"/>
      <c r="F97" s="9"/>
      <c r="G97" s="240">
        <f>SUM(G125)</f>
        <v>108039500</v>
      </c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3" t="s">
        <v>73</v>
      </c>
      <c r="C98" s="3"/>
      <c r="D98" s="3"/>
      <c r="E98" s="3"/>
      <c r="F98" s="3"/>
      <c r="G98" s="3"/>
      <c r="H98" s="3"/>
      <c r="I98" s="4"/>
      <c r="J98" s="3"/>
      <c r="K98" s="3" t="s">
        <v>121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12" t="s">
        <v>37</v>
      </c>
      <c r="C99" s="12" t="s">
        <v>38</v>
      </c>
      <c r="D99" s="12" t="s">
        <v>39</v>
      </c>
      <c r="E99" s="12" t="s">
        <v>40</v>
      </c>
      <c r="F99" s="52" t="s">
        <v>74</v>
      </c>
      <c r="G99" s="12" t="s">
        <v>42</v>
      </c>
      <c r="H99" s="3"/>
      <c r="I99" s="4"/>
      <c r="J99" s="3"/>
      <c r="K99" s="11" t="s">
        <v>8</v>
      </c>
      <c r="L99" s="15" t="s">
        <v>28</v>
      </c>
      <c r="M99" s="18"/>
      <c r="N99" s="18"/>
      <c r="O99" s="29"/>
      <c r="P99" s="11" t="s">
        <v>13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11" t="s">
        <v>75</v>
      </c>
      <c r="C100" s="11" t="s">
        <v>76</v>
      </c>
      <c r="D100" s="11" t="s">
        <v>122</v>
      </c>
      <c r="E100" s="11">
        <v>50</v>
      </c>
      <c r="F100" s="31">
        <v>84390.18</v>
      </c>
      <c r="G100" s="11">
        <f>F100*E100-1144000</f>
        <v>3075509</v>
      </c>
      <c r="H100" s="3" t="s">
        <v>123</v>
      </c>
      <c r="I100" s="4"/>
      <c r="J100" s="3"/>
      <c r="K100" s="11" t="s">
        <v>124</v>
      </c>
      <c r="L100" s="11" t="s">
        <v>125</v>
      </c>
      <c r="M100" s="27"/>
      <c r="N100" s="27">
        <v>100</v>
      </c>
      <c r="O100" s="11">
        <v>1500</v>
      </c>
      <c r="P100" s="11">
        <f>N100*O100</f>
        <v>150000</v>
      </c>
      <c r="Q100" s="3"/>
      <c r="R100" s="8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443" t="s">
        <v>126</v>
      </c>
      <c r="C101" s="16" t="s">
        <v>127</v>
      </c>
      <c r="D101" s="16" t="s">
        <v>122</v>
      </c>
      <c r="E101" s="16">
        <v>0</v>
      </c>
      <c r="F101" s="53">
        <v>462000</v>
      </c>
      <c r="G101" s="11">
        <f t="shared" ref="G101:G124" si="8">F101*E101</f>
        <v>0</v>
      </c>
      <c r="H101" s="41"/>
      <c r="I101" s="4"/>
      <c r="J101" s="3"/>
      <c r="K101" s="11"/>
      <c r="L101" s="11"/>
      <c r="M101" s="27"/>
      <c r="N101" s="27"/>
      <c r="O101" s="11"/>
      <c r="P101" s="11"/>
      <c r="Q101" s="3"/>
      <c r="R101" s="8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444"/>
      <c r="C102" s="16" t="s">
        <v>128</v>
      </c>
      <c r="D102" s="16" t="s">
        <v>122</v>
      </c>
      <c r="E102" s="16">
        <v>0</v>
      </c>
      <c r="F102" s="53">
        <v>152000</v>
      </c>
      <c r="G102" s="11">
        <f t="shared" si="8"/>
        <v>0</v>
      </c>
      <c r="H102" s="41"/>
      <c r="I102" s="4"/>
      <c r="J102" s="3"/>
      <c r="K102" s="457" t="s">
        <v>22</v>
      </c>
      <c r="L102" s="458"/>
      <c r="M102" s="458"/>
      <c r="N102" s="458"/>
      <c r="O102" s="459"/>
      <c r="P102" s="11">
        <f>SUM(P100:P101)</f>
        <v>150000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444"/>
      <c r="C103" s="16" t="s">
        <v>129</v>
      </c>
      <c r="D103" s="16" t="s">
        <v>122</v>
      </c>
      <c r="E103" s="16">
        <v>0</v>
      </c>
      <c r="F103" s="53">
        <v>20000</v>
      </c>
      <c r="G103" s="11">
        <f t="shared" si="8"/>
        <v>0</v>
      </c>
      <c r="H103" s="41"/>
      <c r="I103" s="4"/>
      <c r="J103" s="3"/>
      <c r="K103" s="8"/>
      <c r="L103" s="8"/>
      <c r="M103" s="8"/>
      <c r="N103" s="8"/>
      <c r="O103" s="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444"/>
      <c r="C104" s="16" t="s">
        <v>130</v>
      </c>
      <c r="D104" s="16" t="s">
        <v>122</v>
      </c>
      <c r="E104" s="216">
        <v>55</v>
      </c>
      <c r="F104" s="216">
        <v>150700</v>
      </c>
      <c r="G104" s="11">
        <f t="shared" si="8"/>
        <v>8288500</v>
      </c>
      <c r="H104" s="41"/>
      <c r="I104" s="4"/>
      <c r="J104" s="3"/>
      <c r="K104" s="8"/>
      <c r="L104" s="8"/>
      <c r="M104" s="8"/>
      <c r="N104" s="8"/>
      <c r="O104" s="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446"/>
      <c r="C105" s="11" t="s">
        <v>131</v>
      </c>
      <c r="D105" s="219" t="s">
        <v>122</v>
      </c>
      <c r="E105" s="218">
        <v>10</v>
      </c>
      <c r="F105" s="218">
        <v>132000</v>
      </c>
      <c r="G105" s="229">
        <f t="shared" si="8"/>
        <v>1320000</v>
      </c>
      <c r="H105" s="41"/>
      <c r="I105" s="4"/>
      <c r="J105" s="3"/>
      <c r="K105" s="8"/>
      <c r="L105" s="8"/>
      <c r="M105" s="8"/>
      <c r="N105" s="8"/>
      <c r="O105" s="8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471" t="s">
        <v>132</v>
      </c>
      <c r="C106" s="16" t="s">
        <v>133</v>
      </c>
      <c r="D106" s="24" t="s">
        <v>134</v>
      </c>
      <c r="E106" s="218">
        <v>6</v>
      </c>
      <c r="F106" s="232">
        <f>7500000</f>
        <v>7500000</v>
      </c>
      <c r="G106" s="230">
        <f>F106*E106+1105491-G107</f>
        <v>35465491</v>
      </c>
      <c r="H106" s="22"/>
      <c r="I106" s="4"/>
      <c r="J106" s="3"/>
      <c r="K106" s="3" t="s">
        <v>135</v>
      </c>
      <c r="L106" s="3"/>
      <c r="M106" s="3"/>
      <c r="N106" s="3"/>
      <c r="O106" s="3"/>
      <c r="P106" s="3"/>
      <c r="Q106" s="3"/>
      <c r="R106" s="8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473"/>
      <c r="C107" s="211" t="s">
        <v>517</v>
      </c>
      <c r="D107" s="24"/>
      <c r="E107" s="244">
        <v>8</v>
      </c>
      <c r="F107" s="370">
        <f>10640000/8</f>
        <v>1330000</v>
      </c>
      <c r="G107" s="230">
        <f>F107*E107</f>
        <v>10640000</v>
      </c>
      <c r="H107" s="220"/>
      <c r="I107" s="212"/>
      <c r="J107" s="3"/>
      <c r="K107" s="3"/>
      <c r="L107" s="3"/>
      <c r="M107" s="3"/>
      <c r="N107" s="3"/>
      <c r="O107" s="3"/>
      <c r="P107" s="3"/>
      <c r="Q107" s="3"/>
      <c r="R107" s="8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241" t="s">
        <v>136</v>
      </c>
      <c r="C108" s="11" t="s">
        <v>137</v>
      </c>
      <c r="D108" s="11" t="s">
        <v>138</v>
      </c>
      <c r="E108" s="211">
        <v>50</v>
      </c>
      <c r="F108" s="231">
        <v>385000</v>
      </c>
      <c r="G108" s="11">
        <f t="shared" si="8"/>
        <v>19250000</v>
      </c>
      <c r="H108" s="3"/>
      <c r="I108" s="4"/>
      <c r="J108" s="3"/>
      <c r="K108" s="11" t="s">
        <v>8</v>
      </c>
      <c r="L108" s="15" t="s">
        <v>28</v>
      </c>
      <c r="M108" s="42"/>
      <c r="N108" s="42"/>
      <c r="O108" s="42"/>
      <c r="P108" s="11" t="s">
        <v>13</v>
      </c>
      <c r="Q108" s="3"/>
      <c r="R108" s="8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434" t="s">
        <v>457</v>
      </c>
      <c r="C109" s="230" t="s">
        <v>507</v>
      </c>
      <c r="D109" s="16"/>
      <c r="E109" s="16">
        <v>1</v>
      </c>
      <c r="F109" s="16">
        <v>5676000</v>
      </c>
      <c r="G109" s="11">
        <f t="shared" si="8"/>
        <v>5676000</v>
      </c>
      <c r="H109" s="3"/>
      <c r="I109" s="4"/>
      <c r="J109" s="3"/>
      <c r="K109" s="26"/>
      <c r="L109" s="25"/>
      <c r="M109" s="54"/>
      <c r="N109" s="54"/>
      <c r="O109" s="54"/>
      <c r="P109" s="26"/>
      <c r="Q109" s="8"/>
      <c r="R109" s="8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434"/>
      <c r="C110" s="230" t="s">
        <v>509</v>
      </c>
      <c r="D110" s="211"/>
      <c r="E110" s="16">
        <v>1</v>
      </c>
      <c r="F110" s="211">
        <v>1531200</v>
      </c>
      <c r="G110" s="11">
        <f t="shared" si="8"/>
        <v>1531200</v>
      </c>
      <c r="H110" s="3"/>
      <c r="I110" s="212"/>
      <c r="J110" s="3"/>
      <c r="K110" s="26"/>
      <c r="L110" s="291"/>
      <c r="M110" s="292"/>
      <c r="N110" s="292"/>
      <c r="O110" s="292"/>
      <c r="P110" s="26"/>
      <c r="Q110" s="8"/>
      <c r="R110" s="8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434"/>
      <c r="C111" s="230" t="s">
        <v>510</v>
      </c>
      <c r="D111" s="211"/>
      <c r="E111" s="16">
        <v>1</v>
      </c>
      <c r="F111" s="211">
        <v>935000</v>
      </c>
      <c r="G111" s="11">
        <f t="shared" si="8"/>
        <v>935000</v>
      </c>
      <c r="H111" s="3"/>
      <c r="I111" s="212"/>
      <c r="J111" s="3"/>
      <c r="K111" s="26"/>
      <c r="L111" s="291"/>
      <c r="M111" s="292"/>
      <c r="N111" s="292"/>
      <c r="O111" s="292"/>
      <c r="P111" s="26"/>
      <c r="Q111" s="8"/>
      <c r="R111" s="8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434"/>
      <c r="C112" s="230" t="s">
        <v>511</v>
      </c>
      <c r="D112" s="211"/>
      <c r="E112" s="16">
        <v>1</v>
      </c>
      <c r="F112" s="211">
        <v>1873300</v>
      </c>
      <c r="G112" s="11">
        <f t="shared" si="8"/>
        <v>1873300</v>
      </c>
      <c r="H112" s="3"/>
      <c r="I112" s="212"/>
      <c r="J112" s="3"/>
      <c r="K112" s="26"/>
      <c r="L112" s="291"/>
      <c r="M112" s="292"/>
      <c r="N112" s="292"/>
      <c r="O112" s="292"/>
      <c r="P112" s="26"/>
      <c r="Q112" s="8"/>
      <c r="R112" s="8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434"/>
      <c r="C113" s="230"/>
      <c r="D113" s="211"/>
      <c r="E113" s="16">
        <v>1</v>
      </c>
      <c r="F113" s="211"/>
      <c r="G113" s="11">
        <f t="shared" si="8"/>
        <v>0</v>
      </c>
      <c r="H113" s="3"/>
      <c r="I113" s="212"/>
      <c r="J113" s="3"/>
      <c r="K113" s="26"/>
      <c r="L113" s="291"/>
      <c r="M113" s="292"/>
      <c r="N113" s="292"/>
      <c r="O113" s="292"/>
      <c r="P113" s="26"/>
      <c r="Q113" s="8"/>
      <c r="R113" s="8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434" t="s">
        <v>458</v>
      </c>
      <c r="C114" s="230" t="s">
        <v>515</v>
      </c>
      <c r="D114" s="211"/>
      <c r="E114" s="16">
        <v>1</v>
      </c>
      <c r="F114" s="211">
        <v>2332000</v>
      </c>
      <c r="G114" s="11">
        <f t="shared" si="8"/>
        <v>2332000</v>
      </c>
      <c r="H114" s="3"/>
      <c r="I114" s="212"/>
      <c r="J114" s="3"/>
      <c r="K114" s="26"/>
      <c r="L114" s="291"/>
      <c r="M114" s="292"/>
      <c r="N114" s="292"/>
      <c r="O114" s="292"/>
      <c r="P114" s="26"/>
      <c r="Q114" s="8"/>
      <c r="R114" s="8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434"/>
      <c r="C115" s="230" t="s">
        <v>516</v>
      </c>
      <c r="D115" s="211"/>
      <c r="E115" s="211">
        <v>1</v>
      </c>
      <c r="F115" s="211">
        <v>1496000</v>
      </c>
      <c r="G115" s="11">
        <f t="shared" si="8"/>
        <v>1496000</v>
      </c>
      <c r="H115" s="3"/>
      <c r="I115" s="212"/>
      <c r="J115" s="3"/>
      <c r="K115" s="26"/>
      <c r="L115" s="291"/>
      <c r="M115" s="292"/>
      <c r="N115" s="292"/>
      <c r="O115" s="292"/>
      <c r="P115" s="26"/>
      <c r="Q115" s="8"/>
      <c r="R115" s="8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434"/>
      <c r="C116" s="230" t="s">
        <v>512</v>
      </c>
      <c r="D116" s="211"/>
      <c r="E116" s="16">
        <v>1</v>
      </c>
      <c r="F116" s="211">
        <v>643500</v>
      </c>
      <c r="G116" s="11">
        <f t="shared" si="8"/>
        <v>643500</v>
      </c>
      <c r="H116" s="3"/>
      <c r="I116" s="212"/>
      <c r="J116" s="3"/>
      <c r="K116" s="26"/>
      <c r="L116" s="291"/>
      <c r="M116" s="292"/>
      <c r="N116" s="292"/>
      <c r="O116" s="292"/>
      <c r="P116" s="26"/>
      <c r="Q116" s="8"/>
      <c r="R116" s="8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434"/>
      <c r="C117" s="230" t="s">
        <v>513</v>
      </c>
      <c r="D117" s="211"/>
      <c r="E117" s="16">
        <v>1</v>
      </c>
      <c r="F117" s="211">
        <v>1155000</v>
      </c>
      <c r="G117" s="11">
        <f t="shared" si="8"/>
        <v>1155000</v>
      </c>
      <c r="H117" s="3"/>
      <c r="I117" s="212"/>
      <c r="J117" s="3"/>
      <c r="K117" s="26"/>
      <c r="L117" s="291"/>
      <c r="M117" s="292"/>
      <c r="N117" s="292"/>
      <c r="O117" s="292"/>
      <c r="P117" s="26"/>
      <c r="Q117" s="8"/>
      <c r="R117" s="8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434"/>
      <c r="C118" s="230" t="s">
        <v>514</v>
      </c>
      <c r="D118" s="211"/>
      <c r="E118" s="16">
        <v>1</v>
      </c>
      <c r="F118" s="211">
        <v>1925000</v>
      </c>
      <c r="G118" s="11">
        <f t="shared" si="8"/>
        <v>1925000</v>
      </c>
      <c r="H118" s="3"/>
      <c r="I118" s="212"/>
      <c r="J118" s="3"/>
      <c r="K118" s="26"/>
      <c r="L118" s="291"/>
      <c r="M118" s="292"/>
      <c r="N118" s="292"/>
      <c r="O118" s="292"/>
      <c r="P118" s="26"/>
      <c r="Q118" s="8"/>
      <c r="R118" s="8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434" t="s">
        <v>459</v>
      </c>
      <c r="C119" s="230" t="s">
        <v>508</v>
      </c>
      <c r="D119" s="211"/>
      <c r="E119" s="16">
        <v>1</v>
      </c>
      <c r="F119" s="211">
        <v>964480</v>
      </c>
      <c r="G119" s="11">
        <f t="shared" si="8"/>
        <v>964480</v>
      </c>
      <c r="H119" s="3"/>
      <c r="I119" s="212"/>
      <c r="J119" s="3"/>
      <c r="K119" s="26"/>
      <c r="L119" s="291"/>
      <c r="M119" s="292"/>
      <c r="N119" s="292"/>
      <c r="O119" s="292"/>
      <c r="P119" s="26"/>
      <c r="Q119" s="8"/>
      <c r="R119" s="8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434"/>
      <c r="C120" s="230"/>
      <c r="D120" s="211"/>
      <c r="E120" s="16">
        <v>1</v>
      </c>
      <c r="F120" s="211"/>
      <c r="G120" s="11">
        <f t="shared" si="8"/>
        <v>0</v>
      </c>
      <c r="H120" s="3"/>
      <c r="I120" s="212"/>
      <c r="J120" s="3"/>
      <c r="K120" s="26"/>
      <c r="L120" s="291"/>
      <c r="M120" s="292"/>
      <c r="N120" s="292"/>
      <c r="O120" s="292"/>
      <c r="P120" s="26"/>
      <c r="Q120" s="8"/>
      <c r="R120" s="8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434"/>
      <c r="C121" s="230"/>
      <c r="D121" s="211"/>
      <c r="E121" s="16">
        <v>1</v>
      </c>
      <c r="F121" s="211"/>
      <c r="G121" s="11">
        <f t="shared" si="8"/>
        <v>0</v>
      </c>
      <c r="H121" s="3"/>
      <c r="I121" s="212"/>
      <c r="J121" s="3"/>
      <c r="K121" s="26"/>
      <c r="L121" s="291"/>
      <c r="M121" s="292"/>
      <c r="N121" s="292"/>
      <c r="O121" s="292"/>
      <c r="P121" s="26"/>
      <c r="Q121" s="8"/>
      <c r="R121" s="8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434"/>
      <c r="C122" s="230"/>
      <c r="D122" s="211"/>
      <c r="E122" s="16">
        <v>1</v>
      </c>
      <c r="F122" s="211"/>
      <c r="G122" s="11">
        <f t="shared" si="8"/>
        <v>0</v>
      </c>
      <c r="H122" s="3"/>
      <c r="I122" s="212"/>
      <c r="J122" s="3"/>
      <c r="K122" s="26"/>
      <c r="L122" s="291"/>
      <c r="M122" s="292"/>
      <c r="N122" s="292"/>
      <c r="O122" s="292"/>
      <c r="P122" s="26"/>
      <c r="Q122" s="8"/>
      <c r="R122" s="8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434"/>
      <c r="C123" s="230"/>
      <c r="D123" s="211"/>
      <c r="E123" s="16">
        <v>1</v>
      </c>
      <c r="F123" s="211"/>
      <c r="G123" s="11">
        <f t="shared" si="8"/>
        <v>0</v>
      </c>
      <c r="H123" s="3"/>
      <c r="I123" s="212"/>
      <c r="J123" s="3"/>
      <c r="K123" s="26"/>
      <c r="L123" s="291"/>
      <c r="M123" s="292"/>
      <c r="N123" s="292"/>
      <c r="O123" s="292"/>
      <c r="P123" s="26"/>
      <c r="Q123" s="8"/>
      <c r="R123" s="8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434"/>
      <c r="C124" s="230"/>
      <c r="D124" s="211"/>
      <c r="E124" s="16">
        <v>1</v>
      </c>
      <c r="F124" s="211">
        <f>30000000-SUM(G109:G119)</f>
        <v>11468520</v>
      </c>
      <c r="G124" s="11">
        <f t="shared" si="8"/>
        <v>11468520</v>
      </c>
      <c r="H124" s="3"/>
      <c r="I124" s="212"/>
      <c r="J124" s="3"/>
      <c r="K124" s="26"/>
      <c r="L124" s="291"/>
      <c r="M124" s="292"/>
      <c r="N124" s="292"/>
      <c r="O124" s="292"/>
      <c r="P124" s="26"/>
      <c r="Q124" s="8"/>
      <c r="R124" s="8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16" t="s">
        <v>22</v>
      </c>
      <c r="C125" s="16"/>
      <c r="D125" s="16"/>
      <c r="E125" s="16"/>
      <c r="F125" s="16"/>
      <c r="G125" s="16">
        <f>SUM(G100:G124)</f>
        <v>108039500</v>
      </c>
      <c r="H125" s="3"/>
      <c r="I125" s="4"/>
      <c r="J125" s="3"/>
      <c r="K125" s="26" t="s">
        <v>140</v>
      </c>
      <c r="L125" s="26">
        <f t="shared" ref="L125:L126" si="9">212838160/2-9460000/2+2700000/2-41546920/2-3000000+85000/2-763000/2-93720/2</f>
        <v>78879760</v>
      </c>
      <c r="M125" s="35"/>
      <c r="N125" s="35"/>
      <c r="O125" s="35"/>
      <c r="P125" s="26">
        <f t="shared" ref="P125:P126" si="10">L125</f>
        <v>78879760</v>
      </c>
      <c r="Q125" s="8" t="s">
        <v>141</v>
      </c>
      <c r="R125" s="8">
        <f>230000000-P125</f>
        <v>151120240</v>
      </c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3"/>
      <c r="C126" s="23"/>
      <c r="D126" s="23"/>
      <c r="E126" s="23"/>
      <c r="F126" s="23"/>
      <c r="G126" s="3"/>
      <c r="H126" s="3"/>
      <c r="I126" s="4"/>
      <c r="J126" s="3"/>
      <c r="K126" s="26" t="s">
        <v>142</v>
      </c>
      <c r="L126" s="26">
        <f t="shared" si="9"/>
        <v>78879760</v>
      </c>
      <c r="M126" s="54"/>
      <c r="N126" s="54"/>
      <c r="O126" s="55"/>
      <c r="P126" s="26">
        <f t="shared" si="10"/>
        <v>78879760</v>
      </c>
      <c r="Q126" s="8" t="s">
        <v>370</v>
      </c>
      <c r="R126" s="8">
        <f>265652200-P126</f>
        <v>186772440</v>
      </c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15" t="s">
        <v>22</v>
      </c>
      <c r="L127" s="18"/>
      <c r="M127" s="18"/>
      <c r="N127" s="18"/>
      <c r="O127" s="29"/>
      <c r="P127" s="11">
        <f>SUM(P125:P126)</f>
        <v>157759520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9" t="s">
        <v>83</v>
      </c>
      <c r="B128" s="9" t="s">
        <v>84</v>
      </c>
      <c r="C128" s="9"/>
      <c r="D128" s="9"/>
      <c r="E128" s="9"/>
      <c r="F128" s="9"/>
      <c r="G128" s="233">
        <f>SUM(G140,G153,G158,G183,G192,G197,G205,G211,G217,G226,G232,G245)</f>
        <v>1149805494</v>
      </c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3" t="s">
        <v>86</v>
      </c>
      <c r="C129" s="3"/>
      <c r="D129" s="3"/>
      <c r="E129" s="3"/>
      <c r="F129" s="3"/>
      <c r="G129" s="3"/>
      <c r="H129" s="3"/>
      <c r="I129" s="4"/>
      <c r="J129" s="3"/>
      <c r="K129" s="3" t="s">
        <v>143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11" t="s">
        <v>8</v>
      </c>
      <c r="C130" s="11" t="s">
        <v>28</v>
      </c>
      <c r="D130" s="11"/>
      <c r="E130" s="11" t="s">
        <v>40</v>
      </c>
      <c r="F130" s="11" t="s">
        <v>74</v>
      </c>
      <c r="G130" s="11" t="s">
        <v>13</v>
      </c>
      <c r="H130" s="3"/>
      <c r="I130" s="4"/>
      <c r="J130" s="3"/>
      <c r="K130" s="11" t="s">
        <v>8</v>
      </c>
      <c r="L130" s="15" t="s">
        <v>28</v>
      </c>
      <c r="M130" s="18"/>
      <c r="N130" s="18"/>
      <c r="O130" s="29"/>
      <c r="P130" s="11" t="s">
        <v>13</v>
      </c>
      <c r="Q130" s="3"/>
      <c r="R130" s="21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11" t="s">
        <v>144</v>
      </c>
      <c r="C131" s="11" t="s">
        <v>145</v>
      </c>
      <c r="D131" s="27"/>
      <c r="E131" s="27">
        <v>4</v>
      </c>
      <c r="F131" s="31">
        <v>1500000</v>
      </c>
      <c r="G131" s="11">
        <f t="shared" ref="G131:G139" si="11">E131*F131</f>
        <v>6000000</v>
      </c>
      <c r="H131" s="22" t="s">
        <v>146</v>
      </c>
      <c r="I131" s="4"/>
      <c r="J131" s="3"/>
      <c r="K131" s="11"/>
      <c r="L131" s="11"/>
      <c r="M131" s="11"/>
      <c r="N131" s="18"/>
      <c r="O131" s="18"/>
      <c r="P131" s="11"/>
      <c r="Q131" s="3"/>
      <c r="R131" s="21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443" t="s">
        <v>147</v>
      </c>
      <c r="C132" s="11" t="s">
        <v>148</v>
      </c>
      <c r="D132" s="27"/>
      <c r="E132" s="27">
        <v>4</v>
      </c>
      <c r="F132" s="31">
        <v>1000000</v>
      </c>
      <c r="G132" s="11">
        <f t="shared" si="11"/>
        <v>4000000</v>
      </c>
      <c r="H132" s="462" t="s">
        <v>149</v>
      </c>
      <c r="I132" s="7"/>
      <c r="J132" s="3"/>
      <c r="K132" s="11"/>
      <c r="L132" s="18"/>
      <c r="M132" s="11"/>
      <c r="N132" s="18"/>
      <c r="O132" s="18"/>
      <c r="P132" s="11">
        <f t="shared" ref="P132:P133" si="12">M132</f>
        <v>0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446"/>
      <c r="C133" s="11" t="s">
        <v>150</v>
      </c>
      <c r="D133" s="27"/>
      <c r="E133" s="27">
        <v>5</v>
      </c>
      <c r="F133" s="31">
        <v>4000000</v>
      </c>
      <c r="G133" s="11">
        <f t="shared" si="11"/>
        <v>20000000</v>
      </c>
      <c r="H133" s="453"/>
      <c r="I133" s="4"/>
      <c r="J133" s="3"/>
      <c r="K133" s="11"/>
      <c r="L133" s="11"/>
      <c r="M133" s="11"/>
      <c r="N133" s="11"/>
      <c r="O133" s="11"/>
      <c r="P133" s="11">
        <f t="shared" si="12"/>
        <v>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11" t="s">
        <v>151</v>
      </c>
      <c r="C134" s="11" t="s">
        <v>355</v>
      </c>
      <c r="D134" s="27"/>
      <c r="E134" s="27">
        <f>32+24-22</f>
        <v>34</v>
      </c>
      <c r="F134" s="31">
        <v>2000000</v>
      </c>
      <c r="G134" s="11">
        <f t="shared" si="11"/>
        <v>68000000</v>
      </c>
      <c r="H134" s="8" t="s">
        <v>152</v>
      </c>
      <c r="I134" s="4"/>
      <c r="J134" s="3"/>
      <c r="K134" s="457" t="s">
        <v>22</v>
      </c>
      <c r="L134" s="458"/>
      <c r="M134" s="458"/>
      <c r="N134" s="458"/>
      <c r="O134" s="459"/>
      <c r="P134" s="11">
        <f>SUM(P131:P133)</f>
        <v>0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11" t="s">
        <v>414</v>
      </c>
      <c r="C135" s="11" t="s">
        <v>415</v>
      </c>
      <c r="D135" s="27"/>
      <c r="E135" s="27">
        <v>81</v>
      </c>
      <c r="F135" s="31">
        <v>1000000</v>
      </c>
      <c r="G135" s="11">
        <f t="shared" si="11"/>
        <v>81000000</v>
      </c>
      <c r="H135" s="8"/>
      <c r="I135" s="212"/>
      <c r="J135" s="3"/>
      <c r="K135" s="254"/>
      <c r="L135" s="119"/>
      <c r="M135" s="119"/>
      <c r="N135" s="119"/>
      <c r="O135" s="119"/>
      <c r="P135" s="244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11" t="s">
        <v>153</v>
      </c>
      <c r="C136" s="11" t="s">
        <v>363</v>
      </c>
      <c r="D136" s="27"/>
      <c r="E136" s="27">
        <v>4</v>
      </c>
      <c r="F136" s="31">
        <v>4000000</v>
      </c>
      <c r="G136" s="11">
        <f t="shared" si="11"/>
        <v>16000000</v>
      </c>
      <c r="H136" s="8" t="s">
        <v>154</v>
      </c>
      <c r="I136" s="4"/>
      <c r="J136" s="3"/>
      <c r="K136" s="8"/>
      <c r="L136" s="8"/>
      <c r="M136" s="8"/>
      <c r="N136" s="8"/>
      <c r="O136" s="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471" t="s">
        <v>361</v>
      </c>
      <c r="C137" s="11" t="s">
        <v>362</v>
      </c>
      <c r="D137" s="471"/>
      <c r="E137" s="27">
        <v>0</v>
      </c>
      <c r="F137" s="31">
        <v>2500000</v>
      </c>
      <c r="G137" s="11">
        <f t="shared" ref="G137" si="13">E137*F137</f>
        <v>0</v>
      </c>
      <c r="H137" s="8"/>
      <c r="I137" s="212"/>
      <c r="J137" s="3"/>
      <c r="K137" s="8"/>
      <c r="L137" s="8"/>
      <c r="M137" s="8"/>
      <c r="N137" s="8"/>
      <c r="O137" s="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473"/>
      <c r="C138" s="11" t="s">
        <v>366</v>
      </c>
      <c r="D138" s="473"/>
      <c r="E138" s="27">
        <v>0</v>
      </c>
      <c r="F138" s="31">
        <v>1000000</v>
      </c>
      <c r="G138" s="11">
        <v>0</v>
      </c>
      <c r="H138" s="8"/>
      <c r="I138" s="212"/>
      <c r="J138" s="3"/>
      <c r="K138" s="8"/>
      <c r="L138" s="8"/>
      <c r="M138" s="8"/>
      <c r="N138" s="8"/>
      <c r="O138" s="8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11" t="s">
        <v>155</v>
      </c>
      <c r="C139" s="11" t="s">
        <v>357</v>
      </c>
      <c r="D139" s="27"/>
      <c r="E139" s="27">
        <v>61</v>
      </c>
      <c r="F139" s="31">
        <v>8000000</v>
      </c>
      <c r="G139" s="11">
        <f t="shared" si="11"/>
        <v>488000000</v>
      </c>
      <c r="H139" s="22" t="s">
        <v>156</v>
      </c>
      <c r="I139" s="4"/>
      <c r="J139" s="3"/>
      <c r="K139" s="23"/>
      <c r="L139" s="23"/>
      <c r="M139" s="23"/>
      <c r="N139" s="23"/>
      <c r="O139" s="2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15" t="s">
        <v>22</v>
      </c>
      <c r="C140" s="18"/>
      <c r="D140" s="18"/>
      <c r="E140" s="18"/>
      <c r="F140" s="29"/>
      <c r="G140" s="322">
        <f>SUM(G131:G139)</f>
        <v>683000000</v>
      </c>
      <c r="H140" s="323" t="s">
        <v>478</v>
      </c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474" t="s">
        <v>157</v>
      </c>
      <c r="L141" s="56" t="s">
        <v>158</v>
      </c>
      <c r="M141" s="56">
        <v>12000000</v>
      </c>
      <c r="N141" s="462" t="s">
        <v>135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3" t="s">
        <v>94</v>
      </c>
      <c r="C142" s="3"/>
      <c r="D142" s="3"/>
      <c r="E142" s="3"/>
      <c r="F142" s="3"/>
      <c r="G142" s="3"/>
      <c r="H142" s="3"/>
      <c r="I142" s="4"/>
      <c r="J142" s="3"/>
      <c r="K142" s="446"/>
      <c r="L142" s="11" t="s">
        <v>159</v>
      </c>
      <c r="M142" s="11">
        <v>100000000</v>
      </c>
      <c r="N142" s="453"/>
      <c r="O142" s="450" t="s">
        <v>160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11" t="s">
        <v>8</v>
      </c>
      <c r="C143" s="15" t="s">
        <v>28</v>
      </c>
      <c r="D143" s="18"/>
      <c r="E143" s="18"/>
      <c r="F143" s="29"/>
      <c r="G143" s="11" t="s">
        <v>13</v>
      </c>
      <c r="H143" s="3"/>
      <c r="I143" s="4"/>
      <c r="J143" s="3"/>
      <c r="K143" s="443" t="s">
        <v>161</v>
      </c>
      <c r="L143" s="11" t="s">
        <v>162</v>
      </c>
      <c r="M143" s="11">
        <v>40000000</v>
      </c>
      <c r="N143" s="462" t="s">
        <v>163</v>
      </c>
      <c r="O143" s="451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455" t="s">
        <v>95</v>
      </c>
      <c r="C144" s="11" t="s">
        <v>164</v>
      </c>
      <c r="D144" s="27"/>
      <c r="E144" s="27">
        <v>0</v>
      </c>
      <c r="F144" s="27">
        <v>240000</v>
      </c>
      <c r="G144" s="11">
        <f t="shared" ref="G144:G151" si="14">E144*F144</f>
        <v>0</v>
      </c>
      <c r="H144" s="3"/>
      <c r="I144" s="4"/>
      <c r="J144" s="3"/>
      <c r="K144" s="446"/>
      <c r="L144" s="11" t="s">
        <v>165</v>
      </c>
      <c r="M144" s="11">
        <v>20000000</v>
      </c>
      <c r="N144" s="453"/>
      <c r="O144" s="451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453"/>
      <c r="C145" s="11" t="s">
        <v>166</v>
      </c>
      <c r="D145" s="27"/>
      <c r="E145" s="27">
        <v>0</v>
      </c>
      <c r="F145" s="27">
        <v>100000</v>
      </c>
      <c r="G145" s="11">
        <f t="shared" si="14"/>
        <v>0</v>
      </c>
      <c r="H145" s="3"/>
      <c r="I145" s="4"/>
      <c r="J145" s="3"/>
      <c r="K145" s="56" t="s">
        <v>167</v>
      </c>
      <c r="L145" s="56" t="s">
        <v>168</v>
      </c>
      <c r="M145" s="56">
        <v>4500000</v>
      </c>
      <c r="N145" s="3" t="s">
        <v>169</v>
      </c>
      <c r="O145" s="3"/>
      <c r="P145" s="3"/>
      <c r="Q145" s="3"/>
      <c r="R145" s="3"/>
      <c r="S145" s="21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453"/>
      <c r="C146" s="294" t="s">
        <v>170</v>
      </c>
      <c r="D146" s="295"/>
      <c r="E146" s="295">
        <v>1</v>
      </c>
      <c r="F146" s="295">
        <f>486205+66667+120000</f>
        <v>672872</v>
      </c>
      <c r="G146" s="294">
        <f t="shared" si="14"/>
        <v>672872</v>
      </c>
      <c r="H146" s="460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21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453"/>
      <c r="C147" s="294" t="s">
        <v>171</v>
      </c>
      <c r="D147" s="295"/>
      <c r="E147" s="295">
        <v>1</v>
      </c>
      <c r="F147" s="295">
        <f>486205+66667+120000</f>
        <v>672872</v>
      </c>
      <c r="G147" s="294">
        <f t="shared" si="14"/>
        <v>672872</v>
      </c>
      <c r="H147" s="453"/>
      <c r="I147" s="4"/>
      <c r="J147" s="3"/>
      <c r="K147" s="3"/>
      <c r="L147" s="3"/>
      <c r="M147" s="3"/>
      <c r="N147" s="3"/>
      <c r="O147" s="3"/>
      <c r="P147" s="3"/>
      <c r="Q147" s="23"/>
      <c r="R147" s="3"/>
      <c r="S147" s="8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453"/>
      <c r="C148" s="216" t="s">
        <v>351</v>
      </c>
      <c r="D148" s="32"/>
      <c r="E148" s="31">
        <v>1</v>
      </c>
      <c r="F148" s="11">
        <f>160000+240000+50000*3</f>
        <v>550000</v>
      </c>
      <c r="G148" s="11">
        <f t="shared" si="14"/>
        <v>550000</v>
      </c>
      <c r="H148" s="460" t="s">
        <v>350</v>
      </c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453"/>
      <c r="C149" s="216" t="s">
        <v>352</v>
      </c>
      <c r="D149" s="32"/>
      <c r="E149" s="31">
        <v>1</v>
      </c>
      <c r="F149" s="11">
        <f>160000+240000+50000*3</f>
        <v>550000</v>
      </c>
      <c r="G149" s="11">
        <f t="shared" si="14"/>
        <v>550000</v>
      </c>
      <c r="H149" s="453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21"/>
      <c r="U149" s="21"/>
      <c r="V149" s="21"/>
      <c r="W149" s="21"/>
      <c r="X149" s="21"/>
      <c r="Y149" s="3"/>
      <c r="Z149" s="3"/>
    </row>
    <row r="150" spans="1:26" ht="16.5" customHeight="1">
      <c r="A150" s="3"/>
      <c r="B150" s="453"/>
      <c r="C150" s="216" t="s">
        <v>527</v>
      </c>
      <c r="D150" s="243"/>
      <c r="E150" s="31">
        <v>1</v>
      </c>
      <c r="F150" s="11">
        <v>760000</v>
      </c>
      <c r="G150" s="11">
        <f t="shared" si="14"/>
        <v>760000</v>
      </c>
      <c r="H150" s="381" t="s">
        <v>531</v>
      </c>
      <c r="I150" s="21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21"/>
      <c r="U150" s="21"/>
      <c r="V150" s="21"/>
      <c r="W150" s="21"/>
      <c r="X150" s="21"/>
      <c r="Y150" s="3"/>
      <c r="Z150" s="3"/>
    </row>
    <row r="151" spans="1:26" ht="16.5" customHeight="1">
      <c r="A151" s="3"/>
      <c r="B151" s="453"/>
      <c r="C151" s="11" t="s">
        <v>406</v>
      </c>
      <c r="D151" s="27"/>
      <c r="E151" s="27">
        <v>0</v>
      </c>
      <c r="F151" s="27">
        <f>3500000+716800+504000</f>
        <v>4720800</v>
      </c>
      <c r="G151" s="11">
        <f t="shared" si="14"/>
        <v>0</v>
      </c>
      <c r="H151" s="460" t="s">
        <v>172</v>
      </c>
      <c r="I151" s="4"/>
      <c r="J151" s="3"/>
      <c r="K151" s="463" t="s">
        <v>151</v>
      </c>
      <c r="L151" s="464"/>
      <c r="M151" s="3"/>
      <c r="N151" s="3"/>
      <c r="O151" s="3"/>
      <c r="P151" s="3"/>
      <c r="Q151" s="3"/>
      <c r="R151" s="3"/>
      <c r="S151" s="3"/>
      <c r="T151" s="21"/>
      <c r="U151" s="21"/>
      <c r="V151" s="21"/>
      <c r="W151" s="21"/>
      <c r="X151" s="21"/>
      <c r="Y151" s="3"/>
      <c r="Z151" s="3"/>
    </row>
    <row r="152" spans="1:26" ht="16.5" customHeight="1">
      <c r="A152" s="3"/>
      <c r="B152" s="456"/>
      <c r="C152" s="3"/>
      <c r="D152" s="3"/>
      <c r="E152" s="3"/>
      <c r="F152" s="3"/>
      <c r="G152" s="3"/>
      <c r="H152" s="453"/>
      <c r="I152" s="4"/>
      <c r="J152" s="3"/>
      <c r="K152" s="57" t="s">
        <v>173</v>
      </c>
      <c r="L152" s="58">
        <f>500+400+300+200</f>
        <v>1400</v>
      </c>
      <c r="M152" s="452" t="s">
        <v>174</v>
      </c>
      <c r="N152" s="451"/>
      <c r="O152" s="451"/>
      <c r="P152" s="451"/>
      <c r="Q152" s="3"/>
      <c r="R152" s="3"/>
      <c r="S152" s="3"/>
      <c r="T152" s="8"/>
      <c r="U152" s="8"/>
      <c r="V152" s="8"/>
      <c r="W152" s="8"/>
      <c r="X152" s="8"/>
      <c r="Y152" s="3"/>
      <c r="Z152" s="3"/>
    </row>
    <row r="153" spans="1:26" ht="16.5" customHeight="1">
      <c r="A153" s="3"/>
      <c r="B153" s="15" t="s">
        <v>22</v>
      </c>
      <c r="C153" s="48"/>
      <c r="D153" s="48"/>
      <c r="E153" s="48"/>
      <c r="F153" s="49"/>
      <c r="G153" s="16">
        <f>SUM(G144:G152)</f>
        <v>3205744</v>
      </c>
      <c r="H153" s="41"/>
      <c r="I153" s="4"/>
      <c r="J153" s="3"/>
      <c r="K153" s="58" t="s">
        <v>175</v>
      </c>
      <c r="L153" s="58">
        <f>80*10*4</f>
        <v>3200</v>
      </c>
      <c r="M153" s="452" t="s">
        <v>176</v>
      </c>
      <c r="N153" s="451"/>
      <c r="O153" s="451"/>
      <c r="P153" s="451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3"/>
      <c r="C154" s="3"/>
      <c r="D154" s="3"/>
      <c r="E154" s="3"/>
      <c r="F154" s="3"/>
      <c r="G154" s="3"/>
      <c r="H154" s="41"/>
      <c r="I154" s="4"/>
      <c r="J154" s="3"/>
      <c r="K154" s="58" t="s">
        <v>177</v>
      </c>
      <c r="L154" s="58">
        <v>2500</v>
      </c>
      <c r="M154" s="462" t="s">
        <v>178</v>
      </c>
      <c r="N154" s="451"/>
      <c r="O154" s="451"/>
      <c r="P154" s="451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3" t="s">
        <v>179</v>
      </c>
      <c r="C155" s="3"/>
      <c r="D155" s="3"/>
      <c r="E155" s="3"/>
      <c r="F155" s="3"/>
      <c r="G155" s="3"/>
      <c r="H155" s="45"/>
      <c r="I155" s="4"/>
      <c r="J155" s="3"/>
      <c r="K155" s="58" t="s">
        <v>180</v>
      </c>
      <c r="L155" s="58">
        <f>20*30</f>
        <v>600</v>
      </c>
      <c r="M155" s="462" t="s">
        <v>181</v>
      </c>
      <c r="N155" s="451"/>
      <c r="O155" s="451"/>
      <c r="P155" s="451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11" t="s">
        <v>8</v>
      </c>
      <c r="C156" s="15" t="s">
        <v>28</v>
      </c>
      <c r="D156" s="18"/>
      <c r="E156" s="18"/>
      <c r="F156" s="29"/>
      <c r="G156" s="15" t="s">
        <v>13</v>
      </c>
      <c r="H156" s="45"/>
      <c r="I156" s="4"/>
      <c r="J156" s="3"/>
      <c r="K156" s="58" t="s">
        <v>182</v>
      </c>
      <c r="L156" s="58">
        <v>1300</v>
      </c>
      <c r="M156" s="452" t="s">
        <v>183</v>
      </c>
      <c r="N156" s="451"/>
      <c r="O156" s="451"/>
      <c r="P156" s="451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11" t="s">
        <v>179</v>
      </c>
      <c r="C157" s="28">
        <f>250000*1+300000*1+25000</f>
        <v>575000</v>
      </c>
      <c r="D157" s="42"/>
      <c r="E157" s="42">
        <v>0</v>
      </c>
      <c r="F157" s="42">
        <v>575000</v>
      </c>
      <c r="G157" s="11">
        <f t="shared" ref="G157" si="15">E157*F157</f>
        <v>0</v>
      </c>
      <c r="H157" s="41"/>
      <c r="I157" s="4"/>
      <c r="J157" s="3"/>
      <c r="K157" s="59" t="s">
        <v>184</v>
      </c>
      <c r="L157" s="59">
        <f>SUM(L152:L156)</f>
        <v>9000</v>
      </c>
      <c r="M157" s="452" t="s">
        <v>185</v>
      </c>
      <c r="N157" s="451"/>
      <c r="O157" s="451"/>
      <c r="P157" s="451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15" t="s">
        <v>22</v>
      </c>
      <c r="C158" s="18"/>
      <c r="D158" s="18"/>
      <c r="E158" s="18"/>
      <c r="F158" s="29"/>
      <c r="G158" s="11">
        <f>SUM(G157)</f>
        <v>0</v>
      </c>
      <c r="H158" s="41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3"/>
      <c r="C159" s="3"/>
      <c r="D159" s="3"/>
      <c r="E159" s="3"/>
      <c r="F159" s="3"/>
      <c r="G159" s="3"/>
      <c r="H159" s="20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3" t="s">
        <v>100</v>
      </c>
      <c r="C160" s="3"/>
      <c r="D160" s="3"/>
      <c r="E160" s="3"/>
      <c r="F160" s="3"/>
      <c r="G160" s="3"/>
      <c r="H160" s="45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11" t="s">
        <v>8</v>
      </c>
      <c r="C161" s="13" t="s">
        <v>28</v>
      </c>
      <c r="D161" s="18"/>
      <c r="E161" s="18"/>
      <c r="F161" s="29"/>
      <c r="G161" s="11" t="s">
        <v>13</v>
      </c>
      <c r="H161" s="30" t="s">
        <v>186</v>
      </c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443" t="s">
        <v>187</v>
      </c>
      <c r="C162" s="11"/>
      <c r="D162" s="3"/>
      <c r="E162" s="3"/>
      <c r="F162" s="3"/>
      <c r="G162" s="11"/>
      <c r="H162" s="30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444"/>
      <c r="C163" s="294" t="s">
        <v>188</v>
      </c>
      <c r="D163" s="295"/>
      <c r="E163" s="295">
        <v>1</v>
      </c>
      <c r="F163" s="295">
        <v>230000</v>
      </c>
      <c r="G163" s="294">
        <f t="shared" ref="G163:G182" si="16">E163*F163</f>
        <v>230000</v>
      </c>
      <c r="H163" s="30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444"/>
      <c r="C164" s="3"/>
      <c r="D164" s="3"/>
      <c r="E164" s="3"/>
      <c r="F164" s="3"/>
      <c r="G164" s="11">
        <f t="shared" si="16"/>
        <v>0</v>
      </c>
      <c r="H164" s="30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444"/>
      <c r="C165" s="296" t="s">
        <v>189</v>
      </c>
      <c r="D165" s="297"/>
      <c r="E165" s="297">
        <v>1</v>
      </c>
      <c r="F165" s="295">
        <v>230000</v>
      </c>
      <c r="G165" s="294">
        <f t="shared" si="16"/>
        <v>230000</v>
      </c>
      <c r="H165" s="30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445"/>
      <c r="C166" s="216" t="s">
        <v>346</v>
      </c>
      <c r="D166" s="242"/>
      <c r="E166" s="241">
        <v>1</v>
      </c>
      <c r="F166" s="27">
        <v>990000</v>
      </c>
      <c r="G166" s="11">
        <f t="shared" si="16"/>
        <v>990000</v>
      </c>
      <c r="H166" s="30" t="s">
        <v>347</v>
      </c>
      <c r="I166" s="21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445"/>
      <c r="C167" s="216" t="s">
        <v>348</v>
      </c>
      <c r="D167" s="242"/>
      <c r="E167" s="241">
        <v>1</v>
      </c>
      <c r="F167" s="27">
        <v>700000</v>
      </c>
      <c r="G167" s="11">
        <f t="shared" si="16"/>
        <v>700000</v>
      </c>
      <c r="H167" s="30" t="s">
        <v>349</v>
      </c>
      <c r="I167" s="21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444"/>
      <c r="C168" s="296" t="s">
        <v>354</v>
      </c>
      <c r="D168" s="298"/>
      <c r="E168" s="299">
        <v>20</v>
      </c>
      <c r="F168" s="294">
        <f>486205-0.5+66667</f>
        <v>552871.5</v>
      </c>
      <c r="G168" s="294">
        <f>E168*F168</f>
        <v>11057430</v>
      </c>
      <c r="H168" s="225" t="s">
        <v>353</v>
      </c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444"/>
      <c r="C169" s="216" t="s">
        <v>356</v>
      </c>
      <c r="D169" s="243"/>
      <c r="E169" s="31">
        <v>25</v>
      </c>
      <c r="F169" s="11">
        <f>400000</f>
        <v>400000</v>
      </c>
      <c r="G169" s="11">
        <f t="shared" si="16"/>
        <v>10000000</v>
      </c>
      <c r="H169" s="226" t="s">
        <v>466</v>
      </c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444"/>
      <c r="C170" s="300" t="s">
        <v>192</v>
      </c>
      <c r="D170" s="301"/>
      <c r="E170" s="299">
        <v>20</v>
      </c>
      <c r="F170" s="294">
        <v>140000</v>
      </c>
      <c r="G170" s="294">
        <f t="shared" si="16"/>
        <v>2800000</v>
      </c>
      <c r="H170" s="227" t="s">
        <v>193</v>
      </c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446"/>
      <c r="C171" s="12" t="s">
        <v>344</v>
      </c>
      <c r="D171" s="32"/>
      <c r="E171" s="31">
        <v>25</v>
      </c>
      <c r="F171" s="11">
        <v>350000</v>
      </c>
      <c r="G171" s="11">
        <f t="shared" si="16"/>
        <v>8750000</v>
      </c>
      <c r="H171" s="228" t="s">
        <v>360</v>
      </c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447" t="s">
        <v>405</v>
      </c>
      <c r="C172" s="216" t="s">
        <v>410</v>
      </c>
      <c r="D172" s="243"/>
      <c r="E172" s="31">
        <v>0</v>
      </c>
      <c r="F172" s="11">
        <v>1957200</v>
      </c>
      <c r="G172" s="11">
        <f t="shared" si="16"/>
        <v>0</v>
      </c>
      <c r="H172" s="228"/>
      <c r="I172" s="21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448"/>
      <c r="C173" s="216" t="s">
        <v>411</v>
      </c>
      <c r="D173" s="243"/>
      <c r="E173" s="31">
        <v>0</v>
      </c>
      <c r="F173" s="11">
        <v>28000000</v>
      </c>
      <c r="G173" s="11">
        <f t="shared" si="16"/>
        <v>0</v>
      </c>
      <c r="H173" s="228"/>
      <c r="I173" s="21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448"/>
      <c r="C174" s="382" t="s">
        <v>412</v>
      </c>
      <c r="D174" s="383"/>
      <c r="E174" s="384">
        <v>5</v>
      </c>
      <c r="F174" s="322">
        <f>11062500/5</f>
        <v>2212500</v>
      </c>
      <c r="G174" s="322">
        <f t="shared" si="16"/>
        <v>11062500</v>
      </c>
      <c r="H174" s="228"/>
      <c r="I174" s="21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448"/>
      <c r="C175" s="216" t="s">
        <v>426</v>
      </c>
      <c r="D175" s="243"/>
      <c r="E175" s="31">
        <v>5</v>
      </c>
      <c r="F175" s="11">
        <f>1346800</f>
        <v>1346800</v>
      </c>
      <c r="G175" s="11">
        <f t="shared" si="16"/>
        <v>6734000</v>
      </c>
      <c r="H175" s="228" t="s">
        <v>528</v>
      </c>
      <c r="I175" s="21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448"/>
      <c r="C176" s="382" t="s">
        <v>483</v>
      </c>
      <c r="D176" s="383"/>
      <c r="E176" s="384">
        <v>3</v>
      </c>
      <c r="F176" s="322">
        <f>504669</f>
        <v>504669</v>
      </c>
      <c r="G176" s="322">
        <f t="shared" si="16"/>
        <v>1514007</v>
      </c>
      <c r="H176" s="228" t="s">
        <v>484</v>
      </c>
      <c r="I176" s="21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448"/>
      <c r="C177" s="382" t="s">
        <v>485</v>
      </c>
      <c r="D177" s="383"/>
      <c r="E177" s="384">
        <v>3</v>
      </c>
      <c r="F177" s="322">
        <v>30279</v>
      </c>
      <c r="G177" s="322">
        <f t="shared" si="16"/>
        <v>90837</v>
      </c>
      <c r="H177" s="228"/>
      <c r="I177" s="21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449"/>
      <c r="C178" s="382" t="s">
        <v>524</v>
      </c>
      <c r="D178" s="383"/>
      <c r="E178" s="384">
        <v>2</v>
      </c>
      <c r="F178" s="322">
        <f>504669+30279</f>
        <v>534948</v>
      </c>
      <c r="G178" s="322">
        <f t="shared" si="16"/>
        <v>1069896</v>
      </c>
      <c r="H178" s="228"/>
      <c r="I178" s="21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443" t="s">
        <v>195</v>
      </c>
      <c r="C179" s="11" t="s">
        <v>196</v>
      </c>
      <c r="D179" s="32"/>
      <c r="E179" s="27">
        <v>1</v>
      </c>
      <c r="F179" s="31">
        <v>20000000</v>
      </c>
      <c r="G179" s="11">
        <f t="shared" si="16"/>
        <v>20000000</v>
      </c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444"/>
      <c r="C180" s="14" t="s">
        <v>197</v>
      </c>
      <c r="D180" s="43"/>
      <c r="E180" s="27">
        <v>0</v>
      </c>
      <c r="F180" s="31">
        <v>1000000</v>
      </c>
      <c r="G180" s="11">
        <f t="shared" si="16"/>
        <v>0</v>
      </c>
      <c r="H180" s="460" t="s">
        <v>198</v>
      </c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445"/>
      <c r="C181" s="302" t="s">
        <v>345</v>
      </c>
      <c r="D181" s="303"/>
      <c r="E181" s="295">
        <v>1</v>
      </c>
      <c r="F181" s="299">
        <v>516000</v>
      </c>
      <c r="G181" s="294">
        <f t="shared" si="16"/>
        <v>516000</v>
      </c>
      <c r="H181" s="460"/>
      <c r="I181" s="21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446"/>
      <c r="C182" s="11" t="s">
        <v>199</v>
      </c>
      <c r="D182" s="32"/>
      <c r="E182" s="27">
        <v>1</v>
      </c>
      <c r="F182" s="31">
        <v>10000000</v>
      </c>
      <c r="G182" s="11">
        <f t="shared" si="16"/>
        <v>10000000</v>
      </c>
      <c r="H182" s="453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15" t="s">
        <v>22</v>
      </c>
      <c r="C183" s="18"/>
      <c r="D183" s="18"/>
      <c r="E183" s="18"/>
      <c r="F183" s="29"/>
      <c r="G183" s="11">
        <f>SUM(G162:G182)</f>
        <v>85744670</v>
      </c>
      <c r="H183" s="45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3" t="s">
        <v>116</v>
      </c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11" t="s">
        <v>8</v>
      </c>
      <c r="C186" s="15" t="s">
        <v>28</v>
      </c>
      <c r="D186" s="18"/>
      <c r="E186" s="18"/>
      <c r="F186" s="29"/>
      <c r="G186" s="11" t="s">
        <v>13</v>
      </c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2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443" t="s">
        <v>117</v>
      </c>
      <c r="C187" s="11" t="s">
        <v>118</v>
      </c>
      <c r="D187" s="27"/>
      <c r="E187" s="31">
        <v>500000</v>
      </c>
      <c r="F187" s="11">
        <v>2</v>
      </c>
      <c r="G187" s="11">
        <f t="shared" ref="G187:G191" si="17">E187*F187</f>
        <v>1000000</v>
      </c>
      <c r="H187" s="3" t="s">
        <v>481</v>
      </c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444"/>
      <c r="C188" s="11" t="s">
        <v>119</v>
      </c>
      <c r="D188" s="27"/>
      <c r="E188" s="31">
        <v>50000</v>
      </c>
      <c r="F188" s="11">
        <v>2</v>
      </c>
      <c r="G188" s="11">
        <f t="shared" si="17"/>
        <v>100000</v>
      </c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445"/>
      <c r="C189" s="294" t="s">
        <v>456</v>
      </c>
      <c r="D189" s="295"/>
      <c r="E189" s="299">
        <v>371600</v>
      </c>
      <c r="F189" s="294">
        <v>1</v>
      </c>
      <c r="G189" s="294">
        <f t="shared" si="17"/>
        <v>371600</v>
      </c>
      <c r="H189" s="3"/>
      <c r="I189" s="21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445"/>
      <c r="C190" s="294" t="s">
        <v>486</v>
      </c>
      <c r="D190" s="295"/>
      <c r="E190" s="299">
        <v>52500</v>
      </c>
      <c r="F190" s="294">
        <v>1</v>
      </c>
      <c r="G190" s="294">
        <f t="shared" si="17"/>
        <v>52500</v>
      </c>
      <c r="H190" s="3"/>
      <c r="I190" s="21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446"/>
      <c r="C191" s="26" t="s">
        <v>120</v>
      </c>
      <c r="D191" s="35"/>
      <c r="E191" s="40">
        <v>0</v>
      </c>
      <c r="F191" s="26">
        <v>1</v>
      </c>
      <c r="G191" s="26">
        <f t="shared" si="17"/>
        <v>0</v>
      </c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15" t="s">
        <v>22</v>
      </c>
      <c r="C192" s="18"/>
      <c r="D192" s="18"/>
      <c r="E192" s="18"/>
      <c r="F192" s="29"/>
      <c r="G192" s="11">
        <f>SUM(G187:G191)</f>
        <v>1524100</v>
      </c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3" t="s">
        <v>200</v>
      </c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47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11" t="s">
        <v>8</v>
      </c>
      <c r="C195" s="15" t="s">
        <v>28</v>
      </c>
      <c r="D195" s="18"/>
      <c r="E195" s="18"/>
      <c r="F195" s="29"/>
      <c r="G195" s="11" t="s">
        <v>13</v>
      </c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47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11" t="s">
        <v>200</v>
      </c>
      <c r="C196" s="28">
        <v>30000</v>
      </c>
      <c r="D196" s="42"/>
      <c r="E196" s="42"/>
      <c r="F196" s="29">
        <v>5</v>
      </c>
      <c r="G196" s="11">
        <f>C196*F196</f>
        <v>150000</v>
      </c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47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15" t="s">
        <v>22</v>
      </c>
      <c r="C197" s="18"/>
      <c r="D197" s="18"/>
      <c r="E197" s="18"/>
      <c r="F197" s="29"/>
      <c r="G197" s="11">
        <f>G196</f>
        <v>150000</v>
      </c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47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47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3" t="s">
        <v>121</v>
      </c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47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11" t="s">
        <v>8</v>
      </c>
      <c r="C200" s="15" t="s">
        <v>28</v>
      </c>
      <c r="D200" s="18"/>
      <c r="E200" s="18"/>
      <c r="F200" s="29"/>
      <c r="G200" s="11" t="s">
        <v>13</v>
      </c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2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11" t="s">
        <v>124</v>
      </c>
      <c r="C201" s="11" t="s">
        <v>201</v>
      </c>
      <c r="D201" s="27"/>
      <c r="E201" s="27">
        <v>180</v>
      </c>
      <c r="F201" s="11">
        <v>5000</v>
      </c>
      <c r="G201" s="11">
        <f t="shared" ref="G201:G204" si="18">E201*F201</f>
        <v>900000</v>
      </c>
      <c r="H201" s="8" t="s">
        <v>480</v>
      </c>
      <c r="I201" s="4"/>
      <c r="J201" s="3"/>
      <c r="K201" s="3"/>
      <c r="L201" s="3"/>
      <c r="M201" s="3"/>
      <c r="N201" s="3"/>
      <c r="O201" s="3"/>
      <c r="P201" s="3"/>
      <c r="Q201" s="3"/>
      <c r="R201" s="2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11" t="s">
        <v>202</v>
      </c>
      <c r="C202" s="11" t="s">
        <v>203</v>
      </c>
      <c r="D202" s="27"/>
      <c r="E202" s="27">
        <v>2</v>
      </c>
      <c r="F202" s="11">
        <v>50000</v>
      </c>
      <c r="G202" s="11">
        <f t="shared" si="18"/>
        <v>100000</v>
      </c>
      <c r="H202" s="3"/>
      <c r="I202" s="4"/>
      <c r="J202" s="3"/>
      <c r="K202" s="8"/>
      <c r="L202" s="461"/>
      <c r="M202" s="451"/>
      <c r="N202" s="451"/>
      <c r="O202" s="3"/>
      <c r="P202" s="3"/>
      <c r="Q202" s="3"/>
      <c r="R202" s="2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11" t="s">
        <v>204</v>
      </c>
      <c r="C203" s="11" t="s">
        <v>205</v>
      </c>
      <c r="D203" s="27"/>
      <c r="E203" s="27">
        <v>81</v>
      </c>
      <c r="F203" s="11">
        <v>109000</v>
      </c>
      <c r="G203" s="11">
        <f t="shared" si="18"/>
        <v>8829000</v>
      </c>
      <c r="H203" s="3"/>
      <c r="I203" s="4"/>
      <c r="J203" s="3"/>
      <c r="K203" s="8"/>
      <c r="L203" s="451"/>
      <c r="M203" s="451"/>
      <c r="N203" s="451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11" t="s">
        <v>206</v>
      </c>
      <c r="C204" s="11" t="s">
        <v>207</v>
      </c>
      <c r="D204" s="27"/>
      <c r="E204" s="27">
        <v>61</v>
      </c>
      <c r="F204" s="11">
        <v>30000</v>
      </c>
      <c r="G204" s="11">
        <f t="shared" si="18"/>
        <v>1830000</v>
      </c>
      <c r="H204" s="30" t="s">
        <v>156</v>
      </c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15" t="s">
        <v>22</v>
      </c>
      <c r="C205" s="18"/>
      <c r="D205" s="18"/>
      <c r="E205" s="18"/>
      <c r="F205" s="29"/>
      <c r="G205" s="11">
        <f>SUM(G201:G204)</f>
        <v>11659000</v>
      </c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2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3" t="s">
        <v>208</v>
      </c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2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11" t="s">
        <v>8</v>
      </c>
      <c r="C208" s="15" t="s">
        <v>28</v>
      </c>
      <c r="D208" s="18"/>
      <c r="E208" s="18"/>
      <c r="F208" s="29"/>
      <c r="G208" s="11" t="s">
        <v>13</v>
      </c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2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11"/>
      <c r="C209" s="27" t="s">
        <v>209</v>
      </c>
      <c r="D209" s="27"/>
      <c r="E209" s="27">
        <v>5</v>
      </c>
      <c r="F209" s="11">
        <v>5000</v>
      </c>
      <c r="G209" s="11">
        <f t="shared" ref="G209:G210" si="19">E209*F209</f>
        <v>25000</v>
      </c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2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11"/>
      <c r="C210" s="295" t="s">
        <v>210</v>
      </c>
      <c r="D210" s="295"/>
      <c r="E210" s="295">
        <v>1</v>
      </c>
      <c r="F210" s="294">
        <v>2043000</v>
      </c>
      <c r="G210" s="294">
        <f t="shared" si="19"/>
        <v>2043000</v>
      </c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2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15" t="s">
        <v>22</v>
      </c>
      <c r="C211" s="18"/>
      <c r="D211" s="18"/>
      <c r="E211" s="18"/>
      <c r="F211" s="29"/>
      <c r="G211" s="11">
        <f>SUM(G209:G210)</f>
        <v>2068000</v>
      </c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3" t="s">
        <v>211</v>
      </c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11" t="s">
        <v>8</v>
      </c>
      <c r="C214" s="15" t="s">
        <v>28</v>
      </c>
      <c r="D214" s="18"/>
      <c r="E214" s="18"/>
      <c r="F214" s="29"/>
      <c r="G214" s="11" t="s">
        <v>13</v>
      </c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2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11" t="s">
        <v>212</v>
      </c>
      <c r="C215" s="11" t="s">
        <v>213</v>
      </c>
      <c r="D215" s="27"/>
      <c r="E215" s="11">
        <v>81</v>
      </c>
      <c r="F215" s="11">
        <v>30000</v>
      </c>
      <c r="G215" s="11">
        <f>E215*F215+1000000</f>
        <v>3430000</v>
      </c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311" t="s">
        <v>214</v>
      </c>
      <c r="C216" s="294" t="s">
        <v>215</v>
      </c>
      <c r="D216" s="294"/>
      <c r="E216" s="294">
        <v>42</v>
      </c>
      <c r="F216" s="294">
        <v>25900</v>
      </c>
      <c r="G216" s="294">
        <f>E216*F216</f>
        <v>1087800</v>
      </c>
      <c r="H216" s="8" t="s">
        <v>216</v>
      </c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15" t="s">
        <v>22</v>
      </c>
      <c r="C217" s="18"/>
      <c r="D217" s="18"/>
      <c r="E217" s="18"/>
      <c r="F217" s="29"/>
      <c r="G217" s="11">
        <f>SUM(G215:G216)</f>
        <v>4517800</v>
      </c>
      <c r="H217" s="8" t="s">
        <v>217</v>
      </c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309" t="s">
        <v>135</v>
      </c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11" t="s">
        <v>8</v>
      </c>
      <c r="C220" s="28" t="s">
        <v>28</v>
      </c>
      <c r="D220" s="42"/>
      <c r="E220" s="42"/>
      <c r="F220" s="42"/>
      <c r="G220" s="11" t="s">
        <v>13</v>
      </c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294" t="s">
        <v>140</v>
      </c>
      <c r="C221" s="299">
        <f>R125</f>
        <v>151120240</v>
      </c>
      <c r="D221" s="295"/>
      <c r="E221" s="295"/>
      <c r="F221" s="295"/>
      <c r="G221" s="294">
        <f t="shared" ref="G221:G223" si="20">C221</f>
        <v>151120240</v>
      </c>
      <c r="H221" s="3" t="s">
        <v>218</v>
      </c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>
      <c r="A222" s="3"/>
      <c r="B222" s="294" t="s">
        <v>142</v>
      </c>
      <c r="C222" s="304">
        <f>R126</f>
        <v>186772440</v>
      </c>
      <c r="D222" s="297"/>
      <c r="E222" s="297"/>
      <c r="F222" s="297"/>
      <c r="G222" s="296">
        <f t="shared" si="20"/>
        <v>186772440</v>
      </c>
      <c r="H222" s="3" t="s">
        <v>460</v>
      </c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305" t="s">
        <v>158</v>
      </c>
      <c r="C223" s="306">
        <v>12743500</v>
      </c>
      <c r="D223" s="307"/>
      <c r="E223" s="307"/>
      <c r="F223" s="307"/>
      <c r="G223" s="308">
        <f t="shared" si="20"/>
        <v>12743500</v>
      </c>
      <c r="H223" s="220" t="s">
        <v>219</v>
      </c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11" t="s">
        <v>368</v>
      </c>
      <c r="C224" s="231">
        <v>0</v>
      </c>
      <c r="D224" s="293"/>
      <c r="E224" s="293"/>
      <c r="F224" s="293"/>
      <c r="G224" s="211">
        <f t="shared" ref="G224:G225" si="21">C224</f>
        <v>0</v>
      </c>
      <c r="H224" s="220"/>
      <c r="I224" s="21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11" t="s">
        <v>369</v>
      </c>
      <c r="C225" s="31">
        <v>0</v>
      </c>
      <c r="D225" s="27"/>
      <c r="E225" s="27"/>
      <c r="F225" s="27"/>
      <c r="G225" s="11">
        <f t="shared" si="21"/>
        <v>0</v>
      </c>
      <c r="H225" s="220"/>
      <c r="I225" s="21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15" t="s">
        <v>22</v>
      </c>
      <c r="C226" s="18"/>
      <c r="D226" s="18"/>
      <c r="E226" s="18"/>
      <c r="F226" s="29"/>
      <c r="G226" s="11">
        <f>SUM(G221:G225)</f>
        <v>350636180</v>
      </c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244"/>
      <c r="C227" s="244"/>
      <c r="D227" s="244"/>
      <c r="E227" s="244"/>
      <c r="F227" s="244"/>
      <c r="G227" s="244"/>
      <c r="H227" s="3"/>
      <c r="I227" s="21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 t="s">
        <v>105</v>
      </c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>
      <c r="A229" s="3"/>
      <c r="B229" s="11" t="s">
        <v>8</v>
      </c>
      <c r="C229" s="11" t="s">
        <v>28</v>
      </c>
      <c r="D229" s="11"/>
      <c r="E229" s="11"/>
      <c r="F229" s="11"/>
      <c r="G229" s="11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>
      <c r="A230" s="3"/>
      <c r="B230" s="11" t="s">
        <v>108</v>
      </c>
      <c r="C230" s="11">
        <v>18480000</v>
      </c>
      <c r="D230" s="11"/>
      <c r="E230" s="11"/>
      <c r="F230" s="11"/>
      <c r="G230" s="11">
        <v>0</v>
      </c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>
      <c r="A231" s="8"/>
      <c r="B231" s="11" t="s">
        <v>113</v>
      </c>
      <c r="C231" s="11">
        <v>21120000</v>
      </c>
      <c r="D231" s="11"/>
      <c r="E231" s="11"/>
      <c r="F231" s="11"/>
      <c r="G231" s="11">
        <v>0</v>
      </c>
      <c r="H231" s="8">
        <v>0</v>
      </c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>
      <c r="A232" s="8"/>
      <c r="B232" s="457" t="s">
        <v>22</v>
      </c>
      <c r="C232" s="458"/>
      <c r="D232" s="458"/>
      <c r="E232" s="458"/>
      <c r="F232" s="459"/>
      <c r="G232" s="11">
        <f>SUM(G230,G231)</f>
        <v>0</v>
      </c>
      <c r="H232" s="8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>
      <c r="A233" s="3"/>
      <c r="B233" s="3"/>
      <c r="C233" s="3"/>
      <c r="D233" s="3"/>
      <c r="E233" s="3"/>
      <c r="F233" s="3"/>
      <c r="G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3" t="s">
        <v>143</v>
      </c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216" t="s">
        <v>8</v>
      </c>
      <c r="C235" s="217" t="s">
        <v>28</v>
      </c>
      <c r="D235" s="267"/>
      <c r="E235" s="267"/>
      <c r="F235" s="268"/>
      <c r="G235" s="216" t="s">
        <v>13</v>
      </c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440" t="s">
        <v>220</v>
      </c>
      <c r="C236" s="308" t="s">
        <v>446</v>
      </c>
      <c r="D236" s="308"/>
      <c r="E236" s="308">
        <v>1</v>
      </c>
      <c r="F236" s="308">
        <v>290000</v>
      </c>
      <c r="G236" s="308">
        <f t="shared" ref="G236:G244" si="22">E236*F236</f>
        <v>290000</v>
      </c>
      <c r="H236" s="220" t="s">
        <v>224</v>
      </c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441"/>
      <c r="C237" s="308" t="s">
        <v>447</v>
      </c>
      <c r="D237" s="308"/>
      <c r="E237" s="308">
        <v>1</v>
      </c>
      <c r="F237" s="308">
        <v>290000</v>
      </c>
      <c r="G237" s="308">
        <f t="shared" si="22"/>
        <v>290000</v>
      </c>
      <c r="H237" s="220"/>
      <c r="I237" s="21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441"/>
      <c r="C238" s="308" t="s">
        <v>448</v>
      </c>
      <c r="D238" s="308"/>
      <c r="E238" s="308">
        <v>1</v>
      </c>
      <c r="F238" s="308">
        <v>210000</v>
      </c>
      <c r="G238" s="308">
        <f t="shared" si="22"/>
        <v>210000</v>
      </c>
      <c r="H238" s="220"/>
      <c r="I238" s="21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442"/>
      <c r="C239" s="308" t="s">
        <v>449</v>
      </c>
      <c r="D239" s="308"/>
      <c r="E239" s="308">
        <v>1</v>
      </c>
      <c r="F239" s="308">
        <v>210000</v>
      </c>
      <c r="G239" s="308">
        <f t="shared" si="22"/>
        <v>210000</v>
      </c>
      <c r="H239" s="220"/>
      <c r="I239" s="21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437" t="s">
        <v>439</v>
      </c>
      <c r="C240" s="310" t="s">
        <v>440</v>
      </c>
      <c r="D240" s="310"/>
      <c r="E240" s="310">
        <v>1</v>
      </c>
      <c r="F240" s="310">
        <v>540000</v>
      </c>
      <c r="G240" s="310">
        <f t="shared" si="22"/>
        <v>540000</v>
      </c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438"/>
      <c r="C241" s="294" t="s">
        <v>441</v>
      </c>
      <c r="D241" s="294"/>
      <c r="E241" s="294">
        <v>1</v>
      </c>
      <c r="F241" s="294">
        <v>540000</v>
      </c>
      <c r="G241" s="294">
        <f t="shared" si="22"/>
        <v>540000</v>
      </c>
      <c r="H241" s="3"/>
      <c r="I241" s="21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438"/>
      <c r="C242" s="294" t="s">
        <v>442</v>
      </c>
      <c r="D242" s="294"/>
      <c r="E242" s="294">
        <v>1</v>
      </c>
      <c r="F242" s="294">
        <v>1260000</v>
      </c>
      <c r="G242" s="294">
        <f t="shared" si="22"/>
        <v>1260000</v>
      </c>
      <c r="H242" s="3"/>
      <c r="I242" s="21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439"/>
      <c r="C243" s="294" t="s">
        <v>445</v>
      </c>
      <c r="D243" s="294"/>
      <c r="E243" s="294">
        <v>1</v>
      </c>
      <c r="F243" s="294">
        <v>1260000</v>
      </c>
      <c r="G243" s="294">
        <f t="shared" si="22"/>
        <v>1260000</v>
      </c>
      <c r="H243" s="3"/>
      <c r="I243" s="21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310" t="s">
        <v>443</v>
      </c>
      <c r="C244" s="294" t="s">
        <v>444</v>
      </c>
      <c r="D244" s="294"/>
      <c r="E244" s="294">
        <v>1</v>
      </c>
      <c r="F244" s="294">
        <v>2700000</v>
      </c>
      <c r="G244" s="294">
        <f t="shared" si="22"/>
        <v>2700000</v>
      </c>
      <c r="H244" s="3"/>
      <c r="I244" s="21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11" t="s">
        <v>22</v>
      </c>
      <c r="C245" s="11"/>
      <c r="D245" s="11"/>
      <c r="E245" s="11"/>
      <c r="F245" s="11"/>
      <c r="G245" s="11">
        <f>SUM(G236:G244)</f>
        <v>7300000</v>
      </c>
      <c r="H245" s="3"/>
      <c r="I245" s="4"/>
      <c r="J245" s="461"/>
      <c r="K245" s="451"/>
      <c r="L245" s="451"/>
      <c r="M245" s="451"/>
      <c r="N245" s="451"/>
      <c r="O245" s="451"/>
      <c r="P245" s="451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23"/>
      <c r="C246" s="23"/>
      <c r="D246" s="23"/>
      <c r="E246" s="23"/>
      <c r="F246" s="23"/>
      <c r="G246" s="3"/>
      <c r="H246" s="3"/>
      <c r="I246" s="4"/>
      <c r="J246" s="451"/>
      <c r="K246" s="451"/>
      <c r="L246" s="451"/>
      <c r="M246" s="451"/>
      <c r="N246" s="451"/>
      <c r="O246" s="451"/>
      <c r="P246" s="451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3"/>
      <c r="C247" s="3"/>
      <c r="D247" s="3"/>
      <c r="E247" s="3"/>
      <c r="F247" s="3"/>
      <c r="G247" s="3"/>
      <c r="H247" s="3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3" t="s">
        <v>225</v>
      </c>
      <c r="C248" s="3">
        <f>C2*0.05</f>
        <v>155600000</v>
      </c>
      <c r="D248" s="3"/>
      <c r="E248" s="3"/>
      <c r="F248" s="3"/>
      <c r="G248" s="3"/>
      <c r="H248" s="3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3"/>
      <c r="C249" s="3"/>
      <c r="D249" s="3"/>
      <c r="E249" s="3"/>
      <c r="F249" s="3"/>
      <c r="G249" s="3"/>
      <c r="H249" s="3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3"/>
      <c r="C250" s="3"/>
      <c r="D250" s="3"/>
      <c r="E250" s="3"/>
      <c r="F250" s="3"/>
      <c r="G250" s="3"/>
      <c r="H250" s="3"/>
      <c r="I250" s="4"/>
      <c r="J250" s="3"/>
      <c r="K250" s="23"/>
      <c r="L250" s="2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3"/>
      <c r="C251" s="3"/>
      <c r="D251" s="3"/>
      <c r="E251" s="3"/>
      <c r="F251" s="3"/>
      <c r="G251" s="3"/>
      <c r="H251" s="3"/>
      <c r="I251" s="2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3"/>
      <c r="C253" s="3"/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3"/>
      <c r="C254" s="3"/>
      <c r="D254" s="3"/>
      <c r="E254" s="3"/>
      <c r="F254" s="3"/>
      <c r="G254" s="3"/>
      <c r="H254" s="2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3"/>
      <c r="C256" s="3"/>
      <c r="D256" s="3"/>
      <c r="E256" s="3"/>
      <c r="F256" s="3"/>
      <c r="G256" s="3"/>
      <c r="H256" s="3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3"/>
      <c r="C259" s="3"/>
      <c r="D259" s="3"/>
      <c r="E259" s="3"/>
      <c r="F259" s="3"/>
      <c r="G259" s="3"/>
      <c r="H259" s="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3"/>
      <c r="C261" s="23"/>
      <c r="D261" s="23"/>
      <c r="E261" s="23"/>
      <c r="F261" s="2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23"/>
      <c r="C264" s="23"/>
      <c r="D264" s="23"/>
      <c r="E264" s="23"/>
      <c r="F264" s="2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3"/>
      <c r="C266" s="3"/>
      <c r="D266" s="3"/>
      <c r="E266" s="3"/>
      <c r="F266" s="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3"/>
      <c r="C269" s="3"/>
      <c r="D269" s="3"/>
      <c r="E269" s="3"/>
      <c r="F269" s="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23"/>
      <c r="W304" s="3"/>
      <c r="X304" s="3"/>
      <c r="Y304" s="3"/>
      <c r="Z304" s="3"/>
    </row>
    <row r="305" spans="1:26" ht="16.5" customHeight="1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.75" customHeight="1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customHeight="1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3"/>
      <c r="C384" s="3"/>
      <c r="D384" s="3"/>
      <c r="E384" s="3"/>
      <c r="F384" s="3"/>
      <c r="G384" s="3"/>
      <c r="H384" s="3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3"/>
      <c r="C385" s="3"/>
      <c r="D385" s="3"/>
      <c r="E385" s="3"/>
      <c r="F385" s="3"/>
      <c r="G385" s="3"/>
      <c r="H385" s="3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3"/>
      <c r="C386" s="3"/>
      <c r="D386" s="3"/>
      <c r="E386" s="3"/>
      <c r="F386" s="3"/>
      <c r="G386" s="3"/>
      <c r="H386" s="3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3"/>
      <c r="C387" s="3"/>
      <c r="D387" s="3"/>
      <c r="E387" s="3"/>
      <c r="F387" s="3"/>
      <c r="G387" s="3"/>
      <c r="H387" s="3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3"/>
      <c r="C388" s="3"/>
      <c r="D388" s="3"/>
      <c r="E388" s="3"/>
      <c r="F388" s="3"/>
      <c r="G388" s="3"/>
      <c r="H388" s="3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3"/>
      <c r="C389" s="3"/>
      <c r="D389" s="3"/>
      <c r="E389" s="3"/>
      <c r="F389" s="3"/>
      <c r="G389" s="3"/>
      <c r="H389" s="3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3"/>
      <c r="C390" s="3"/>
      <c r="D390" s="3"/>
      <c r="E390" s="3"/>
      <c r="F390" s="3"/>
      <c r="G390" s="3"/>
      <c r="H390" s="3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3"/>
      <c r="C391" s="3"/>
      <c r="D391" s="3"/>
      <c r="E391" s="3"/>
      <c r="F391" s="3"/>
      <c r="G391" s="3"/>
      <c r="H391" s="3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3"/>
      <c r="C392" s="3"/>
      <c r="D392" s="3"/>
      <c r="E392" s="3"/>
      <c r="F392" s="3"/>
      <c r="G392" s="3"/>
      <c r="H392" s="3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3"/>
      <c r="C393" s="3"/>
      <c r="D393" s="3"/>
      <c r="E393" s="3"/>
      <c r="F393" s="3"/>
      <c r="G393" s="3"/>
      <c r="H393" s="3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3"/>
      <c r="C394" s="3"/>
      <c r="D394" s="3"/>
      <c r="E394" s="3"/>
      <c r="F394" s="3"/>
      <c r="G394" s="3"/>
      <c r="H394" s="3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3"/>
      <c r="C395" s="3"/>
      <c r="D395" s="3"/>
      <c r="E395" s="3"/>
      <c r="F395" s="3"/>
      <c r="G395" s="3"/>
      <c r="H395" s="3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3"/>
      <c r="C396" s="3"/>
      <c r="D396" s="3"/>
      <c r="E396" s="3"/>
      <c r="F396" s="3"/>
      <c r="G396" s="3"/>
      <c r="H396" s="3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3"/>
      <c r="C397" s="3"/>
      <c r="D397" s="3"/>
      <c r="E397" s="3"/>
      <c r="F397" s="3"/>
      <c r="G397" s="3"/>
      <c r="H397" s="3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3"/>
      <c r="C398" s="3"/>
      <c r="D398" s="3"/>
      <c r="E398" s="3"/>
      <c r="F398" s="3"/>
      <c r="G398" s="3"/>
      <c r="H398" s="3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3"/>
      <c r="C399" s="3"/>
      <c r="D399" s="3"/>
      <c r="E399" s="3"/>
      <c r="F399" s="3"/>
      <c r="G399" s="3"/>
      <c r="H399" s="3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3"/>
      <c r="C400" s="3"/>
      <c r="D400" s="3"/>
      <c r="E400" s="3"/>
      <c r="F400" s="3"/>
      <c r="G400" s="3"/>
      <c r="H400" s="3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3"/>
      <c r="C401" s="3"/>
      <c r="D401" s="3"/>
      <c r="E401" s="3"/>
      <c r="F401" s="3"/>
      <c r="G401" s="3"/>
      <c r="H401" s="3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3"/>
      <c r="C402" s="3"/>
      <c r="D402" s="3"/>
      <c r="E402" s="3"/>
      <c r="F402" s="3"/>
      <c r="G402" s="3"/>
      <c r="H402" s="3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3"/>
      <c r="C403" s="3"/>
      <c r="D403" s="3"/>
      <c r="E403" s="3"/>
      <c r="F403" s="3"/>
      <c r="G403" s="3"/>
      <c r="H403" s="3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3"/>
      <c r="C404" s="3"/>
      <c r="D404" s="3"/>
      <c r="E404" s="3"/>
      <c r="F404" s="3"/>
      <c r="G404" s="3"/>
      <c r="H404" s="3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3"/>
      <c r="C405" s="3"/>
      <c r="D405" s="3"/>
      <c r="E405" s="3"/>
      <c r="F405" s="3"/>
      <c r="G405" s="3"/>
      <c r="H405" s="3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3"/>
      <c r="C406" s="3"/>
      <c r="D406" s="3"/>
      <c r="E406" s="3"/>
      <c r="F406" s="3"/>
      <c r="G406" s="3"/>
      <c r="H406" s="3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3"/>
      <c r="C407" s="3"/>
      <c r="D407" s="3"/>
      <c r="E407" s="3"/>
      <c r="F407" s="3"/>
      <c r="G407" s="3"/>
      <c r="H407" s="3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3"/>
      <c r="C408" s="3"/>
      <c r="D408" s="3"/>
      <c r="E408" s="3"/>
      <c r="F408" s="3"/>
      <c r="G408" s="3"/>
      <c r="H408" s="3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3"/>
      <c r="C409" s="3"/>
      <c r="D409" s="3"/>
      <c r="E409" s="3"/>
      <c r="F409" s="3"/>
      <c r="G409" s="3"/>
      <c r="H409" s="3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3"/>
      <c r="C410" s="3"/>
      <c r="D410" s="3"/>
      <c r="E410" s="3"/>
      <c r="F410" s="3"/>
      <c r="G410" s="3"/>
      <c r="H410" s="3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3"/>
      <c r="C411" s="3"/>
      <c r="D411" s="3"/>
      <c r="E411" s="3"/>
      <c r="F411" s="3"/>
      <c r="G411" s="3"/>
      <c r="H411" s="3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3"/>
      <c r="C412" s="3"/>
      <c r="D412" s="3"/>
      <c r="E412" s="3"/>
      <c r="F412" s="3"/>
      <c r="G412" s="3"/>
      <c r="H412" s="3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3"/>
      <c r="C413" s="3"/>
      <c r="D413" s="3"/>
      <c r="E413" s="3"/>
      <c r="F413" s="3"/>
      <c r="G413" s="3"/>
      <c r="H413" s="3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3"/>
      <c r="C414" s="3"/>
      <c r="D414" s="3"/>
      <c r="E414" s="3"/>
      <c r="F414" s="3"/>
      <c r="G414" s="3"/>
      <c r="H414" s="3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3"/>
      <c r="C415" s="3"/>
      <c r="D415" s="3"/>
      <c r="E415" s="3"/>
      <c r="F415" s="3"/>
      <c r="G415" s="3"/>
      <c r="H415" s="3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3"/>
      <c r="C416" s="3"/>
      <c r="D416" s="3"/>
      <c r="E416" s="3"/>
      <c r="F416" s="3"/>
      <c r="G416" s="3"/>
      <c r="H416" s="3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3"/>
      <c r="C417" s="3"/>
      <c r="D417" s="3"/>
      <c r="E417" s="3"/>
      <c r="F417" s="3"/>
      <c r="G417" s="3"/>
      <c r="H417" s="3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3"/>
      <c r="C418" s="3"/>
      <c r="D418" s="3"/>
      <c r="E418" s="3"/>
      <c r="F418" s="3"/>
      <c r="G418" s="3"/>
      <c r="H418" s="3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3"/>
      <c r="C419" s="3"/>
      <c r="D419" s="3"/>
      <c r="E419" s="3"/>
      <c r="F419" s="3"/>
      <c r="G419" s="3"/>
      <c r="H419" s="3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3"/>
      <c r="C420" s="3"/>
      <c r="D420" s="3"/>
      <c r="E420" s="3"/>
      <c r="F420" s="3"/>
      <c r="G420" s="3"/>
      <c r="H420" s="3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3"/>
      <c r="C421" s="3"/>
      <c r="D421" s="3"/>
      <c r="E421" s="3"/>
      <c r="F421" s="3"/>
      <c r="G421" s="3"/>
      <c r="H421" s="3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3"/>
      <c r="C422" s="3"/>
      <c r="D422" s="3"/>
      <c r="E422" s="3"/>
      <c r="F422" s="3"/>
      <c r="G422" s="3"/>
      <c r="H422" s="3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3"/>
      <c r="C423" s="3"/>
      <c r="D423" s="3"/>
      <c r="E423" s="3"/>
      <c r="F423" s="3"/>
      <c r="G423" s="3"/>
      <c r="H423" s="3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3"/>
      <c r="C424" s="3"/>
      <c r="D424" s="3"/>
      <c r="E424" s="3"/>
      <c r="F424" s="3"/>
      <c r="G424" s="3"/>
      <c r="H424" s="3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3"/>
      <c r="C425" s="3"/>
      <c r="D425" s="3"/>
      <c r="E425" s="3"/>
      <c r="F425" s="3"/>
      <c r="G425" s="3"/>
      <c r="H425" s="3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3"/>
      <c r="C426" s="3"/>
      <c r="D426" s="3"/>
      <c r="E426" s="3"/>
      <c r="F426" s="3"/>
      <c r="G426" s="3"/>
      <c r="H426" s="3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3"/>
      <c r="C427" s="3"/>
      <c r="D427" s="3"/>
      <c r="E427" s="3"/>
      <c r="F427" s="3"/>
      <c r="G427" s="3"/>
      <c r="H427" s="3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3"/>
      <c r="C428" s="3"/>
      <c r="D428" s="3"/>
      <c r="E428" s="3"/>
      <c r="F428" s="3"/>
      <c r="G428" s="3"/>
      <c r="H428" s="3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3"/>
      <c r="C429" s="3"/>
      <c r="D429" s="3"/>
      <c r="E429" s="3"/>
      <c r="F429" s="3"/>
      <c r="G429" s="3"/>
      <c r="H429" s="3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3"/>
      <c r="C430" s="3"/>
      <c r="D430" s="3"/>
      <c r="E430" s="3"/>
      <c r="F430" s="3"/>
      <c r="G430" s="3"/>
      <c r="H430" s="3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3"/>
      <c r="C431" s="3"/>
      <c r="D431" s="3"/>
      <c r="E431" s="3"/>
      <c r="F431" s="3"/>
      <c r="G431" s="3"/>
      <c r="H431" s="3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3"/>
      <c r="C432" s="3"/>
      <c r="D432" s="3"/>
      <c r="E432" s="3"/>
      <c r="F432" s="3"/>
      <c r="G432" s="3"/>
      <c r="H432" s="3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3"/>
      <c r="C433" s="3"/>
      <c r="D433" s="3"/>
      <c r="E433" s="3"/>
      <c r="F433" s="3"/>
      <c r="G433" s="3"/>
      <c r="H433" s="3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3"/>
      <c r="C434" s="3"/>
      <c r="D434" s="3"/>
      <c r="E434" s="3"/>
      <c r="F434" s="3"/>
      <c r="G434" s="3"/>
      <c r="H434" s="3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3"/>
      <c r="C435" s="3"/>
      <c r="D435" s="3"/>
      <c r="E435" s="3"/>
      <c r="F435" s="3"/>
      <c r="G435" s="3"/>
      <c r="H435" s="3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3"/>
      <c r="C436" s="3"/>
      <c r="D436" s="3"/>
      <c r="E436" s="3"/>
      <c r="F436" s="3"/>
      <c r="G436" s="3"/>
      <c r="H436" s="3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3"/>
      <c r="C437" s="3"/>
      <c r="D437" s="3"/>
      <c r="E437" s="3"/>
      <c r="F437" s="3"/>
      <c r="G437" s="3"/>
      <c r="H437" s="3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3"/>
      <c r="C438" s="3"/>
      <c r="D438" s="3"/>
      <c r="E438" s="3"/>
      <c r="F438" s="3"/>
      <c r="G438" s="3"/>
      <c r="H438" s="3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3"/>
      <c r="C439" s="3"/>
      <c r="D439" s="3"/>
      <c r="E439" s="3"/>
      <c r="F439" s="3"/>
      <c r="G439" s="3"/>
      <c r="H439" s="3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3"/>
      <c r="C440" s="3"/>
      <c r="D440" s="3"/>
      <c r="E440" s="3"/>
      <c r="F440" s="3"/>
      <c r="G440" s="3"/>
      <c r="H440" s="3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3"/>
      <c r="C441" s="3"/>
      <c r="D441" s="3"/>
      <c r="E441" s="3"/>
      <c r="F441" s="3"/>
      <c r="G441" s="3"/>
      <c r="H441" s="3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3"/>
      <c r="C442" s="3"/>
      <c r="D442" s="3"/>
      <c r="E442" s="3"/>
      <c r="F442" s="3"/>
      <c r="G442" s="3"/>
      <c r="H442" s="3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3"/>
      <c r="C443" s="3"/>
      <c r="D443" s="3"/>
      <c r="E443" s="3"/>
      <c r="F443" s="3"/>
      <c r="G443" s="3"/>
      <c r="H443" s="3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3"/>
      <c r="C444" s="3"/>
      <c r="D444" s="3"/>
      <c r="E444" s="3"/>
      <c r="F444" s="3"/>
      <c r="G444" s="3"/>
      <c r="H444" s="3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3"/>
      <c r="C445" s="3"/>
      <c r="D445" s="3"/>
      <c r="E445" s="3"/>
      <c r="F445" s="3"/>
      <c r="G445" s="3"/>
      <c r="H445" s="3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3"/>
      <c r="C446" s="3"/>
      <c r="D446" s="3"/>
      <c r="E446" s="3"/>
      <c r="F446" s="3"/>
      <c r="G446" s="3"/>
      <c r="H446" s="3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3"/>
      <c r="C447" s="3"/>
      <c r="D447" s="3"/>
      <c r="E447" s="3"/>
      <c r="F447" s="3"/>
      <c r="G447" s="3"/>
      <c r="H447" s="3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3"/>
      <c r="C448" s="3"/>
      <c r="D448" s="3"/>
      <c r="E448" s="3"/>
      <c r="F448" s="3"/>
      <c r="G448" s="3"/>
      <c r="H448" s="3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3"/>
      <c r="C449" s="3"/>
      <c r="D449" s="3"/>
      <c r="E449" s="3"/>
      <c r="F449" s="3"/>
      <c r="G449" s="3"/>
      <c r="H449" s="3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3"/>
      <c r="C450" s="3"/>
      <c r="D450" s="3"/>
      <c r="E450" s="3"/>
      <c r="F450" s="3"/>
      <c r="G450" s="3"/>
      <c r="H450" s="3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3"/>
      <c r="C451" s="3"/>
      <c r="D451" s="3"/>
      <c r="E451" s="3"/>
      <c r="F451" s="3"/>
      <c r="G451" s="3"/>
      <c r="H451" s="3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3"/>
      <c r="C452" s="3"/>
      <c r="D452" s="3"/>
      <c r="E452" s="3"/>
      <c r="F452" s="3"/>
      <c r="G452" s="3"/>
      <c r="H452" s="3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3"/>
      <c r="C453" s="3"/>
      <c r="D453" s="3"/>
      <c r="E453" s="3"/>
      <c r="F453" s="3"/>
      <c r="G453" s="3"/>
      <c r="H453" s="3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3"/>
      <c r="C454" s="3"/>
      <c r="D454" s="3"/>
      <c r="E454" s="3"/>
      <c r="F454" s="3"/>
      <c r="G454" s="3"/>
      <c r="H454" s="3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3"/>
      <c r="C455" s="3"/>
      <c r="D455" s="3"/>
      <c r="E455" s="3"/>
      <c r="F455" s="3"/>
      <c r="G455" s="3"/>
      <c r="H455" s="3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3"/>
      <c r="C456" s="3"/>
      <c r="D456" s="3"/>
      <c r="E456" s="3"/>
      <c r="F456" s="3"/>
      <c r="G456" s="3"/>
      <c r="H456" s="3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3"/>
      <c r="C457" s="3"/>
      <c r="D457" s="3"/>
      <c r="E457" s="3"/>
      <c r="F457" s="3"/>
      <c r="G457" s="3"/>
      <c r="H457" s="3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3"/>
      <c r="C458" s="3"/>
      <c r="D458" s="3"/>
      <c r="E458" s="3"/>
      <c r="F458" s="3"/>
      <c r="G458" s="3"/>
      <c r="H458" s="3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3"/>
      <c r="C459" s="3"/>
      <c r="D459" s="3"/>
      <c r="E459" s="3"/>
      <c r="F459" s="3"/>
      <c r="G459" s="3"/>
      <c r="H459" s="3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3"/>
      <c r="C460" s="3"/>
      <c r="D460" s="3"/>
      <c r="E460" s="3"/>
      <c r="F460" s="3"/>
      <c r="G460" s="3"/>
      <c r="H460" s="3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3"/>
      <c r="C461" s="3"/>
      <c r="D461" s="3"/>
      <c r="E461" s="3"/>
      <c r="F461" s="3"/>
      <c r="G461" s="3"/>
      <c r="H461" s="3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3"/>
      <c r="C462" s="3"/>
      <c r="D462" s="3"/>
      <c r="E462" s="3"/>
      <c r="F462" s="3"/>
      <c r="G462" s="3"/>
      <c r="H462" s="3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3"/>
      <c r="C463" s="3"/>
      <c r="D463" s="3"/>
      <c r="E463" s="3"/>
      <c r="F463" s="3"/>
      <c r="G463" s="3"/>
      <c r="H463" s="3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3"/>
      <c r="C464" s="3"/>
      <c r="D464" s="3"/>
      <c r="E464" s="3"/>
      <c r="F464" s="3"/>
      <c r="G464" s="3"/>
      <c r="H464" s="3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3"/>
      <c r="C465" s="3"/>
      <c r="D465" s="3"/>
      <c r="E465" s="3"/>
      <c r="F465" s="3"/>
      <c r="G465" s="3"/>
      <c r="H465" s="3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3"/>
      <c r="C466" s="3"/>
      <c r="D466" s="3"/>
      <c r="E466" s="3"/>
      <c r="F466" s="3"/>
      <c r="G466" s="3"/>
      <c r="H466" s="3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3"/>
      <c r="C467" s="3"/>
      <c r="D467" s="3"/>
      <c r="E467" s="3"/>
      <c r="F467" s="3"/>
      <c r="G467" s="3"/>
      <c r="H467" s="3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3"/>
      <c r="C468" s="3"/>
      <c r="D468" s="3"/>
      <c r="E468" s="3"/>
      <c r="F468" s="3"/>
      <c r="G468" s="3"/>
      <c r="H468" s="3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3"/>
      <c r="C469" s="3"/>
      <c r="D469" s="3"/>
      <c r="E469" s="3"/>
      <c r="F469" s="3"/>
      <c r="G469" s="3"/>
      <c r="H469" s="3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3"/>
      <c r="C470" s="3"/>
      <c r="D470" s="3"/>
      <c r="E470" s="3"/>
      <c r="F470" s="3"/>
      <c r="G470" s="3"/>
      <c r="H470" s="3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3"/>
      <c r="C471" s="3"/>
      <c r="D471" s="3"/>
      <c r="E471" s="3"/>
      <c r="F471" s="3"/>
      <c r="G471" s="3"/>
      <c r="H471" s="3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3"/>
      <c r="C472" s="3"/>
      <c r="D472" s="3"/>
      <c r="E472" s="3"/>
      <c r="F472" s="3"/>
      <c r="G472" s="3"/>
      <c r="H472" s="3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3"/>
      <c r="C473" s="3"/>
      <c r="D473" s="3"/>
      <c r="E473" s="3"/>
      <c r="F473" s="3"/>
      <c r="G473" s="3"/>
      <c r="H473" s="3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3"/>
      <c r="C474" s="3"/>
      <c r="D474" s="3"/>
      <c r="E474" s="3"/>
      <c r="F474" s="3"/>
      <c r="G474" s="3"/>
      <c r="H474" s="3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3"/>
      <c r="C475" s="3"/>
      <c r="D475" s="3"/>
      <c r="E475" s="3"/>
      <c r="F475" s="3"/>
      <c r="G475" s="3"/>
      <c r="H475" s="3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3"/>
      <c r="C476" s="3"/>
      <c r="D476" s="3"/>
      <c r="E476" s="3"/>
      <c r="F476" s="3"/>
      <c r="G476" s="3"/>
      <c r="H476" s="3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3"/>
      <c r="C477" s="3"/>
      <c r="D477" s="3"/>
      <c r="E477" s="3"/>
      <c r="F477" s="3"/>
      <c r="G477" s="3"/>
      <c r="H477" s="3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3"/>
      <c r="C478" s="3"/>
      <c r="D478" s="3"/>
      <c r="E478" s="3"/>
      <c r="F478" s="3"/>
      <c r="G478" s="3"/>
      <c r="H478" s="3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3"/>
      <c r="C479" s="3"/>
      <c r="D479" s="3"/>
      <c r="E479" s="3"/>
      <c r="F479" s="3"/>
      <c r="G479" s="3"/>
      <c r="H479" s="3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3"/>
      <c r="C480" s="3"/>
      <c r="D480" s="3"/>
      <c r="E480" s="3"/>
      <c r="F480" s="3"/>
      <c r="G480" s="3"/>
      <c r="H480" s="3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3"/>
      <c r="C481" s="3"/>
      <c r="D481" s="3"/>
      <c r="E481" s="3"/>
      <c r="F481" s="3"/>
      <c r="G481" s="3"/>
      <c r="H481" s="3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3"/>
      <c r="C482" s="3"/>
      <c r="D482" s="3"/>
      <c r="E482" s="3"/>
      <c r="F482" s="3"/>
      <c r="G482" s="3"/>
      <c r="H482" s="3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3"/>
      <c r="C483" s="3"/>
      <c r="D483" s="3"/>
      <c r="E483" s="3"/>
      <c r="F483" s="3"/>
      <c r="G483" s="3"/>
      <c r="H483" s="3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3"/>
      <c r="C484" s="3"/>
      <c r="D484" s="3"/>
      <c r="E484" s="3"/>
      <c r="F484" s="3"/>
      <c r="G484" s="3"/>
      <c r="H484" s="3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3"/>
      <c r="C485" s="3"/>
      <c r="D485" s="3"/>
      <c r="E485" s="3"/>
      <c r="F485" s="3"/>
      <c r="G485" s="3"/>
      <c r="H485" s="3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3"/>
      <c r="C486" s="3"/>
      <c r="D486" s="3"/>
      <c r="E486" s="3"/>
      <c r="F486" s="3"/>
      <c r="G486" s="3"/>
      <c r="H486" s="3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3"/>
      <c r="C487" s="3"/>
      <c r="D487" s="3"/>
      <c r="E487" s="3"/>
      <c r="F487" s="3"/>
      <c r="G487" s="3"/>
      <c r="H487" s="3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3"/>
      <c r="C488" s="3"/>
      <c r="D488" s="3"/>
      <c r="E488" s="3"/>
      <c r="F488" s="3"/>
      <c r="G488" s="3"/>
      <c r="H488" s="3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3"/>
      <c r="C489" s="3"/>
      <c r="D489" s="3"/>
      <c r="E489" s="3"/>
      <c r="F489" s="3"/>
      <c r="G489" s="3"/>
      <c r="H489" s="3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3"/>
      <c r="C490" s="3"/>
      <c r="D490" s="3"/>
      <c r="E490" s="3"/>
      <c r="F490" s="3"/>
      <c r="G490" s="3"/>
      <c r="H490" s="3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3"/>
      <c r="C491" s="3"/>
      <c r="D491" s="3"/>
      <c r="E491" s="3"/>
      <c r="F491" s="3"/>
      <c r="G491" s="3"/>
      <c r="H491" s="3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3"/>
      <c r="C492" s="3"/>
      <c r="D492" s="3"/>
      <c r="E492" s="3"/>
      <c r="F492" s="3"/>
      <c r="G492" s="3"/>
      <c r="H492" s="3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3"/>
      <c r="C500" s="3"/>
      <c r="D500" s="3"/>
      <c r="E500" s="3"/>
      <c r="F500" s="3"/>
      <c r="G500" s="3"/>
      <c r="H500" s="3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3"/>
      <c r="C501" s="3"/>
      <c r="D501" s="3"/>
      <c r="E501" s="3"/>
      <c r="F501" s="3"/>
      <c r="G501" s="3"/>
      <c r="H501" s="3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3"/>
      <c r="C502" s="3"/>
      <c r="D502" s="3"/>
      <c r="E502" s="3"/>
      <c r="F502" s="3"/>
      <c r="G502" s="3"/>
      <c r="H502" s="3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3"/>
      <c r="C503" s="3"/>
      <c r="D503" s="3"/>
      <c r="E503" s="3"/>
      <c r="F503" s="3"/>
      <c r="G503" s="3"/>
      <c r="H503" s="3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3"/>
      <c r="C504" s="3"/>
      <c r="D504" s="3"/>
      <c r="E504" s="3"/>
      <c r="F504" s="3"/>
      <c r="G504" s="3"/>
      <c r="H504" s="3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3"/>
      <c r="B995" s="3"/>
      <c r="C995" s="3"/>
      <c r="D995" s="3"/>
      <c r="E995" s="3"/>
      <c r="F995" s="3"/>
      <c r="G995" s="3"/>
      <c r="H995" s="3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3"/>
      <c r="B996" s="3"/>
      <c r="C996" s="3"/>
      <c r="D996" s="3"/>
      <c r="E996" s="3"/>
      <c r="F996" s="3"/>
      <c r="G996" s="3"/>
      <c r="H996" s="3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3"/>
      <c r="B997" s="3"/>
      <c r="C997" s="3"/>
      <c r="D997" s="3"/>
      <c r="E997" s="3"/>
      <c r="F997" s="3"/>
      <c r="G997" s="3"/>
      <c r="H997" s="3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3"/>
      <c r="B998" s="3"/>
      <c r="C998" s="3"/>
      <c r="D998" s="3"/>
      <c r="E998" s="3"/>
      <c r="F998" s="3"/>
      <c r="G998" s="3"/>
      <c r="H998" s="3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3"/>
      <c r="B999" s="3"/>
      <c r="C999" s="3"/>
      <c r="D999" s="3"/>
      <c r="E999" s="3"/>
      <c r="F999" s="3"/>
      <c r="G999" s="3"/>
      <c r="H999" s="3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3"/>
      <c r="B1000" s="3"/>
      <c r="C1000" s="3"/>
      <c r="D1000" s="3"/>
      <c r="E1000" s="3"/>
      <c r="F1000" s="3"/>
      <c r="G1000" s="3"/>
      <c r="H1000" s="3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6.5" customHeight="1">
      <c r="A1001" s="3"/>
      <c r="B1001" s="3"/>
      <c r="C1001" s="3"/>
      <c r="D1001" s="3"/>
      <c r="E1001" s="3"/>
      <c r="F1001" s="3"/>
      <c r="G1001" s="3"/>
      <c r="H1001" s="3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6.5" customHeight="1">
      <c r="A1002" s="3"/>
      <c r="B1002" s="3"/>
      <c r="C1002" s="3"/>
      <c r="D1002" s="3"/>
      <c r="E1002" s="3"/>
      <c r="F1002" s="3"/>
      <c r="G1002" s="3"/>
      <c r="H1002" s="3"/>
      <c r="I1002" s="4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6.5" customHeight="1">
      <c r="A1003" s="3"/>
      <c r="B1003" s="3"/>
      <c r="C1003" s="3"/>
      <c r="D1003" s="3"/>
      <c r="E1003" s="3"/>
      <c r="F1003" s="3"/>
      <c r="G1003" s="3"/>
      <c r="H1003" s="3"/>
      <c r="I1003" s="4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6.5" customHeight="1">
      <c r="A1004" s="3"/>
      <c r="B1004" s="3"/>
      <c r="C1004" s="3"/>
      <c r="D1004" s="3"/>
      <c r="E1004" s="3"/>
      <c r="F1004" s="3"/>
      <c r="G1004" s="3"/>
      <c r="H1004" s="3"/>
      <c r="I1004" s="4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6.5" customHeight="1">
      <c r="A1005" s="3"/>
      <c r="B1005" s="3"/>
      <c r="C1005" s="3"/>
      <c r="D1005" s="3"/>
      <c r="E1005" s="3"/>
      <c r="F1005" s="3"/>
      <c r="G1005" s="3"/>
      <c r="H1005" s="3"/>
      <c r="I1005" s="4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6.5" customHeight="1">
      <c r="A1006" s="3"/>
      <c r="B1006" s="3"/>
      <c r="C1006" s="3"/>
      <c r="D1006" s="3"/>
      <c r="E1006" s="3"/>
      <c r="F1006" s="3"/>
      <c r="G1006" s="3"/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6.5" customHeight="1">
      <c r="A1007" s="3"/>
      <c r="B1007" s="3"/>
      <c r="C1007" s="3"/>
      <c r="D1007" s="3"/>
      <c r="E1007" s="3"/>
      <c r="F1007" s="3"/>
      <c r="G1007" s="3"/>
      <c r="H1007" s="3"/>
      <c r="I1007" s="4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6.5" customHeight="1">
      <c r="A1008" s="3"/>
      <c r="B1008" s="3"/>
      <c r="C1008" s="3"/>
      <c r="D1008" s="3"/>
      <c r="E1008" s="3"/>
      <c r="F1008" s="3"/>
      <c r="G1008" s="3"/>
      <c r="H1008" s="3"/>
      <c r="I1008" s="4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6.5" customHeight="1">
      <c r="A1009" s="3"/>
      <c r="B1009" s="3"/>
      <c r="C1009" s="3"/>
      <c r="D1009" s="3"/>
      <c r="E1009" s="3"/>
      <c r="F1009" s="3"/>
      <c r="G1009" s="3"/>
      <c r="H1009" s="3"/>
      <c r="I1009" s="4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6.5" customHeight="1">
      <c r="A1010" s="3"/>
      <c r="B1010" s="3"/>
      <c r="C1010" s="3"/>
      <c r="D1010" s="3"/>
      <c r="E1010" s="3"/>
      <c r="F1010" s="3"/>
      <c r="G1010" s="3"/>
      <c r="H1010" s="3"/>
      <c r="I1010" s="4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6.5" customHeight="1">
      <c r="A1011" s="3"/>
      <c r="B1011" s="3"/>
      <c r="C1011" s="3"/>
      <c r="D1011" s="3"/>
      <c r="E1011" s="3"/>
      <c r="F1011" s="3"/>
      <c r="G1011" s="3"/>
      <c r="H1011" s="3"/>
      <c r="I1011" s="4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6.5" customHeight="1">
      <c r="A1012" s="3"/>
      <c r="B1012" s="3"/>
      <c r="C1012" s="3"/>
      <c r="D1012" s="3"/>
      <c r="E1012" s="3"/>
      <c r="F1012" s="3"/>
      <c r="G1012" s="3"/>
      <c r="H1012" s="3"/>
      <c r="I1012" s="4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6.5" customHeight="1">
      <c r="A1013" s="3"/>
      <c r="B1013" s="3"/>
      <c r="C1013" s="3"/>
      <c r="D1013" s="3"/>
      <c r="E1013" s="3"/>
      <c r="F1013" s="3"/>
      <c r="G1013" s="3"/>
      <c r="H1013" s="3"/>
      <c r="I1013" s="4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6.5" customHeight="1">
      <c r="A1014" s="3"/>
      <c r="B1014" s="3"/>
      <c r="C1014" s="3"/>
      <c r="D1014" s="3"/>
      <c r="E1014" s="3"/>
      <c r="F1014" s="3"/>
      <c r="G1014" s="3"/>
      <c r="H1014" s="3"/>
      <c r="I1014" s="4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6.5" customHeight="1">
      <c r="A1015" s="3"/>
      <c r="B1015" s="3"/>
      <c r="C1015" s="3"/>
      <c r="D1015" s="3"/>
      <c r="E1015" s="3"/>
      <c r="F1015" s="3"/>
      <c r="G1015" s="3"/>
      <c r="H1015" s="3"/>
      <c r="I1015" s="4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6.5" customHeight="1">
      <c r="A1016" s="3"/>
      <c r="B1016" s="3"/>
      <c r="C1016" s="3"/>
      <c r="D1016" s="3"/>
      <c r="E1016" s="3"/>
      <c r="F1016" s="3"/>
      <c r="G1016" s="3"/>
      <c r="H1016" s="3"/>
      <c r="I1016" s="4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6.5" customHeight="1">
      <c r="A1017" s="3"/>
      <c r="B1017" s="3"/>
      <c r="C1017" s="3"/>
      <c r="D1017" s="3"/>
      <c r="E1017" s="3"/>
      <c r="F1017" s="3"/>
      <c r="G1017" s="3"/>
      <c r="H1017" s="3"/>
      <c r="I1017" s="4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6.5" customHeight="1">
      <c r="A1018" s="3"/>
      <c r="B1018" s="3"/>
      <c r="C1018" s="3"/>
      <c r="D1018" s="3"/>
      <c r="E1018" s="3"/>
      <c r="F1018" s="3"/>
      <c r="G1018" s="3"/>
      <c r="H1018" s="3"/>
      <c r="I1018" s="4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6.5" customHeight="1">
      <c r="A1019" s="3"/>
      <c r="B1019" s="3"/>
      <c r="C1019" s="3"/>
      <c r="D1019" s="3"/>
      <c r="E1019" s="3"/>
      <c r="F1019" s="3"/>
      <c r="G1019" s="3"/>
      <c r="H1019" s="3"/>
      <c r="I1019" s="4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6.5" customHeight="1">
      <c r="A1020" s="3"/>
      <c r="B1020" s="3"/>
      <c r="C1020" s="3"/>
      <c r="D1020" s="3"/>
      <c r="E1020" s="3"/>
      <c r="F1020" s="3"/>
      <c r="G1020" s="3"/>
      <c r="H1020" s="3"/>
      <c r="I1020" s="4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6.5" customHeight="1">
      <c r="A1021" s="3"/>
      <c r="B1021" s="3"/>
      <c r="C1021" s="3"/>
      <c r="D1021" s="3"/>
      <c r="E1021" s="3"/>
      <c r="F1021" s="3"/>
      <c r="G1021" s="3"/>
      <c r="H1021" s="3"/>
      <c r="I1021" s="4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6.5" customHeight="1">
      <c r="A1022" s="3"/>
      <c r="B1022" s="3"/>
      <c r="C1022" s="3"/>
      <c r="D1022" s="3"/>
      <c r="E1022" s="3"/>
      <c r="F1022" s="3"/>
      <c r="G1022" s="3"/>
      <c r="H1022" s="3"/>
      <c r="I1022" s="4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6.5" customHeight="1">
      <c r="A1023" s="3"/>
      <c r="B1023" s="3"/>
      <c r="C1023" s="3"/>
      <c r="D1023" s="3"/>
      <c r="E1023" s="3"/>
      <c r="F1023" s="3"/>
      <c r="G1023" s="3"/>
      <c r="H1023" s="3"/>
      <c r="I1023" s="4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6.5" customHeight="1">
      <c r="A1024" s="3"/>
      <c r="B1024" s="3"/>
      <c r="C1024" s="3"/>
      <c r="D1024" s="3"/>
      <c r="E1024" s="3"/>
      <c r="F1024" s="3"/>
      <c r="G1024" s="3"/>
      <c r="H1024" s="3"/>
      <c r="I1024" s="4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6.5" customHeight="1">
      <c r="A1025" s="3"/>
      <c r="B1025" s="3"/>
      <c r="C1025" s="3"/>
      <c r="D1025" s="3"/>
      <c r="E1025" s="3"/>
      <c r="F1025" s="3"/>
      <c r="G1025" s="3"/>
      <c r="H1025" s="3"/>
      <c r="I1025" s="4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6.5" customHeight="1">
      <c r="A1026" s="3"/>
      <c r="B1026" s="3"/>
      <c r="C1026" s="3"/>
      <c r="D1026" s="3"/>
      <c r="E1026" s="3"/>
      <c r="F1026" s="3"/>
      <c r="G1026" s="3"/>
      <c r="H1026" s="3"/>
      <c r="I1026" s="4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6.5" customHeight="1">
      <c r="A1027" s="3"/>
      <c r="B1027" s="3"/>
      <c r="C1027" s="3"/>
      <c r="D1027" s="3"/>
      <c r="E1027" s="3"/>
      <c r="F1027" s="3"/>
      <c r="G1027" s="3"/>
      <c r="H1027" s="3"/>
      <c r="I1027" s="4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6.5" customHeight="1">
      <c r="A1028" s="3"/>
      <c r="B1028" s="3"/>
      <c r="C1028" s="3"/>
      <c r="D1028" s="3"/>
      <c r="E1028" s="3"/>
      <c r="F1028" s="3"/>
      <c r="G1028" s="3"/>
      <c r="H1028" s="3"/>
      <c r="I1028" s="4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6.5" customHeight="1">
      <c r="A1029" s="3"/>
      <c r="B1029" s="3"/>
      <c r="C1029" s="3"/>
      <c r="D1029" s="3"/>
      <c r="E1029" s="3"/>
      <c r="F1029" s="3"/>
      <c r="G1029" s="3"/>
      <c r="H1029" s="3"/>
      <c r="I1029" s="4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6.5" customHeight="1">
      <c r="A1030" s="3"/>
      <c r="B1030" s="3"/>
      <c r="C1030" s="3"/>
      <c r="D1030" s="3"/>
      <c r="E1030" s="3"/>
      <c r="F1030" s="3"/>
      <c r="G1030" s="3"/>
      <c r="H1030" s="3"/>
      <c r="I1030" s="4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6.5" customHeight="1">
      <c r="A1031" s="3"/>
      <c r="B1031" s="3"/>
      <c r="C1031" s="3"/>
      <c r="D1031" s="3"/>
      <c r="E1031" s="3"/>
      <c r="F1031" s="3"/>
      <c r="G1031" s="3"/>
      <c r="H1031" s="3"/>
      <c r="I1031" s="4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6.5" customHeight="1">
      <c r="A1032" s="3"/>
      <c r="B1032" s="3"/>
      <c r="C1032" s="3"/>
      <c r="D1032" s="3"/>
      <c r="E1032" s="3"/>
      <c r="F1032" s="3"/>
      <c r="G1032" s="3"/>
      <c r="H1032" s="3"/>
      <c r="I1032" s="4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6.5" customHeight="1">
      <c r="A1033" s="3"/>
      <c r="B1033" s="3"/>
      <c r="C1033" s="3"/>
      <c r="D1033" s="3"/>
      <c r="E1033" s="3"/>
      <c r="F1033" s="3"/>
      <c r="G1033" s="3"/>
      <c r="H1033" s="3"/>
      <c r="I1033" s="4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6.5" customHeight="1">
      <c r="A1034" s="3"/>
      <c r="B1034" s="3"/>
      <c r="C1034" s="3"/>
      <c r="D1034" s="3"/>
      <c r="E1034" s="3"/>
      <c r="F1034" s="3"/>
      <c r="G1034" s="3"/>
      <c r="H1034" s="3"/>
      <c r="I1034" s="4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6.5" customHeight="1">
      <c r="A1035" s="3"/>
      <c r="B1035" s="3"/>
      <c r="C1035" s="3"/>
      <c r="D1035" s="3"/>
      <c r="E1035" s="3"/>
      <c r="F1035" s="3"/>
      <c r="G1035" s="3"/>
      <c r="H1035" s="3"/>
      <c r="I1035" s="4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6.5" customHeight="1">
      <c r="A1036" s="3"/>
      <c r="B1036" s="3"/>
      <c r="C1036" s="3"/>
      <c r="D1036" s="3"/>
      <c r="E1036" s="3"/>
      <c r="F1036" s="3"/>
      <c r="G1036" s="3"/>
      <c r="H1036" s="3"/>
      <c r="I1036" s="4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6.5" customHeight="1">
      <c r="A1037" s="3"/>
      <c r="B1037" s="3"/>
      <c r="C1037" s="3"/>
      <c r="D1037" s="3"/>
      <c r="E1037" s="3"/>
      <c r="F1037" s="3"/>
      <c r="G1037" s="3"/>
      <c r="H1037" s="3"/>
      <c r="I1037" s="4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6.5" customHeight="1">
      <c r="A1038" s="3"/>
      <c r="B1038" s="3"/>
      <c r="C1038" s="3"/>
      <c r="D1038" s="3"/>
      <c r="E1038" s="3"/>
      <c r="F1038" s="3"/>
      <c r="G1038" s="3"/>
      <c r="H1038" s="3"/>
      <c r="I1038" s="4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6.5" customHeight="1">
      <c r="A1039" s="3"/>
      <c r="B1039" s="3"/>
      <c r="C1039" s="3"/>
      <c r="D1039" s="3"/>
      <c r="E1039" s="3"/>
      <c r="F1039" s="3"/>
      <c r="G1039" s="3"/>
      <c r="H1039" s="3"/>
      <c r="I1039" s="4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6.5" customHeight="1">
      <c r="A1040" s="3"/>
      <c r="B1040" s="3"/>
      <c r="C1040" s="3"/>
      <c r="D1040" s="3"/>
      <c r="E1040" s="3"/>
      <c r="F1040" s="3"/>
      <c r="G1040" s="3"/>
      <c r="H1040" s="3"/>
      <c r="I1040" s="4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6.5" customHeight="1">
      <c r="A1041" s="3"/>
      <c r="B1041" s="3"/>
      <c r="C1041" s="3"/>
      <c r="D1041" s="3"/>
      <c r="E1041" s="3"/>
      <c r="F1041" s="3"/>
      <c r="G1041" s="3"/>
      <c r="H1041" s="3"/>
      <c r="I1041" s="4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6.5" customHeight="1">
      <c r="A1042" s="3"/>
      <c r="B1042" s="3"/>
      <c r="C1042" s="3"/>
      <c r="D1042" s="3"/>
      <c r="E1042" s="3"/>
      <c r="F1042" s="3"/>
      <c r="G1042" s="3"/>
      <c r="H1042" s="3"/>
      <c r="I1042" s="4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6.5" customHeight="1">
      <c r="A1043" s="3"/>
      <c r="B1043" s="3"/>
      <c r="C1043" s="3"/>
      <c r="D1043" s="3"/>
      <c r="E1043" s="3"/>
      <c r="F1043" s="3"/>
      <c r="G1043" s="3"/>
      <c r="H1043" s="3"/>
      <c r="I1043" s="4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6.5" customHeight="1">
      <c r="A1044" s="3"/>
      <c r="B1044" s="3"/>
      <c r="C1044" s="3"/>
      <c r="D1044" s="3"/>
      <c r="E1044" s="3"/>
      <c r="F1044" s="3"/>
      <c r="G1044" s="3"/>
      <c r="H1044" s="3"/>
      <c r="I1044" s="4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6.5" customHeight="1">
      <c r="A1045" s="3"/>
      <c r="B1045" s="3"/>
      <c r="C1045" s="3"/>
      <c r="D1045" s="3"/>
      <c r="E1045" s="3"/>
      <c r="F1045" s="3"/>
      <c r="G1045" s="3"/>
      <c r="H1045" s="3"/>
      <c r="I1045" s="4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6.5" customHeight="1">
      <c r="A1046" s="3"/>
      <c r="B1046" s="3"/>
      <c r="C1046" s="3"/>
      <c r="D1046" s="3"/>
      <c r="E1046" s="3"/>
      <c r="F1046" s="3"/>
      <c r="G1046" s="3"/>
      <c r="H1046" s="3"/>
      <c r="I1046" s="4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6.5" customHeight="1">
      <c r="A1047" s="3"/>
      <c r="B1047" s="3"/>
      <c r="C1047" s="3"/>
      <c r="D1047" s="3"/>
      <c r="E1047" s="3"/>
      <c r="F1047" s="3"/>
      <c r="G1047" s="3"/>
      <c r="H1047" s="3"/>
      <c r="I1047" s="4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6.5" customHeight="1">
      <c r="A1048" s="3"/>
      <c r="B1048" s="3"/>
      <c r="C1048" s="3"/>
      <c r="D1048" s="3"/>
      <c r="E1048" s="3"/>
      <c r="F1048" s="3"/>
      <c r="G1048" s="3"/>
      <c r="H1048" s="3"/>
      <c r="I1048" s="4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6.5" customHeight="1">
      <c r="A1049" s="3"/>
      <c r="B1049" s="3"/>
      <c r="C1049" s="3"/>
      <c r="D1049" s="3"/>
      <c r="E1049" s="3"/>
      <c r="F1049" s="3"/>
      <c r="G1049" s="3"/>
      <c r="H1049" s="3"/>
      <c r="I1049" s="4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6.5" customHeight="1">
      <c r="A1050" s="3"/>
      <c r="B1050" s="3"/>
      <c r="C1050" s="3"/>
      <c r="D1050" s="3"/>
      <c r="E1050" s="3"/>
      <c r="F1050" s="3"/>
      <c r="G1050" s="3"/>
      <c r="H1050" s="3"/>
      <c r="I1050" s="4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6.5" customHeight="1">
      <c r="A1051" s="3"/>
      <c r="B1051" s="3"/>
      <c r="C1051" s="3"/>
      <c r="D1051" s="3"/>
      <c r="E1051" s="3"/>
      <c r="F1051" s="3"/>
      <c r="G1051" s="3"/>
      <c r="H1051" s="3"/>
      <c r="I1051" s="4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6.5" customHeight="1">
      <c r="A1052" s="3"/>
      <c r="B1052" s="3"/>
      <c r="C1052" s="3"/>
      <c r="D1052" s="3"/>
      <c r="E1052" s="3"/>
      <c r="F1052" s="3"/>
      <c r="G1052" s="3"/>
      <c r="H1052" s="3"/>
      <c r="I1052" s="4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6.5" customHeight="1">
      <c r="A1053" s="3"/>
      <c r="B1053" s="3"/>
      <c r="C1053" s="3"/>
      <c r="D1053" s="3"/>
      <c r="E1053" s="3"/>
      <c r="F1053" s="3"/>
      <c r="G1053" s="3"/>
      <c r="H1053" s="3"/>
      <c r="I1053" s="4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6.5" customHeight="1">
      <c r="A1054" s="3"/>
      <c r="B1054" s="3"/>
      <c r="C1054" s="3"/>
      <c r="D1054" s="3"/>
      <c r="E1054" s="3"/>
      <c r="F1054" s="3"/>
      <c r="G1054" s="3"/>
      <c r="H1054" s="3"/>
      <c r="I1054" s="4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6.5" customHeight="1">
      <c r="A1055" s="3"/>
      <c r="B1055" s="3"/>
      <c r="C1055" s="3"/>
      <c r="D1055" s="3"/>
      <c r="E1055" s="3"/>
      <c r="F1055" s="3"/>
      <c r="G1055" s="3"/>
      <c r="H1055" s="3"/>
      <c r="I1055" s="4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6.5" customHeight="1">
      <c r="A1056" s="3"/>
      <c r="B1056" s="3"/>
      <c r="C1056" s="3"/>
      <c r="D1056" s="3"/>
      <c r="E1056" s="3"/>
      <c r="F1056" s="3"/>
      <c r="G1056" s="3"/>
      <c r="H1056" s="3"/>
      <c r="I1056" s="4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6.5" customHeight="1">
      <c r="A1057" s="3"/>
      <c r="B1057" s="3"/>
      <c r="C1057" s="3"/>
      <c r="D1057" s="3"/>
      <c r="E1057" s="3"/>
      <c r="F1057" s="3"/>
      <c r="G1057" s="3"/>
      <c r="H1057" s="3"/>
      <c r="I1057" s="4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5" customHeight="1">
      <c r="B1058" s="3"/>
      <c r="C1058" s="3"/>
      <c r="D1058" s="3"/>
      <c r="E1058" s="3"/>
      <c r="F1058" s="3"/>
      <c r="G1058" s="3"/>
    </row>
    <row r="1059" spans="1:26" ht="15" customHeight="1">
      <c r="B1059" s="3"/>
      <c r="C1059" s="3"/>
      <c r="D1059" s="3"/>
      <c r="E1059" s="3"/>
      <c r="F1059" s="3"/>
      <c r="G1059" s="3"/>
    </row>
    <row r="1060" spans="1:26" ht="15" customHeight="1">
      <c r="B1060" s="3"/>
      <c r="C1060" s="3"/>
      <c r="D1060" s="3"/>
      <c r="E1060" s="3"/>
      <c r="F1060" s="3"/>
      <c r="G1060" s="3"/>
    </row>
    <row r="1061" spans="1:26" ht="15" customHeight="1">
      <c r="B1061" s="3"/>
      <c r="C1061" s="3"/>
      <c r="D1061" s="3"/>
      <c r="E1061" s="3"/>
      <c r="F1061" s="3"/>
      <c r="G1061" s="3"/>
    </row>
    <row r="1062" spans="1:26" ht="15" customHeight="1">
      <c r="B1062" s="3"/>
      <c r="C1062" s="3"/>
      <c r="D1062" s="3"/>
      <c r="E1062" s="3"/>
      <c r="F1062" s="3"/>
      <c r="G1062" s="3"/>
    </row>
  </sheetData>
  <mergeCells count="83">
    <mergeCell ref="H28:H29"/>
    <mergeCell ref="B55:B63"/>
    <mergeCell ref="C63:F63"/>
    <mergeCell ref="B64:F64"/>
    <mergeCell ref="B101:B105"/>
    <mergeCell ref="C54:F54"/>
    <mergeCell ref="H31:H32"/>
    <mergeCell ref="H59:H60"/>
    <mergeCell ref="H89:H90"/>
    <mergeCell ref="H70:H71"/>
    <mergeCell ref="H72:H73"/>
    <mergeCell ref="B14:F14"/>
    <mergeCell ref="C17:F17"/>
    <mergeCell ref="B19:F19"/>
    <mergeCell ref="B28:B54"/>
    <mergeCell ref="B232:F232"/>
    <mergeCell ref="B137:B138"/>
    <mergeCell ref="D137:D138"/>
    <mergeCell ref="B144:B152"/>
    <mergeCell ref="B162:B171"/>
    <mergeCell ref="B179:B182"/>
    <mergeCell ref="B70:B78"/>
    <mergeCell ref="C22:F22"/>
    <mergeCell ref="B24:F24"/>
    <mergeCell ref="B109:B113"/>
    <mergeCell ref="B114:B118"/>
    <mergeCell ref="B106:B107"/>
    <mergeCell ref="K96:O96"/>
    <mergeCell ref="K102:O102"/>
    <mergeCell ref="K134:O134"/>
    <mergeCell ref="N141:N142"/>
    <mergeCell ref="O142:O144"/>
    <mergeCell ref="N143:N144"/>
    <mergeCell ref="K141:K142"/>
    <mergeCell ref="K143:K144"/>
    <mergeCell ref="J245:P246"/>
    <mergeCell ref="M156:P156"/>
    <mergeCell ref="M157:P157"/>
    <mergeCell ref="M153:P153"/>
    <mergeCell ref="M154:P154"/>
    <mergeCell ref="M155:P155"/>
    <mergeCell ref="K83:O83"/>
    <mergeCell ref="K73:K82"/>
    <mergeCell ref="K93:K95"/>
    <mergeCell ref="K54:O54"/>
    <mergeCell ref="K61:O61"/>
    <mergeCell ref="K65:K68"/>
    <mergeCell ref="K69:O69"/>
    <mergeCell ref="A1:H1"/>
    <mergeCell ref="J1:Q1"/>
    <mergeCell ref="B7:B13"/>
    <mergeCell ref="H7:H8"/>
    <mergeCell ref="K7:K11"/>
    <mergeCell ref="L11:O11"/>
    <mergeCell ref="K13:O13"/>
    <mergeCell ref="C13:F13"/>
    <mergeCell ref="K31:O31"/>
    <mergeCell ref="H35:H36"/>
    <mergeCell ref="H37:H38"/>
    <mergeCell ref="K41:O41"/>
    <mergeCell ref="K48:O48"/>
    <mergeCell ref="H41:H53"/>
    <mergeCell ref="H180:H183"/>
    <mergeCell ref="L202:N203"/>
    <mergeCell ref="B132:B133"/>
    <mergeCell ref="H151:H152"/>
    <mergeCell ref="H132:H133"/>
    <mergeCell ref="H146:H147"/>
    <mergeCell ref="H148:H149"/>
    <mergeCell ref="K151:L151"/>
    <mergeCell ref="M152:P152"/>
    <mergeCell ref="W85:Y85"/>
    <mergeCell ref="W86:Y86"/>
    <mergeCell ref="Q87:Q88"/>
    <mergeCell ref="R87:R88"/>
    <mergeCell ref="B88:B89"/>
    <mergeCell ref="K89:O89"/>
    <mergeCell ref="B119:B124"/>
    <mergeCell ref="B80:B81"/>
    <mergeCell ref="B240:B243"/>
    <mergeCell ref="B236:B239"/>
    <mergeCell ref="B187:B191"/>
    <mergeCell ref="B172:B178"/>
  </mergeCells>
  <phoneticPr fontId="27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53"/>
  <sheetViews>
    <sheetView zoomScaleNormal="100" workbookViewId="0">
      <pane ySplit="3" topLeftCell="A148" activePane="bottomLeft" state="frozen"/>
      <selection pane="bottomLeft" activeCell="G27" sqref="G27"/>
    </sheetView>
  </sheetViews>
  <sheetFormatPr defaultColWidth="12.5703125" defaultRowHeight="15" customHeight="1"/>
  <cols>
    <col min="1" max="1" width="36.140625" customWidth="1"/>
    <col min="2" max="2" width="32" bestFit="1" customWidth="1"/>
    <col min="3" max="3" width="36.5703125" customWidth="1"/>
    <col min="4" max="4" width="23" bestFit="1" customWidth="1"/>
    <col min="5" max="5" width="15" bestFit="1" customWidth="1"/>
    <col min="6" max="6" width="14" bestFit="1" customWidth="1"/>
    <col min="7" max="7" width="12.28515625" customWidth="1"/>
    <col min="8" max="8" width="21" bestFit="1" customWidth="1"/>
    <col min="9" max="9" width="12.85546875" bestFit="1" customWidth="1"/>
    <col min="10" max="10" width="14.42578125" customWidth="1"/>
    <col min="11" max="11" width="17.42578125" bestFit="1" customWidth="1"/>
    <col min="12" max="14" width="7.5703125" customWidth="1"/>
    <col min="15" max="15" width="19.140625" bestFit="1" customWidth="1"/>
    <col min="16" max="16" width="15.28515625" bestFit="1" customWidth="1"/>
    <col min="17" max="17" width="9.5703125" bestFit="1" customWidth="1"/>
    <col min="18" max="18" width="15.28515625" bestFit="1" customWidth="1"/>
    <col min="19" max="19" width="9.5703125" bestFit="1" customWidth="1"/>
    <col min="20" max="20" width="17.28515625" bestFit="1" customWidth="1"/>
    <col min="21" max="21" width="9.5703125" bestFit="1" customWidth="1"/>
    <col min="22" max="22" width="15.28515625" bestFit="1" customWidth="1"/>
    <col min="23" max="23" width="9.5703125" bestFit="1" customWidth="1"/>
    <col min="24" max="24" width="17.28515625" bestFit="1" customWidth="1"/>
    <col min="25" max="25" width="9.5703125" bestFit="1" customWidth="1"/>
    <col min="26" max="26" width="21" bestFit="1" customWidth="1"/>
    <col min="27" max="27" width="11.5703125" bestFit="1" customWidth="1"/>
    <col min="28" max="29" width="7.5703125" customWidth="1"/>
    <col min="30" max="33" width="17.85546875" bestFit="1" customWidth="1"/>
    <col min="34" max="37" width="19.5703125" bestFit="1" customWidth="1"/>
    <col min="38" max="39" width="17.85546875" bestFit="1" customWidth="1"/>
    <col min="40" max="41" width="19.5703125" bestFit="1" customWidth="1"/>
    <col min="42" max="42" width="35.85546875" bestFit="1" customWidth="1"/>
    <col min="43" max="43" width="19.5703125" bestFit="1" customWidth="1"/>
  </cols>
  <sheetData>
    <row r="1" spans="1:43" ht="31.5">
      <c r="A1" s="511" t="s">
        <v>277</v>
      </c>
      <c r="B1" s="512"/>
      <c r="C1" s="512"/>
      <c r="D1" s="512"/>
      <c r="E1" s="512"/>
      <c r="F1" s="512"/>
      <c r="G1" s="512"/>
      <c r="H1" s="512"/>
      <c r="I1" s="512"/>
      <c r="J1" s="512"/>
      <c r="K1" s="512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D1" s="248" t="s">
        <v>228</v>
      </c>
      <c r="AE1" s="248" t="s">
        <v>229</v>
      </c>
      <c r="AF1" s="248" t="s">
        <v>230</v>
      </c>
      <c r="AG1" s="248" t="s">
        <v>231</v>
      </c>
      <c r="AH1" s="248" t="s">
        <v>232</v>
      </c>
      <c r="AI1" s="248" t="s">
        <v>233</v>
      </c>
      <c r="AJ1" s="248" t="s">
        <v>234</v>
      </c>
      <c r="AK1" s="248" t="s">
        <v>235</v>
      </c>
      <c r="AL1" s="248" t="s">
        <v>236</v>
      </c>
      <c r="AM1" s="248" t="s">
        <v>237</v>
      </c>
      <c r="AN1" s="248" t="s">
        <v>238</v>
      </c>
      <c r="AO1" s="248" t="s">
        <v>239</v>
      </c>
      <c r="AP1" s="248" t="s">
        <v>240</v>
      </c>
      <c r="AQ1" s="248" t="s">
        <v>241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69" t="s">
        <v>243</v>
      </c>
      <c r="P2" s="513" t="s">
        <v>7</v>
      </c>
      <c r="Q2" s="459"/>
      <c r="R2" s="513" t="s">
        <v>244</v>
      </c>
      <c r="S2" s="459"/>
      <c r="T2" s="513" t="s">
        <v>31</v>
      </c>
      <c r="U2" s="459"/>
      <c r="V2" s="513" t="s">
        <v>72</v>
      </c>
      <c r="W2" s="459"/>
      <c r="X2" s="513" t="s">
        <v>84</v>
      </c>
      <c r="Y2" s="459"/>
      <c r="Z2" s="513" t="s">
        <v>245</v>
      </c>
      <c r="AA2" s="459"/>
      <c r="AD2" s="249">
        <f t="shared" ref="AD2:AO2" si="0">SUMIF($G4:$G174, AD1, $H4:$H174)</f>
        <v>14600000</v>
      </c>
      <c r="AE2" s="249">
        <f t="shared" si="0"/>
        <v>17381628</v>
      </c>
      <c r="AF2" s="249">
        <f t="shared" si="0"/>
        <v>75237443</v>
      </c>
      <c r="AG2" s="249">
        <f t="shared" si="0"/>
        <v>31017560</v>
      </c>
      <c r="AH2" s="249">
        <f t="shared" si="0"/>
        <v>425800124.92500001</v>
      </c>
      <c r="AI2" s="249">
        <f t="shared" si="0"/>
        <v>32766221.925000001</v>
      </c>
      <c r="AJ2" s="249">
        <f t="shared" si="0"/>
        <v>472999723.92500001</v>
      </c>
      <c r="AK2" s="249">
        <f t="shared" si="0"/>
        <v>209497583.92500001</v>
      </c>
      <c r="AL2" s="249">
        <f t="shared" si="0"/>
        <v>583442764.92499995</v>
      </c>
      <c r="AM2" s="249">
        <f t="shared" si="0"/>
        <v>50865083.924999997</v>
      </c>
      <c r="AN2" s="249">
        <f t="shared" si="0"/>
        <v>155065083.92500001</v>
      </c>
      <c r="AO2" s="249">
        <f t="shared" si="0"/>
        <v>784373083.92499995</v>
      </c>
      <c r="AP2" s="249">
        <f>SUM(AD2:AO2)</f>
        <v>2853046302.3999996</v>
      </c>
      <c r="AQ2" s="250">
        <f>$A$2-$AP$2</f>
        <v>103353697.60000038</v>
      </c>
    </row>
    <row r="3" spans="1:43" ht="16.5" customHeight="1">
      <c r="A3" s="72" t="s">
        <v>246</v>
      </c>
      <c r="B3" s="73" t="s">
        <v>247</v>
      </c>
      <c r="C3" s="74" t="s">
        <v>0</v>
      </c>
      <c r="D3" s="528" t="s">
        <v>248</v>
      </c>
      <c r="E3" s="529"/>
      <c r="F3" s="530"/>
      <c r="G3" s="73" t="s">
        <v>278</v>
      </c>
      <c r="H3" s="75" t="s">
        <v>279</v>
      </c>
      <c r="I3" s="76" t="s">
        <v>251</v>
      </c>
      <c r="J3" s="77" t="s">
        <v>252</v>
      </c>
      <c r="K3" s="78" t="s">
        <v>253</v>
      </c>
      <c r="O3" s="79" t="s">
        <v>254</v>
      </c>
      <c r="P3" s="80">
        <f>H18</f>
        <v>214498758.39999998</v>
      </c>
      <c r="Q3" s="81">
        <f>K18</f>
        <v>0.99999999999999989</v>
      </c>
      <c r="R3" s="80">
        <f>H31</f>
        <v>179000000</v>
      </c>
      <c r="S3" s="81">
        <f>K31</f>
        <v>1</v>
      </c>
      <c r="T3" s="80">
        <f>H48</f>
        <v>1251687390</v>
      </c>
      <c r="U3" s="81">
        <f>K48</f>
        <v>0.99992410821500688</v>
      </c>
      <c r="V3" s="80">
        <f>H68</f>
        <v>73075500</v>
      </c>
      <c r="W3" s="81">
        <f>K68</f>
        <v>0.67637762114782096</v>
      </c>
      <c r="X3" s="80">
        <f>H176</f>
        <v>1143784654</v>
      </c>
      <c r="Y3" s="81">
        <f>K176</f>
        <v>0.99476360129481167</v>
      </c>
      <c r="Z3" s="82">
        <f>H177</f>
        <v>2862046302.4000001</v>
      </c>
      <c r="AA3" s="83">
        <f>K177</f>
        <v>0.98584979157466457</v>
      </c>
      <c r="AD3" s="251">
        <f>AD2/$A$2</f>
        <v>4.9384386415911247E-3</v>
      </c>
      <c r="AE3" s="251">
        <f t="shared" ref="AE3:AO3" si="1">AE2/$A$2+AD3</f>
        <v>1.0817760790150184E-2</v>
      </c>
      <c r="AF3" s="251">
        <f t="shared" si="1"/>
        <v>3.6266767352185092E-2</v>
      </c>
      <c r="AG3" s="251">
        <f t="shared" si="1"/>
        <v>4.6758432891354354E-2</v>
      </c>
      <c r="AH3" s="251">
        <f t="shared" si="1"/>
        <v>0.19078499388614534</v>
      </c>
      <c r="AI3" s="251">
        <f t="shared" si="1"/>
        <v>0.20186814296103373</v>
      </c>
      <c r="AJ3" s="251">
        <f t="shared" si="1"/>
        <v>0.36185993159755114</v>
      </c>
      <c r="AK3" s="251">
        <f t="shared" si="1"/>
        <v>0.4327223263766744</v>
      </c>
      <c r="AL3" s="251">
        <f t="shared" si="1"/>
        <v>0.6300713877097146</v>
      </c>
      <c r="AM3" s="251">
        <f t="shared" si="1"/>
        <v>0.64727646277567319</v>
      </c>
      <c r="AN3" s="251">
        <f t="shared" si="1"/>
        <v>0.69972710677682326</v>
      </c>
      <c r="AO3" s="251">
        <f t="shared" si="1"/>
        <v>0.96504069219320798</v>
      </c>
      <c r="AP3" s="251">
        <f t="shared" ref="AP3:AQ3" si="2">AP2/$A$2</f>
        <v>0.96504069219320787</v>
      </c>
      <c r="AQ3" s="251">
        <f t="shared" si="2"/>
        <v>3.4959307806792177E-2</v>
      </c>
    </row>
    <row r="4" spans="1:43" ht="16.5" customHeight="1">
      <c r="A4" s="489" t="s">
        <v>7</v>
      </c>
      <c r="B4" s="490" t="s">
        <v>255</v>
      </c>
      <c r="C4" s="515">
        <f>예산!G14</f>
        <v>121138758.40000001</v>
      </c>
      <c r="D4" s="85" t="s">
        <v>15</v>
      </c>
      <c r="E4" s="526">
        <f>예산!G7</f>
        <v>5871208</v>
      </c>
      <c r="F4" s="459"/>
      <c r="G4" s="85" t="s">
        <v>229</v>
      </c>
      <c r="H4" s="86">
        <f>1192128+예산!E8</f>
        <v>2781628</v>
      </c>
      <c r="I4" s="87">
        <v>45776</v>
      </c>
      <c r="J4" s="85"/>
      <c r="K4" s="517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44"/>
      <c r="B5" s="444"/>
      <c r="C5" s="444"/>
      <c r="D5" s="237" t="s">
        <v>19</v>
      </c>
      <c r="E5" s="527">
        <f>예산!G8</f>
        <v>4768500</v>
      </c>
      <c r="F5" s="477"/>
      <c r="G5" s="85" t="s">
        <v>230</v>
      </c>
      <c r="H5" s="86">
        <f>예산!E7+예산!E8</f>
        <v>3405260</v>
      </c>
      <c r="I5" s="87"/>
      <c r="J5" s="85"/>
      <c r="K5" s="444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  <c r="AD5" s="228" t="s">
        <v>398</v>
      </c>
    </row>
    <row r="6" spans="1:43" ht="16.5" customHeight="1">
      <c r="A6" s="444"/>
      <c r="B6" s="444"/>
      <c r="C6" s="453"/>
      <c r="D6" s="239" t="s">
        <v>359</v>
      </c>
      <c r="E6" s="527">
        <f>예산!G9</f>
        <v>19608863.399999999</v>
      </c>
      <c r="F6" s="477"/>
      <c r="G6" s="236" t="s">
        <v>231</v>
      </c>
      <c r="H6" s="86">
        <f>SUM(예산!$E$7:$E$8)</f>
        <v>3405260</v>
      </c>
      <c r="I6" s="87"/>
      <c r="J6" s="85"/>
      <c r="K6" s="444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  <c r="AD6" s="64" t="s">
        <v>228</v>
      </c>
      <c r="AE6" s="64" t="s">
        <v>229</v>
      </c>
      <c r="AF6" s="64" t="s">
        <v>230</v>
      </c>
      <c r="AG6" s="64" t="s">
        <v>231</v>
      </c>
      <c r="AH6" s="64" t="s">
        <v>232</v>
      </c>
      <c r="AI6" s="64" t="s">
        <v>233</v>
      </c>
      <c r="AJ6" s="64" t="s">
        <v>234</v>
      </c>
      <c r="AK6" s="64" t="s">
        <v>235</v>
      </c>
      <c r="AL6" s="64" t="s">
        <v>236</v>
      </c>
      <c r="AM6" s="64" t="s">
        <v>237</v>
      </c>
      <c r="AN6" s="64" t="s">
        <v>238</v>
      </c>
      <c r="AO6" s="64" t="s">
        <v>239</v>
      </c>
      <c r="AP6" s="64" t="s">
        <v>240</v>
      </c>
    </row>
    <row r="7" spans="1:43" ht="16.5" customHeight="1">
      <c r="A7" s="444"/>
      <c r="B7" s="444"/>
      <c r="C7" s="453"/>
      <c r="D7" s="238" t="s">
        <v>336</v>
      </c>
      <c r="E7" s="516">
        <f>예산!G10</f>
        <v>37350216</v>
      </c>
      <c r="F7" s="470"/>
      <c r="G7" s="236" t="s">
        <v>232</v>
      </c>
      <c r="H7" s="86">
        <f>SUM(예산!$E$9:$E$10)</f>
        <v>7119884.9249999998</v>
      </c>
      <c r="I7" s="87"/>
      <c r="J7" s="85"/>
      <c r="K7" s="444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  <c r="AD7" s="70">
        <f t="shared" ref="AD7:AO7" si="3">SUMIF($G$69:$G$113, AD$6, $H$69:$H$113)</f>
        <v>0</v>
      </c>
      <c r="AE7" s="70">
        <f t="shared" si="3"/>
        <v>0</v>
      </c>
      <c r="AF7" s="70">
        <f t="shared" si="3"/>
        <v>6500000</v>
      </c>
      <c r="AG7" s="70">
        <f t="shared" si="3"/>
        <v>1000000</v>
      </c>
      <c r="AH7" s="70">
        <f t="shared" si="3"/>
        <v>207800000</v>
      </c>
      <c r="AI7" s="70">
        <f t="shared" si="3"/>
        <v>0</v>
      </c>
      <c r="AJ7" s="70">
        <f t="shared" si="3"/>
        <v>2000000</v>
      </c>
      <c r="AK7" s="70">
        <f t="shared" si="3"/>
        <v>113838000</v>
      </c>
      <c r="AL7" s="70">
        <f t="shared" si="3"/>
        <v>18700000</v>
      </c>
      <c r="AM7" s="70">
        <f t="shared" si="3"/>
        <v>6000000</v>
      </c>
      <c r="AN7" s="70">
        <f t="shared" si="3"/>
        <v>6000000</v>
      </c>
      <c r="AO7" s="70">
        <f t="shared" si="3"/>
        <v>310000000</v>
      </c>
      <c r="AP7" s="70">
        <f>SUM(AD7:AO7)</f>
        <v>671838000</v>
      </c>
    </row>
    <row r="8" spans="1:43" ht="16.5" customHeight="1">
      <c r="A8" s="444"/>
      <c r="B8" s="444"/>
      <c r="C8" s="453"/>
      <c r="D8" s="238" t="s">
        <v>387</v>
      </c>
      <c r="E8" s="524">
        <f>예산!G11</f>
        <v>32681439</v>
      </c>
      <c r="F8" s="525"/>
      <c r="G8" s="236" t="s">
        <v>233</v>
      </c>
      <c r="H8" s="86">
        <f>SUM(예산!$E$9:$E$11)+1047560</f>
        <v>12836221.925000001</v>
      </c>
      <c r="I8" s="87"/>
      <c r="J8" s="85"/>
      <c r="K8" s="444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  <c r="AD8" s="70">
        <f>SUMIF($G$69:$G$113, AD$6, $H$69:$H$113)</f>
        <v>0</v>
      </c>
      <c r="AE8" s="70">
        <f t="shared" ref="AE8:AO8" si="4">SUMIF($G$69:$G$113, AE$6, $H$69:$H$113)+AD8</f>
        <v>0</v>
      </c>
      <c r="AF8" s="70">
        <f t="shared" si="4"/>
        <v>6500000</v>
      </c>
      <c r="AG8" s="70">
        <f t="shared" si="4"/>
        <v>7500000</v>
      </c>
      <c r="AH8" s="70">
        <f t="shared" si="4"/>
        <v>215300000</v>
      </c>
      <c r="AI8" s="70">
        <f t="shared" si="4"/>
        <v>215300000</v>
      </c>
      <c r="AJ8" s="70">
        <f t="shared" si="4"/>
        <v>217300000</v>
      </c>
      <c r="AK8" s="70">
        <f t="shared" si="4"/>
        <v>331138000</v>
      </c>
      <c r="AL8" s="70">
        <f t="shared" si="4"/>
        <v>349838000</v>
      </c>
      <c r="AM8" s="70">
        <f t="shared" si="4"/>
        <v>355838000</v>
      </c>
      <c r="AN8" s="70">
        <f t="shared" si="4"/>
        <v>361838000</v>
      </c>
      <c r="AO8" s="70">
        <f t="shared" si="4"/>
        <v>671838000</v>
      </c>
      <c r="AP8" s="70"/>
    </row>
    <row r="9" spans="1:43" ht="16.5" customHeight="1">
      <c r="A9" s="444"/>
      <c r="B9" s="444"/>
      <c r="C9" s="444"/>
      <c r="D9" s="238" t="s">
        <v>413</v>
      </c>
      <c r="E9" s="524">
        <f>예산!G12</f>
        <v>20858532</v>
      </c>
      <c r="F9" s="525"/>
      <c r="G9" s="85" t="s">
        <v>234</v>
      </c>
      <c r="H9" s="86">
        <f>SUM(예산!$E$9:$E$12)</f>
        <v>15265083.925000001</v>
      </c>
      <c r="I9" s="87"/>
      <c r="J9" s="85"/>
      <c r="K9" s="444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  <c r="AD9" s="84">
        <f>AD7/$E$114</f>
        <v>0</v>
      </c>
      <c r="AE9" s="84">
        <f t="shared" ref="AE9:AO9" si="5">AE7/$E$114+AD9</f>
        <v>0</v>
      </c>
      <c r="AF9" s="84">
        <f t="shared" si="5"/>
        <v>9.5168374816983897E-3</v>
      </c>
      <c r="AG9" s="84">
        <f t="shared" si="5"/>
        <v>1.0980966325036604E-2</v>
      </c>
      <c r="AH9" s="84">
        <f t="shared" si="5"/>
        <v>0.31522693997071743</v>
      </c>
      <c r="AI9" s="84">
        <f t="shared" si="5"/>
        <v>0.31522693997071743</v>
      </c>
      <c r="AJ9" s="84">
        <f t="shared" si="5"/>
        <v>0.31815519765739386</v>
      </c>
      <c r="AK9" s="84">
        <f t="shared" si="5"/>
        <v>0.48482869692532943</v>
      </c>
      <c r="AL9" s="84">
        <f t="shared" si="5"/>
        <v>0.51220790629575408</v>
      </c>
      <c r="AM9" s="84">
        <f t="shared" si="5"/>
        <v>0.52099267935578331</v>
      </c>
      <c r="AN9" s="84">
        <f t="shared" si="5"/>
        <v>0.52977745241581253</v>
      </c>
      <c r="AO9" s="84">
        <f t="shared" si="5"/>
        <v>0.98365739385065876</v>
      </c>
      <c r="AP9" s="84">
        <f>AP7/$A$2</f>
        <v>0.22724868082803409</v>
      </c>
    </row>
    <row r="10" spans="1:43" ht="16.5" customHeight="1">
      <c r="A10" s="444"/>
      <c r="B10" s="444"/>
      <c r="C10" s="444"/>
      <c r="D10" s="518"/>
      <c r="E10" s="519"/>
      <c r="F10" s="520"/>
      <c r="G10" s="85" t="s">
        <v>235</v>
      </c>
      <c r="H10" s="86">
        <f>SUM(예산!$E$9:$E$12)</f>
        <v>15265083.925000001</v>
      </c>
      <c r="I10" s="87"/>
      <c r="J10" s="85"/>
      <c r="K10" s="444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44"/>
      <c r="B11" s="444"/>
      <c r="C11" s="444"/>
      <c r="D11" s="518"/>
      <c r="E11" s="519"/>
      <c r="F11" s="520"/>
      <c r="G11" s="85" t="s">
        <v>236</v>
      </c>
      <c r="H11" s="86">
        <f>SUM(예산!$E$9:$E$12)</f>
        <v>15265083.925000001</v>
      </c>
      <c r="I11" s="87"/>
      <c r="J11" s="85"/>
      <c r="K11" s="444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44"/>
      <c r="B12" s="444"/>
      <c r="C12" s="444"/>
      <c r="D12" s="518"/>
      <c r="E12" s="519"/>
      <c r="F12" s="520"/>
      <c r="G12" s="85" t="s">
        <v>237</v>
      </c>
      <c r="H12" s="86">
        <f>SUM(예산!$E$9:$E$12)</f>
        <v>15265083.925000001</v>
      </c>
      <c r="I12" s="87"/>
      <c r="J12" s="85"/>
      <c r="K12" s="444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44"/>
      <c r="B13" s="444"/>
      <c r="C13" s="444"/>
      <c r="D13" s="518"/>
      <c r="E13" s="519"/>
      <c r="F13" s="520"/>
      <c r="G13" s="85" t="s">
        <v>238</v>
      </c>
      <c r="H13" s="86">
        <f>SUM(예산!$E$9:$E$12)</f>
        <v>15265083.925000001</v>
      </c>
      <c r="I13" s="87"/>
      <c r="J13" s="85"/>
      <c r="K13" s="444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44"/>
      <c r="B14" s="446"/>
      <c r="C14" s="446"/>
      <c r="D14" s="521"/>
      <c r="E14" s="522"/>
      <c r="F14" s="523"/>
      <c r="G14" s="85" t="s">
        <v>239</v>
      </c>
      <c r="H14" s="86">
        <f>SUM(예산!$E$9:$E$12)</f>
        <v>15265083.925000001</v>
      </c>
      <c r="I14" s="87"/>
      <c r="J14" s="85"/>
      <c r="K14" s="446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44"/>
      <c r="B15" s="478" t="s">
        <v>21</v>
      </c>
      <c r="C15" s="458"/>
      <c r="D15" s="459"/>
      <c r="E15" s="88">
        <f>SUM(E4:E14)</f>
        <v>121138758.40000001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44"/>
      <c r="B16" s="85" t="s">
        <v>26</v>
      </c>
      <c r="C16" s="92">
        <f>예산!G19</f>
        <v>93360000</v>
      </c>
      <c r="D16" s="85"/>
      <c r="E16" s="86"/>
      <c r="F16" s="85"/>
      <c r="G16" s="85" t="s">
        <v>239</v>
      </c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6"/>
      <c r="B17" s="478" t="s">
        <v>21</v>
      </c>
      <c r="C17" s="458"/>
      <c r="D17" s="459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494" t="s">
        <v>257</v>
      </c>
      <c r="B18" s="458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14"/>
      <c r="J18" s="459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489" t="s">
        <v>244</v>
      </c>
      <c r="B19" s="85" t="s">
        <v>244</v>
      </c>
      <c r="C19" s="103">
        <f>예산!G26</f>
        <v>179000000</v>
      </c>
      <c r="D19" s="85"/>
      <c r="E19" s="86"/>
      <c r="F19" s="85"/>
      <c r="G19" s="85" t="s">
        <v>228</v>
      </c>
      <c r="H19" s="104">
        <f t="shared" ref="H19:H21" si="6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4"/>
      <c r="B20" s="85"/>
      <c r="C20" s="103"/>
      <c r="D20" s="85"/>
      <c r="E20" s="86"/>
      <c r="F20" s="85"/>
      <c r="G20" s="85" t="s">
        <v>229</v>
      </c>
      <c r="H20" s="104">
        <f t="shared" si="6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4"/>
      <c r="B21" s="85"/>
      <c r="C21" s="92"/>
      <c r="D21" s="85"/>
      <c r="E21" s="86"/>
      <c r="F21" s="85"/>
      <c r="G21" s="85" t="s">
        <v>230</v>
      </c>
      <c r="H21" s="104">
        <f t="shared" si="6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4"/>
      <c r="B22" s="85"/>
      <c r="C22" s="92"/>
      <c r="D22" s="85"/>
      <c r="E22" s="86"/>
      <c r="F22" s="85"/>
      <c r="G22" s="85" t="s">
        <v>231</v>
      </c>
      <c r="H22" s="104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4"/>
      <c r="B23" s="85"/>
      <c r="C23" s="92"/>
      <c r="D23" s="85"/>
      <c r="E23" s="86"/>
      <c r="F23" s="85"/>
      <c r="G23" s="85" t="s">
        <v>232</v>
      </c>
      <c r="H23" s="104">
        <f t="shared" ref="H23:H24" si="7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4"/>
      <c r="B24" s="85"/>
      <c r="C24" s="92"/>
      <c r="D24" s="85"/>
      <c r="E24" s="86"/>
      <c r="F24" s="85"/>
      <c r="G24" s="85" t="s">
        <v>233</v>
      </c>
      <c r="H24" s="104">
        <f t="shared" si="7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4"/>
      <c r="B25" s="85"/>
      <c r="C25" s="92"/>
      <c r="D25" s="85"/>
      <c r="E25" s="86"/>
      <c r="F25" s="85"/>
      <c r="G25" s="85" t="s">
        <v>234</v>
      </c>
      <c r="H25" s="104">
        <f>1300000*4+900000*16</f>
        <v>19600000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4"/>
      <c r="B26" s="85"/>
      <c r="C26" s="92"/>
      <c r="D26" s="85"/>
      <c r="E26" s="86"/>
      <c r="F26" s="85"/>
      <c r="G26" s="85" t="s">
        <v>235</v>
      </c>
      <c r="H26" s="104">
        <f>1300000*4+900000*16</f>
        <v>19600000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4"/>
      <c r="B27" s="85"/>
      <c r="C27" s="92"/>
      <c r="D27" s="85"/>
      <c r="E27" s="86"/>
      <c r="F27" s="85"/>
      <c r="G27" s="85" t="s">
        <v>236</v>
      </c>
      <c r="H27" s="104">
        <f>1300000*4+900000*16</f>
        <v>19600000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4"/>
      <c r="B28" s="85"/>
      <c r="C28" s="92"/>
      <c r="D28" s="85"/>
      <c r="E28" s="86"/>
      <c r="F28" s="85"/>
      <c r="G28" s="85" t="s">
        <v>237</v>
      </c>
      <c r="H28" s="104">
        <f>1300000*4+900000*16</f>
        <v>19600000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4"/>
      <c r="B29" s="85"/>
      <c r="C29" s="92"/>
      <c r="D29" s="85"/>
      <c r="E29" s="86"/>
      <c r="F29" s="85"/>
      <c r="G29" s="85" t="s">
        <v>238</v>
      </c>
      <c r="H29" s="104">
        <f>1300000*4+900000*4</f>
        <v>8800000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46"/>
      <c r="B30" s="85"/>
      <c r="C30" s="105"/>
      <c r="D30" s="85"/>
      <c r="E30" s="86"/>
      <c r="F30" s="85"/>
      <c r="G30" s="85" t="s">
        <v>239</v>
      </c>
      <c r="H30" s="104">
        <f>1300000*4+900000*4</f>
        <v>8800000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 thickBot="1">
      <c r="A31" s="494" t="s">
        <v>258</v>
      </c>
      <c r="B31" s="458"/>
      <c r="C31" s="96">
        <f>C19</f>
        <v>179000000</v>
      </c>
      <c r="D31" s="97"/>
      <c r="E31" s="98">
        <f>C31</f>
        <v>179000000</v>
      </c>
      <c r="F31" s="99"/>
      <c r="G31" s="100"/>
      <c r="H31" s="101">
        <f>SUM(H19:H30)</f>
        <v>179000000</v>
      </c>
      <c r="I31" s="514"/>
      <c r="J31" s="459"/>
      <c r="K31" s="102">
        <f>H31/C31</f>
        <v>1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95" t="s">
        <v>31</v>
      </c>
      <c r="B32" s="490" t="s">
        <v>259</v>
      </c>
      <c r="C32" s="11" t="s">
        <v>46</v>
      </c>
      <c r="D32" s="85" t="s">
        <v>495</v>
      </c>
      <c r="E32" s="86">
        <f>예산!G69</f>
        <v>299970000</v>
      </c>
      <c r="F32" s="85"/>
      <c r="G32" s="85" t="s">
        <v>394</v>
      </c>
      <c r="H32" s="104">
        <f>E32</f>
        <v>299970000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96"/>
      <c r="B33" s="508"/>
      <c r="C33" s="11"/>
      <c r="D33" s="85" t="s">
        <v>496</v>
      </c>
      <c r="E33" s="86">
        <f>+예산!G70</f>
        <v>203982190</v>
      </c>
      <c r="F33" s="85"/>
      <c r="G33" s="85" t="s">
        <v>394</v>
      </c>
      <c r="H33" s="104">
        <f>E33</f>
        <v>203982190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96"/>
      <c r="B34" s="444"/>
      <c r="C34" s="11" t="s">
        <v>99</v>
      </c>
      <c r="D34" s="85"/>
      <c r="E34" s="86">
        <f>예산!G71</f>
        <v>29920000</v>
      </c>
      <c r="F34" s="85"/>
      <c r="G34" s="85" t="s">
        <v>377</v>
      </c>
      <c r="H34" s="104">
        <f t="shared" ref="H34:H41" si="8">E34</f>
        <v>29920000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96"/>
      <c r="B35" s="444"/>
      <c r="C35" s="11" t="s">
        <v>101</v>
      </c>
      <c r="D35" s="85"/>
      <c r="E35" s="86">
        <f>예산!G72</f>
        <v>97163000</v>
      </c>
      <c r="F35" s="85"/>
      <c r="G35" s="85" t="s">
        <v>385</v>
      </c>
      <c r="H35" s="104">
        <f t="shared" si="8"/>
        <v>97163000</v>
      </c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96"/>
      <c r="B36" s="444"/>
      <c r="C36" s="11" t="s">
        <v>103</v>
      </c>
      <c r="D36" s="85"/>
      <c r="E36" s="86">
        <f>예산!G73</f>
        <v>98474200</v>
      </c>
      <c r="F36" s="85"/>
      <c r="G36" s="85" t="s">
        <v>385</v>
      </c>
      <c r="H36" s="104">
        <f t="shared" si="8"/>
        <v>98474200</v>
      </c>
      <c r="I36" s="87"/>
      <c r="J36" s="85" t="s">
        <v>407</v>
      </c>
      <c r="K36" s="93">
        <f>SUM(H32:H36,H40:H41)/A2</f>
        <v>0.25691360776620215</v>
      </c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96"/>
      <c r="B37" s="445"/>
      <c r="C37" s="11" t="s">
        <v>341</v>
      </c>
      <c r="D37" s="85"/>
      <c r="E37" s="86">
        <v>352000000</v>
      </c>
      <c r="F37" s="85"/>
      <c r="G37" s="85" t="s">
        <v>379</v>
      </c>
      <c r="H37" s="104">
        <f t="shared" si="8"/>
        <v>352000000</v>
      </c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96"/>
      <c r="B38" s="445"/>
      <c r="C38" s="11" t="s">
        <v>340</v>
      </c>
      <c r="D38" s="85"/>
      <c r="E38" s="86">
        <v>95000000</v>
      </c>
      <c r="F38" s="85"/>
      <c r="G38" s="85" t="s">
        <v>383</v>
      </c>
      <c r="H38" s="104">
        <f t="shared" si="8"/>
        <v>95000000</v>
      </c>
      <c r="I38" s="87"/>
      <c r="J38" s="85" t="s">
        <v>408</v>
      </c>
      <c r="K38" s="93">
        <f>SUM(H37:H39)/A2</f>
        <v>0.16574144229468271</v>
      </c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96"/>
      <c r="B39" s="445"/>
      <c r="C39" s="11" t="s">
        <v>380</v>
      </c>
      <c r="D39" s="85"/>
      <c r="E39" s="86">
        <v>42998000</v>
      </c>
      <c r="F39" s="85"/>
      <c r="G39" s="85" t="s">
        <v>378</v>
      </c>
      <c r="H39" s="104">
        <f t="shared" si="8"/>
        <v>42998000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96"/>
      <c r="B40" s="445"/>
      <c r="C40" s="11" t="s">
        <v>381</v>
      </c>
      <c r="D40" s="85"/>
      <c r="E40" s="86">
        <v>22000000</v>
      </c>
      <c r="F40" s="85"/>
      <c r="G40" s="85" t="s">
        <v>385</v>
      </c>
      <c r="H40" s="104">
        <f t="shared" si="8"/>
        <v>22000000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96"/>
      <c r="B41" s="446"/>
      <c r="C41" s="246" t="s">
        <v>382</v>
      </c>
      <c r="D41" s="85"/>
      <c r="E41" s="86">
        <v>8030000</v>
      </c>
      <c r="F41" s="85"/>
      <c r="G41" s="85" t="s">
        <v>403</v>
      </c>
      <c r="H41" s="104">
        <f t="shared" si="8"/>
        <v>8030000</v>
      </c>
      <c r="I41" s="87"/>
      <c r="J41" s="85"/>
      <c r="K41" s="93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96"/>
      <c r="B42" s="478" t="s">
        <v>21</v>
      </c>
      <c r="C42" s="458"/>
      <c r="D42" s="459"/>
      <c r="E42" s="88"/>
      <c r="F42" s="94"/>
      <c r="G42" s="89"/>
      <c r="H42" s="88">
        <f>SUM(H32:H41)</f>
        <v>1249537390</v>
      </c>
      <c r="I42" s="90"/>
      <c r="J42" s="89"/>
      <c r="K42" s="91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96"/>
      <c r="B43" s="490" t="s">
        <v>70</v>
      </c>
      <c r="C43" s="29" t="s">
        <v>107</v>
      </c>
      <c r="D43" s="85"/>
      <c r="E43" s="86">
        <f>예산!G87</f>
        <v>0</v>
      </c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96"/>
      <c r="B44" s="444"/>
      <c r="C44" s="11" t="s">
        <v>112</v>
      </c>
      <c r="D44" s="85"/>
      <c r="E44" s="86">
        <f>예산!G88</f>
        <v>0</v>
      </c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96"/>
      <c r="B45" s="446"/>
      <c r="C45" s="11" t="s">
        <v>114</v>
      </c>
      <c r="D45" s="85"/>
      <c r="E45" s="86">
        <f>예산!G89</f>
        <v>2000000</v>
      </c>
      <c r="F45" s="85"/>
      <c r="G45" s="85" t="s">
        <v>385</v>
      </c>
      <c r="H45" s="86">
        <f t="shared" ref="H45" si="9">E45</f>
        <v>2000000</v>
      </c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496"/>
      <c r="B46" s="492" t="s">
        <v>21</v>
      </c>
      <c r="C46" s="493"/>
      <c r="D46" s="477"/>
      <c r="E46" s="95"/>
      <c r="F46" s="280"/>
      <c r="G46" s="280"/>
      <c r="H46" s="95">
        <f>SUM(H43:H45)</f>
        <v>2000000</v>
      </c>
      <c r="I46" s="281"/>
      <c r="J46" s="280"/>
      <c r="K46" s="282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97"/>
      <c r="B47" s="283" t="s">
        <v>452</v>
      </c>
      <c r="C47" s="286" t="s">
        <v>451</v>
      </c>
      <c r="D47" s="269"/>
      <c r="E47" s="266">
        <v>150000</v>
      </c>
      <c r="F47" s="238"/>
      <c r="G47" s="238" t="s">
        <v>385</v>
      </c>
      <c r="H47" s="266">
        <v>150000</v>
      </c>
      <c r="I47" s="284"/>
      <c r="J47" s="238"/>
      <c r="K47" s="285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 thickBot="1">
      <c r="A48" s="494" t="s">
        <v>260</v>
      </c>
      <c r="B48" s="464"/>
      <c r="C48" s="273">
        <f>예산!G66</f>
        <v>1251782390</v>
      </c>
      <c r="D48" s="274"/>
      <c r="E48" s="275"/>
      <c r="F48" s="276"/>
      <c r="G48" s="277"/>
      <c r="H48" s="278">
        <f>H42+H46+H47</f>
        <v>1251687390</v>
      </c>
      <c r="I48" s="491"/>
      <c r="J48" s="466"/>
      <c r="K48" s="279">
        <f>H48/C48</f>
        <v>0.99992410821500688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495" t="s">
        <v>72</v>
      </c>
      <c r="B49" s="490" t="s">
        <v>280</v>
      </c>
      <c r="C49" s="103" t="s">
        <v>262</v>
      </c>
      <c r="D49" s="85"/>
      <c r="E49" s="86">
        <f>예산!$G100</f>
        <v>3075509</v>
      </c>
      <c r="F49" s="85"/>
      <c r="G49" s="85" t="s">
        <v>230</v>
      </c>
      <c r="H49" s="86">
        <f>예산!$G100</f>
        <v>3075509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96"/>
      <c r="B50" s="444"/>
      <c r="C50" s="103" t="s">
        <v>263</v>
      </c>
      <c r="D50" s="85"/>
      <c r="E50" s="86">
        <f>예산!$G104+예산!$G105</f>
        <v>9608500</v>
      </c>
      <c r="F50" s="85"/>
      <c r="G50" s="85" t="s">
        <v>231</v>
      </c>
      <c r="H50" s="86">
        <f>예산!$G104+예산!$G105</f>
        <v>9608500</v>
      </c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96"/>
      <c r="B51" s="444"/>
      <c r="C51" s="92" t="s">
        <v>264</v>
      </c>
      <c r="D51" s="85"/>
      <c r="E51" s="86">
        <f>예산!$G108</f>
        <v>19250000</v>
      </c>
      <c r="F51" s="85"/>
      <c r="G51" s="85" t="s">
        <v>230</v>
      </c>
      <c r="H51" s="86">
        <f>예산!$G108</f>
        <v>19250000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96"/>
      <c r="B52" s="446"/>
      <c r="C52" s="92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96"/>
      <c r="B53" s="498" t="s">
        <v>265</v>
      </c>
      <c r="C53" s="486" t="s">
        <v>266</v>
      </c>
      <c r="D53" s="85"/>
      <c r="E53" s="86">
        <f>예산!$G106-10640000</f>
        <v>24825491</v>
      </c>
      <c r="F53" s="85"/>
      <c r="G53" s="85" t="s">
        <v>236</v>
      </c>
      <c r="H53" s="86">
        <f>E53</f>
        <v>24825491</v>
      </c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96"/>
      <c r="B54" s="499"/>
      <c r="C54" s="488"/>
      <c r="D54" s="85"/>
      <c r="E54" s="86">
        <v>10640000</v>
      </c>
      <c r="F54" s="85"/>
      <c r="G54" s="85" t="s">
        <v>377</v>
      </c>
      <c r="H54" s="86">
        <f>E54</f>
        <v>10640000</v>
      </c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96"/>
      <c r="B55" s="499"/>
      <c r="C55" s="501" t="s">
        <v>139</v>
      </c>
      <c r="D55" s="504" t="s">
        <v>501</v>
      </c>
      <c r="E55" s="86">
        <f>예산!$G109</f>
        <v>5676000</v>
      </c>
      <c r="F55" s="85"/>
      <c r="G55" s="85" t="s">
        <v>385</v>
      </c>
      <c r="H55" s="86">
        <f>예산!$G109</f>
        <v>5676000</v>
      </c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96"/>
      <c r="B56" s="499"/>
      <c r="C56" s="502"/>
      <c r="D56" s="505"/>
      <c r="E56" s="86"/>
      <c r="F56" s="85"/>
      <c r="G56" s="255"/>
      <c r="H56" s="86">
        <f>예산!$G110</f>
        <v>1531200</v>
      </c>
      <c r="I56" s="333"/>
      <c r="J56" s="236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96"/>
      <c r="B57" s="499"/>
      <c r="C57" s="502"/>
      <c r="D57" s="505"/>
      <c r="E57" s="86"/>
      <c r="F57" s="85"/>
      <c r="G57" s="255"/>
      <c r="H57" s="86">
        <f>예산!$G111</f>
        <v>935000</v>
      </c>
      <c r="I57" s="333"/>
      <c r="J57" s="236"/>
      <c r="K57" s="93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96"/>
      <c r="B58" s="499"/>
      <c r="C58" s="502"/>
      <c r="D58" s="506"/>
      <c r="E58" s="86"/>
      <c r="F58" s="85"/>
      <c r="G58" s="255"/>
      <c r="H58" s="86">
        <f>예산!$G112</f>
        <v>1873300</v>
      </c>
      <c r="I58" s="333"/>
      <c r="J58" s="236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96"/>
      <c r="B59" s="499"/>
      <c r="C59" s="502"/>
      <c r="D59" s="504" t="s">
        <v>502</v>
      </c>
      <c r="E59" s="86"/>
      <c r="F59" s="85"/>
      <c r="G59" s="255"/>
      <c r="H59" s="86">
        <f>예산!$G113</f>
        <v>0</v>
      </c>
      <c r="I59" s="333"/>
      <c r="J59" s="236"/>
      <c r="K59" s="93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96"/>
      <c r="B60" s="499"/>
      <c r="C60" s="502"/>
      <c r="D60" s="505"/>
      <c r="E60" s="86"/>
      <c r="F60" s="85"/>
      <c r="G60" s="255"/>
      <c r="H60" s="86">
        <f>예산!$G114</f>
        <v>2332000</v>
      </c>
      <c r="I60" s="333"/>
      <c r="J60" s="236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96"/>
      <c r="B61" s="499"/>
      <c r="C61" s="502"/>
      <c r="D61" s="505"/>
      <c r="E61" s="86"/>
      <c r="F61" s="85"/>
      <c r="G61" s="255"/>
      <c r="H61" s="86">
        <f>예산!$G116</f>
        <v>643500</v>
      </c>
      <c r="I61" s="333"/>
      <c r="J61" s="236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96"/>
      <c r="B62" s="499"/>
      <c r="C62" s="502"/>
      <c r="D62" s="505"/>
      <c r="E62" s="86"/>
      <c r="F62" s="85"/>
      <c r="G62" s="255"/>
      <c r="H62" s="86">
        <f>예산!$G117</f>
        <v>1155000</v>
      </c>
      <c r="I62" s="333"/>
      <c r="J62" s="236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96"/>
      <c r="B63" s="499"/>
      <c r="C63" s="502"/>
      <c r="D63" s="506"/>
      <c r="E63" s="86"/>
      <c r="F63" s="85"/>
      <c r="G63" s="255"/>
      <c r="H63" s="86">
        <f>예산!$G118</f>
        <v>1925000</v>
      </c>
      <c r="I63" s="333"/>
      <c r="J63" s="236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96"/>
      <c r="B64" s="499"/>
      <c r="C64" s="502"/>
      <c r="D64" s="504" t="s">
        <v>503</v>
      </c>
      <c r="E64" s="86"/>
      <c r="F64" s="85"/>
      <c r="G64" s="255"/>
      <c r="H64" s="86">
        <f>예산!$G119</f>
        <v>964480</v>
      </c>
      <c r="I64" s="333"/>
      <c r="J64" s="236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496"/>
      <c r="B65" s="499"/>
      <c r="C65" s="502"/>
      <c r="D65" s="505"/>
      <c r="E65" s="86"/>
      <c r="F65" s="85"/>
      <c r="G65" s="255"/>
      <c r="H65" s="86">
        <f>예산!$G120</f>
        <v>0</v>
      </c>
      <c r="I65" s="333"/>
      <c r="J65" s="236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496"/>
      <c r="B66" s="499"/>
      <c r="C66" s="502"/>
      <c r="D66" s="505"/>
      <c r="E66" s="86"/>
      <c r="F66" s="85"/>
      <c r="G66" s="255"/>
      <c r="H66" s="86">
        <f>예산!$G121</f>
        <v>0</v>
      </c>
      <c r="I66" s="333"/>
      <c r="J66" s="236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 thickBot="1">
      <c r="A67" s="497"/>
      <c r="B67" s="500"/>
      <c r="C67" s="503"/>
      <c r="D67" s="506"/>
      <c r="E67" s="86"/>
      <c r="F67" s="85"/>
      <c r="G67" s="255"/>
      <c r="H67" s="86">
        <f>예산!$G122</f>
        <v>0</v>
      </c>
      <c r="I67" s="333"/>
      <c r="J67" s="236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 thickBot="1">
      <c r="A68" s="481" t="s">
        <v>267</v>
      </c>
      <c r="B68" s="482"/>
      <c r="C68" s="96">
        <f>예산!G97</f>
        <v>108039500</v>
      </c>
      <c r="D68" s="97"/>
      <c r="E68" s="98"/>
      <c r="F68" s="99"/>
      <c r="G68" s="100"/>
      <c r="H68" s="101">
        <f>SUM(H49:H55)</f>
        <v>73075500</v>
      </c>
      <c r="I68" s="483"/>
      <c r="J68" s="484"/>
      <c r="K68" s="102">
        <f>H68/C68</f>
        <v>0.67637762114782096</v>
      </c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89" t="s">
        <v>84</v>
      </c>
      <c r="B69" s="507" t="s">
        <v>268</v>
      </c>
      <c r="C69" s="103" t="s">
        <v>269</v>
      </c>
      <c r="D69" s="85" t="s">
        <v>270</v>
      </c>
      <c r="E69" s="86">
        <v>5500000</v>
      </c>
      <c r="F69" s="85"/>
      <c r="G69" s="85" t="s">
        <v>230</v>
      </c>
      <c r="H69" s="104">
        <f>E69</f>
        <v>5500000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4"/>
      <c r="B70" s="508"/>
      <c r="C70" s="486" t="s">
        <v>374</v>
      </c>
      <c r="D70" s="85" t="s">
        <v>375</v>
      </c>
      <c r="E70" s="86">
        <v>5000000</v>
      </c>
      <c r="F70" s="85"/>
      <c r="G70" s="85" t="s">
        <v>377</v>
      </c>
      <c r="H70" s="104">
        <f t="shared" ref="H70:H102" si="10">E70</f>
        <v>5000000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44"/>
      <c r="B71" s="508"/>
      <c r="C71" s="487"/>
      <c r="D71" s="85" t="s">
        <v>399</v>
      </c>
      <c r="E71" s="86">
        <v>5000000</v>
      </c>
      <c r="F71" s="85"/>
      <c r="G71" s="85" t="s">
        <v>377</v>
      </c>
      <c r="H71" s="104">
        <f t="shared" si="10"/>
        <v>5000000</v>
      </c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44"/>
      <c r="B72" s="508"/>
      <c r="C72" s="487"/>
      <c r="D72" s="85" t="s">
        <v>376</v>
      </c>
      <c r="E72" s="86">
        <v>800000</v>
      </c>
      <c r="F72" s="85"/>
      <c r="G72" s="85" t="s">
        <v>377</v>
      </c>
      <c r="H72" s="104">
        <f t="shared" si="10"/>
        <v>800000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45"/>
      <c r="B73" s="508"/>
      <c r="C73" s="487"/>
      <c r="D73" s="85" t="s">
        <v>434</v>
      </c>
      <c r="E73" s="313">
        <v>2674000</v>
      </c>
      <c r="F73" s="85"/>
      <c r="G73" s="85" t="s">
        <v>378</v>
      </c>
      <c r="H73" s="104">
        <f>E73</f>
        <v>2674000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45"/>
      <c r="B74" s="508"/>
      <c r="C74" s="487"/>
      <c r="D74" s="85" t="s">
        <v>435</v>
      </c>
      <c r="E74" s="313">
        <v>2914000</v>
      </c>
      <c r="F74" s="85"/>
      <c r="G74" s="85" t="s">
        <v>378</v>
      </c>
      <c r="H74" s="247">
        <f>E74</f>
        <v>2914000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45"/>
      <c r="B75" s="508"/>
      <c r="C75" s="487"/>
      <c r="D75" s="85" t="s">
        <v>433</v>
      </c>
      <c r="E75" s="313">
        <v>4500000</v>
      </c>
      <c r="F75" s="85"/>
      <c r="G75" s="85" t="s">
        <v>378</v>
      </c>
      <c r="H75" s="247">
        <f>E75</f>
        <v>4500000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45"/>
      <c r="B76" s="508"/>
      <c r="C76" s="487"/>
      <c r="D76" s="237" t="s">
        <v>432</v>
      </c>
      <c r="E76" s="317">
        <v>6000000</v>
      </c>
      <c r="F76" s="237"/>
      <c r="G76" s="237" t="s">
        <v>384</v>
      </c>
      <c r="H76" s="320">
        <f>E76</f>
        <v>6000000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45"/>
      <c r="B77" s="508"/>
      <c r="C77" s="509"/>
      <c r="D77" s="238" t="s">
        <v>388</v>
      </c>
      <c r="E77" s="324">
        <v>6000000</v>
      </c>
      <c r="F77" s="238"/>
      <c r="G77" s="238" t="s">
        <v>383</v>
      </c>
      <c r="H77" s="266">
        <f>E77</f>
        <v>6000000</v>
      </c>
      <c r="I77" s="258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45"/>
      <c r="B78" s="508"/>
      <c r="C78" s="510"/>
      <c r="D78" s="264"/>
      <c r="E78" s="264"/>
      <c r="F78" s="264"/>
      <c r="G78" s="264"/>
      <c r="H78" s="264"/>
      <c r="I78" s="258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45"/>
      <c r="B79" s="508"/>
      <c r="C79" s="486" t="s">
        <v>386</v>
      </c>
      <c r="D79" s="321" t="s">
        <v>388</v>
      </c>
      <c r="E79" s="247">
        <v>3300000</v>
      </c>
      <c r="F79" s="321"/>
      <c r="G79" s="321" t="s">
        <v>377</v>
      </c>
      <c r="H79" s="247">
        <f t="shared" si="10"/>
        <v>3300000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45"/>
      <c r="B80" s="508"/>
      <c r="C80" s="487"/>
      <c r="D80" s="85" t="s">
        <v>372</v>
      </c>
      <c r="E80" s="86">
        <v>3300000</v>
      </c>
      <c r="F80" s="85"/>
      <c r="G80" s="85" t="s">
        <v>377</v>
      </c>
      <c r="H80" s="247">
        <f t="shared" si="10"/>
        <v>3300000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45"/>
      <c r="B81" s="508"/>
      <c r="C81" s="487"/>
      <c r="D81" s="85" t="s">
        <v>389</v>
      </c>
      <c r="E81" s="86">
        <v>800000</v>
      </c>
      <c r="F81" s="85"/>
      <c r="G81" s="85" t="s">
        <v>377</v>
      </c>
      <c r="H81" s="247">
        <f t="shared" si="10"/>
        <v>800000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45"/>
      <c r="B82" s="508"/>
      <c r="C82" s="487"/>
      <c r="D82" s="85" t="s">
        <v>390</v>
      </c>
      <c r="E82" s="86">
        <v>2300000</v>
      </c>
      <c r="F82" s="85"/>
      <c r="G82" s="85" t="s">
        <v>377</v>
      </c>
      <c r="H82" s="247">
        <f t="shared" si="10"/>
        <v>2300000</v>
      </c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45"/>
      <c r="B83" s="508"/>
      <c r="C83" s="488"/>
      <c r="D83" s="85" t="s">
        <v>391</v>
      </c>
      <c r="E83" s="86">
        <v>2300000</v>
      </c>
      <c r="F83" s="85"/>
      <c r="G83" s="85" t="s">
        <v>377</v>
      </c>
      <c r="H83" s="247">
        <f t="shared" si="10"/>
        <v>2300000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45"/>
      <c r="B84" s="508"/>
      <c r="C84" s="486" t="s">
        <v>436</v>
      </c>
      <c r="D84" s="85" t="s">
        <v>455</v>
      </c>
      <c r="E84" s="313">
        <f>600000*22</f>
        <v>13200000</v>
      </c>
      <c r="F84" s="85"/>
      <c r="G84" s="85" t="s">
        <v>394</v>
      </c>
      <c r="H84" s="247">
        <f t="shared" si="10"/>
        <v>13200000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45"/>
      <c r="B85" s="508"/>
      <c r="C85" s="487"/>
      <c r="D85" s="85" t="s">
        <v>437</v>
      </c>
      <c r="E85" s="313">
        <v>2000000</v>
      </c>
      <c r="F85" s="85"/>
      <c r="G85" s="85" t="s">
        <v>394</v>
      </c>
      <c r="H85" s="247">
        <f t="shared" si="10"/>
        <v>2000000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45"/>
      <c r="B86" s="508"/>
      <c r="C86" s="487"/>
      <c r="D86" s="85" t="s">
        <v>438</v>
      </c>
      <c r="E86" s="313">
        <f>2*1000000</f>
        <v>2000000</v>
      </c>
      <c r="F86" s="85"/>
      <c r="G86" s="85" t="s">
        <v>394</v>
      </c>
      <c r="H86" s="247">
        <f t="shared" si="10"/>
        <v>2000000</v>
      </c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45"/>
      <c r="B87" s="508"/>
      <c r="C87" s="487"/>
      <c r="D87" s="85" t="s">
        <v>454</v>
      </c>
      <c r="E87" s="313">
        <f>3*500000</f>
        <v>1500000</v>
      </c>
      <c r="F87" s="85"/>
      <c r="G87" s="85" t="s">
        <v>394</v>
      </c>
      <c r="H87" s="247">
        <f t="shared" si="10"/>
        <v>1500000</v>
      </c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45"/>
      <c r="B88" s="508"/>
      <c r="C88" s="488"/>
      <c r="D88" s="85" t="s">
        <v>464</v>
      </c>
      <c r="E88" s="313">
        <f>SUM(E84:E87)</f>
        <v>18700000</v>
      </c>
      <c r="F88" s="85"/>
      <c r="G88" s="85" t="s">
        <v>394</v>
      </c>
      <c r="H88" s="247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45"/>
      <c r="B89" s="485" t="s">
        <v>421</v>
      </c>
      <c r="C89" s="92" t="s">
        <v>422</v>
      </c>
      <c r="D89" s="85" t="s">
        <v>424</v>
      </c>
      <c r="E89" s="313">
        <f>14*1000000</f>
        <v>14000000</v>
      </c>
      <c r="F89" s="85"/>
      <c r="G89" s="85" t="s">
        <v>378</v>
      </c>
      <c r="H89" s="247">
        <f t="shared" si="10"/>
        <v>14000000</v>
      </c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45"/>
      <c r="B90" s="485"/>
      <c r="C90" s="92" t="s">
        <v>423</v>
      </c>
      <c r="D90" s="85" t="s">
        <v>425</v>
      </c>
      <c r="E90" s="313">
        <f>67*1000000</f>
        <v>67000000</v>
      </c>
      <c r="F90" s="85"/>
      <c r="G90" s="85" t="s">
        <v>378</v>
      </c>
      <c r="H90" s="247">
        <f t="shared" si="10"/>
        <v>67000000</v>
      </c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45"/>
      <c r="B91" s="485"/>
      <c r="C91" s="92"/>
      <c r="D91" s="85"/>
      <c r="E91" s="86"/>
      <c r="F91" s="85"/>
      <c r="G91" s="85"/>
      <c r="H91" s="247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4"/>
      <c r="B92" s="252"/>
      <c r="C92" s="92" t="s">
        <v>400</v>
      </c>
      <c r="D92" s="85" t="s">
        <v>401</v>
      </c>
      <c r="E92" s="86">
        <v>1000000</v>
      </c>
      <c r="F92" s="85"/>
      <c r="G92" s="85" t="s">
        <v>402</v>
      </c>
      <c r="H92" s="247">
        <f t="shared" si="10"/>
        <v>1000000</v>
      </c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45"/>
      <c r="B93" s="245"/>
      <c r="C93" s="486" t="s">
        <v>404</v>
      </c>
      <c r="D93" s="85" t="s">
        <v>428</v>
      </c>
      <c r="E93" s="86">
        <v>1000000</v>
      </c>
      <c r="F93" s="85"/>
      <c r="G93" s="85" t="s">
        <v>378</v>
      </c>
      <c r="H93" s="247">
        <f t="shared" si="10"/>
        <v>1000000</v>
      </c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45"/>
      <c r="B94" s="245"/>
      <c r="C94" s="487"/>
      <c r="D94" s="85" t="s">
        <v>429</v>
      </c>
      <c r="E94" s="86">
        <v>1000000</v>
      </c>
      <c r="F94" s="85"/>
      <c r="G94" s="85" t="s">
        <v>378</v>
      </c>
      <c r="H94" s="247">
        <f t="shared" si="10"/>
        <v>1000000</v>
      </c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45"/>
      <c r="B95" s="245"/>
      <c r="C95" s="487"/>
      <c r="D95" s="85" t="s">
        <v>432</v>
      </c>
      <c r="E95" s="313">
        <v>6000000</v>
      </c>
      <c r="F95" s="85"/>
      <c r="G95" s="85" t="s">
        <v>378</v>
      </c>
      <c r="H95" s="247">
        <f t="shared" si="10"/>
        <v>6000000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45"/>
      <c r="B96" s="245"/>
      <c r="C96" s="487"/>
      <c r="D96" s="85" t="s">
        <v>388</v>
      </c>
      <c r="E96" s="313">
        <v>2000000</v>
      </c>
      <c r="F96" s="85"/>
      <c r="G96" s="85" t="s">
        <v>378</v>
      </c>
      <c r="H96" s="247">
        <f t="shared" si="10"/>
        <v>2000000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45"/>
      <c r="B97" s="245"/>
      <c r="C97" s="487"/>
      <c r="D97" s="85" t="s">
        <v>482</v>
      </c>
      <c r="E97" s="86">
        <v>2000000</v>
      </c>
      <c r="F97" s="85"/>
      <c r="G97" s="85" t="s">
        <v>378</v>
      </c>
      <c r="H97" s="247">
        <f t="shared" si="10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45"/>
      <c r="B98" s="245"/>
      <c r="C98" s="488"/>
      <c r="D98" s="85"/>
      <c r="E98" s="86"/>
      <c r="F98" s="85"/>
      <c r="G98" s="85"/>
      <c r="H98" s="247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4"/>
      <c r="B99" s="490" t="s">
        <v>271</v>
      </c>
      <c r="C99" s="92"/>
      <c r="D99" s="85" t="s">
        <v>431</v>
      </c>
      <c r="E99" s="313">
        <v>6750000</v>
      </c>
      <c r="F99" s="85"/>
      <c r="G99" s="85" t="s">
        <v>378</v>
      </c>
      <c r="H99" s="247">
        <f>E99</f>
        <v>6750000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4"/>
      <c r="B100" s="444"/>
      <c r="C100" s="92"/>
      <c r="D100" s="85"/>
      <c r="E100" s="86">
        <v>5000000</v>
      </c>
      <c r="F100" s="85"/>
      <c r="G100" s="85"/>
      <c r="H100" s="86">
        <f>E100</f>
        <v>5000000</v>
      </c>
      <c r="I100" s="87"/>
      <c r="J100" s="85"/>
      <c r="K100" s="93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4"/>
      <c r="B101" s="444"/>
      <c r="C101" s="92"/>
      <c r="D101" s="85"/>
      <c r="E101" s="86">
        <v>4000000</v>
      </c>
      <c r="F101" s="85"/>
      <c r="G101" s="85"/>
      <c r="H101" s="86">
        <f>E101</f>
        <v>4000000</v>
      </c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4"/>
      <c r="B102" s="444"/>
      <c r="C102" s="92"/>
      <c r="D102" s="85">
        <v>4</v>
      </c>
      <c r="E102" s="86"/>
      <c r="F102" s="85"/>
      <c r="G102" s="85" t="s">
        <v>379</v>
      </c>
      <c r="H102" s="86">
        <f t="shared" si="10"/>
        <v>0</v>
      </c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4"/>
      <c r="B103" s="446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4"/>
      <c r="B104" s="490" t="s">
        <v>144</v>
      </c>
      <c r="C104" s="92" t="s">
        <v>371</v>
      </c>
      <c r="D104" s="85" t="s">
        <v>372</v>
      </c>
      <c r="E104" s="86">
        <v>1000000</v>
      </c>
      <c r="F104" s="85"/>
      <c r="G104" s="85" t="s">
        <v>373</v>
      </c>
      <c r="H104" s="247">
        <f t="shared" ref="H104:H107" si="11">E104</f>
        <v>1000000</v>
      </c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4"/>
      <c r="B105" s="444"/>
      <c r="C105" s="92"/>
      <c r="D105" s="85" t="s">
        <v>389</v>
      </c>
      <c r="E105" s="86">
        <v>2000000</v>
      </c>
      <c r="F105" s="85"/>
      <c r="G105" s="85" t="s">
        <v>385</v>
      </c>
      <c r="H105" s="86">
        <f t="shared" si="11"/>
        <v>2000000</v>
      </c>
      <c r="I105" s="87"/>
      <c r="J105" s="85"/>
      <c r="K105" s="93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4"/>
      <c r="B106" s="444"/>
      <c r="C106" s="92"/>
      <c r="D106" s="85" t="s">
        <v>430</v>
      </c>
      <c r="E106" s="86">
        <v>2000000</v>
      </c>
      <c r="F106" s="85"/>
      <c r="G106" s="85" t="s">
        <v>378</v>
      </c>
      <c r="H106" s="86">
        <f t="shared" si="11"/>
        <v>2000000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4"/>
      <c r="B107" s="446"/>
      <c r="C107" s="92"/>
      <c r="D107" s="85" t="s">
        <v>465</v>
      </c>
      <c r="E107" s="313">
        <v>2000000</v>
      </c>
      <c r="F107" s="85"/>
      <c r="G107" s="85" t="s">
        <v>378</v>
      </c>
      <c r="H107" s="86">
        <f t="shared" si="11"/>
        <v>2000000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4"/>
      <c r="B108" s="490" t="s">
        <v>272</v>
      </c>
      <c r="C108" s="92" t="s">
        <v>281</v>
      </c>
      <c r="D108" s="85" t="s">
        <v>282</v>
      </c>
      <c r="E108" s="86">
        <f>10000000*13+5000000*5+15000000*2</f>
        <v>185000000</v>
      </c>
      <c r="F108" s="85"/>
      <c r="G108" s="85" t="s">
        <v>377</v>
      </c>
      <c r="H108" s="86">
        <f>E108</f>
        <v>185000000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4"/>
      <c r="B109" s="444"/>
      <c r="C109" s="92" t="s">
        <v>283</v>
      </c>
      <c r="D109" s="85" t="s">
        <v>284</v>
      </c>
      <c r="E109" s="313">
        <f>310000000</f>
        <v>310000000</v>
      </c>
      <c r="F109" s="85" t="s">
        <v>479</v>
      </c>
      <c r="G109" s="85" t="s">
        <v>239</v>
      </c>
      <c r="H109" s="86">
        <f>E109</f>
        <v>310000000</v>
      </c>
      <c r="I109" s="87"/>
      <c r="J109" s="85"/>
      <c r="K109" s="93">
        <f>H109/A2</f>
        <v>0.1048572588283047</v>
      </c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4"/>
      <c r="B110" s="444"/>
      <c r="C110" s="92"/>
      <c r="D110" s="85"/>
      <c r="E110" s="86"/>
      <c r="F110" s="85"/>
      <c r="G110" s="85"/>
      <c r="H110" s="86"/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4"/>
      <c r="B111" s="444"/>
      <c r="C111" s="92"/>
      <c r="D111" s="85"/>
      <c r="E111" s="86"/>
      <c r="F111" s="85"/>
      <c r="G111" s="85"/>
      <c r="H111" s="86"/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4"/>
      <c r="B112" s="444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4"/>
      <c r="B113" s="446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4"/>
      <c r="B114" s="478" t="s">
        <v>21</v>
      </c>
      <c r="C114" s="458"/>
      <c r="D114" s="459"/>
      <c r="E114" s="88">
        <f>예산!G140</f>
        <v>683000000</v>
      </c>
      <c r="F114" s="94">
        <f>E114-215300000</f>
        <v>467700000</v>
      </c>
      <c r="G114" s="89"/>
      <c r="H114" s="88">
        <f>SUM(H69:H113)</f>
        <v>680838000</v>
      </c>
      <c r="I114" s="90"/>
      <c r="J114" s="89"/>
      <c r="K114" s="91">
        <f>H114/E114</f>
        <v>0.99683455344070282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4"/>
      <c r="B115" s="85" t="s">
        <v>94</v>
      </c>
      <c r="C115" s="11" t="s">
        <v>164</v>
      </c>
      <c r="D115" s="85"/>
      <c r="E115" s="86"/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4"/>
      <c r="B116" s="85"/>
      <c r="C116" s="11" t="s">
        <v>166</v>
      </c>
      <c r="D116" s="85"/>
      <c r="E116" s="86"/>
      <c r="F116" s="85"/>
      <c r="G116" s="85"/>
      <c r="H116" s="86"/>
      <c r="I116" s="87"/>
      <c r="J116" s="85"/>
      <c r="K116" s="93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4"/>
      <c r="B117" s="85"/>
      <c r="C117" s="11" t="s">
        <v>170</v>
      </c>
      <c r="D117" s="85"/>
      <c r="E117" s="86">
        <f>예산!$G146</f>
        <v>672872</v>
      </c>
      <c r="F117" s="85"/>
      <c r="G117" s="85" t="s">
        <v>230</v>
      </c>
      <c r="H117" s="86">
        <f>예산!$G146</f>
        <v>672872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4"/>
      <c r="B118" s="85"/>
      <c r="C118" s="11" t="s">
        <v>171</v>
      </c>
      <c r="D118" s="85"/>
      <c r="E118" s="86">
        <f>예산!$G147</f>
        <v>672872</v>
      </c>
      <c r="F118" s="85"/>
      <c r="G118" s="85" t="s">
        <v>230</v>
      </c>
      <c r="H118" s="86">
        <f>예산!$G147</f>
        <v>672872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4"/>
      <c r="B119" s="85"/>
      <c r="C119" s="11" t="s">
        <v>392</v>
      </c>
      <c r="D119" s="85"/>
      <c r="E119" s="86">
        <f>예산!$G148</f>
        <v>550000</v>
      </c>
      <c r="F119" s="85"/>
      <c r="G119" s="85" t="s">
        <v>394</v>
      </c>
      <c r="H119" s="86">
        <f>예산!$G148</f>
        <v>550000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4"/>
      <c r="B120" s="85"/>
      <c r="C120" s="11" t="s">
        <v>393</v>
      </c>
      <c r="D120" s="85"/>
      <c r="E120" s="86">
        <f>예산!$G149</f>
        <v>550000</v>
      </c>
      <c r="F120" s="85"/>
      <c r="G120" s="85" t="s">
        <v>394</v>
      </c>
      <c r="H120" s="86">
        <f>예산!$G149</f>
        <v>550000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4"/>
      <c r="B121" s="85"/>
      <c r="C121" s="92"/>
      <c r="D121" s="85"/>
      <c r="E121" s="86"/>
      <c r="F121" s="85"/>
      <c r="G121" s="85"/>
      <c r="H121" s="86"/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44"/>
      <c r="B122" s="85"/>
      <c r="C122" s="92"/>
      <c r="D122" s="85"/>
      <c r="E122" s="86"/>
      <c r="F122" s="85"/>
      <c r="G122" s="85"/>
      <c r="H122" s="86"/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44"/>
      <c r="B123" s="478" t="s">
        <v>21</v>
      </c>
      <c r="C123" s="458"/>
      <c r="D123" s="459"/>
      <c r="E123" s="88">
        <f>예산!G153</f>
        <v>3205744</v>
      </c>
      <c r="F123" s="94"/>
      <c r="G123" s="89"/>
      <c r="H123" s="88">
        <f>SUM(H115:H122)</f>
        <v>2445744</v>
      </c>
      <c r="I123" s="90"/>
      <c r="J123" s="89"/>
      <c r="K123" s="91">
        <f>H123/E123</f>
        <v>0.76292554864019091</v>
      </c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44"/>
      <c r="B124" s="85" t="s">
        <v>179</v>
      </c>
      <c r="C124" s="92"/>
      <c r="D124" s="85"/>
      <c r="E124" s="86">
        <f>예산!$G157</f>
        <v>0</v>
      </c>
      <c r="F124" s="85"/>
      <c r="G124" s="85"/>
      <c r="H124" s="86"/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44"/>
      <c r="B125" s="478" t="s">
        <v>21</v>
      </c>
      <c r="C125" s="458"/>
      <c r="D125" s="459"/>
      <c r="E125" s="88">
        <f>예산!G158</f>
        <v>0</v>
      </c>
      <c r="F125" s="94"/>
      <c r="G125" s="89"/>
      <c r="H125" s="88">
        <f>H124</f>
        <v>0</v>
      </c>
      <c r="I125" s="90"/>
      <c r="J125" s="89"/>
      <c r="K125" s="91" t="e">
        <f>H125/E125</f>
        <v>#DIV/0!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44"/>
      <c r="B126" s="85" t="s">
        <v>273</v>
      </c>
      <c r="C126" s="11" t="s">
        <v>188</v>
      </c>
      <c r="D126" s="85"/>
      <c r="E126" s="86">
        <f>예산!$G163</f>
        <v>230000</v>
      </c>
      <c r="F126" s="85"/>
      <c r="G126" s="85" t="s">
        <v>230</v>
      </c>
      <c r="H126" s="86">
        <f>E126</f>
        <v>230000</v>
      </c>
      <c r="I126" s="87"/>
      <c r="J126" s="85"/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44"/>
      <c r="B127" s="85"/>
      <c r="C127" s="12" t="s">
        <v>189</v>
      </c>
      <c r="D127" s="85"/>
      <c r="E127" s="86">
        <f>예산!$G165</f>
        <v>230000</v>
      </c>
      <c r="F127" s="85"/>
      <c r="G127" s="85" t="s">
        <v>230</v>
      </c>
      <c r="H127" s="86">
        <f t="shared" ref="H127:H133" si="12">E127</f>
        <v>230000</v>
      </c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44"/>
      <c r="B128" s="85"/>
      <c r="C128" s="12" t="s">
        <v>190</v>
      </c>
      <c r="D128" s="85"/>
      <c r="E128" s="86">
        <f>예산!$G168</f>
        <v>11057430</v>
      </c>
      <c r="F128" s="85"/>
      <c r="G128" s="85" t="s">
        <v>230</v>
      </c>
      <c r="H128" s="86">
        <f t="shared" si="12"/>
        <v>11057430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44"/>
      <c r="B129" s="85"/>
      <c r="C129" s="12" t="s">
        <v>191</v>
      </c>
      <c r="D129" s="85"/>
      <c r="E129" s="86">
        <f>예산!$G169</f>
        <v>10000000</v>
      </c>
      <c r="F129" s="85"/>
      <c r="G129" s="85" t="s">
        <v>384</v>
      </c>
      <c r="H129" s="86">
        <f t="shared" si="12"/>
        <v>10000000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44"/>
      <c r="B130" s="85"/>
      <c r="C130" s="12" t="s">
        <v>192</v>
      </c>
      <c r="D130" s="85"/>
      <c r="E130" s="86">
        <f>예산!$G170</f>
        <v>2800000</v>
      </c>
      <c r="F130" s="85"/>
      <c r="G130" s="85" t="s">
        <v>230</v>
      </c>
      <c r="H130" s="86">
        <f t="shared" si="12"/>
        <v>2800000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44"/>
      <c r="B131" s="85"/>
      <c r="C131" s="12" t="s">
        <v>194</v>
      </c>
      <c r="D131" s="85"/>
      <c r="E131" s="120">
        <f>예산!$G171</f>
        <v>8750000</v>
      </c>
      <c r="F131" s="85"/>
      <c r="G131" s="85" t="s">
        <v>385</v>
      </c>
      <c r="H131" s="86">
        <f t="shared" si="12"/>
        <v>8750000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45"/>
      <c r="B132" s="85"/>
      <c r="C132" s="11" t="s">
        <v>397</v>
      </c>
      <c r="D132" s="85"/>
      <c r="E132" s="120">
        <f>예산!F167</f>
        <v>700000</v>
      </c>
      <c r="F132" s="85"/>
      <c r="G132" s="85" t="s">
        <v>385</v>
      </c>
      <c r="H132" s="86">
        <f t="shared" si="12"/>
        <v>700000</v>
      </c>
      <c r="I132" s="87"/>
      <c r="J132" s="85"/>
      <c r="K132" s="93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45"/>
      <c r="B133" s="85"/>
      <c r="C133" s="11" t="s">
        <v>396</v>
      </c>
      <c r="D133" s="85"/>
      <c r="E133" s="259">
        <f>예산!F166</f>
        <v>990000</v>
      </c>
      <c r="F133" s="237"/>
      <c r="G133" s="237" t="s">
        <v>385</v>
      </c>
      <c r="H133" s="260">
        <f t="shared" si="12"/>
        <v>990000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45"/>
      <c r="B134" s="85"/>
      <c r="D134" s="256"/>
      <c r="E134" s="264"/>
      <c r="F134" s="238"/>
      <c r="G134" s="238"/>
      <c r="H134" s="265"/>
      <c r="I134" s="258"/>
      <c r="J134" s="85" t="s">
        <v>409</v>
      </c>
      <c r="K134" s="93">
        <f>SUM(H126:H128,H130:H133,H117:H118,H138)/A2</f>
        <v>9.0039148964957388E-3</v>
      </c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44"/>
      <c r="B135" s="85"/>
      <c r="C135" s="11" t="s">
        <v>196</v>
      </c>
      <c r="D135" s="255"/>
      <c r="E135" s="265">
        <f>예산!$G179</f>
        <v>20000000</v>
      </c>
      <c r="F135" s="238"/>
      <c r="G135" s="238" t="s">
        <v>238</v>
      </c>
      <c r="H135" s="265">
        <f>E135</f>
        <v>20000000</v>
      </c>
      <c r="I135" s="258"/>
      <c r="J135" s="86">
        <f>SUM(H126:H128,H130:H133,H117:H118,H138)</f>
        <v>26619174</v>
      </c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44"/>
      <c r="B136" s="85"/>
      <c r="C136" s="14" t="s">
        <v>197</v>
      </c>
      <c r="D136" s="255"/>
      <c r="E136" s="265">
        <f>예산!$G180</f>
        <v>0</v>
      </c>
      <c r="F136" s="238"/>
      <c r="G136" s="238" t="s">
        <v>237</v>
      </c>
      <c r="H136" s="265">
        <f t="shared" ref="H136:H138" si="13">E136</f>
        <v>0</v>
      </c>
      <c r="I136" s="258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44"/>
      <c r="B137" s="85"/>
      <c r="C137" s="11" t="s">
        <v>199</v>
      </c>
      <c r="D137" s="255"/>
      <c r="E137" s="265">
        <f>예산!$G182</f>
        <v>10000000</v>
      </c>
      <c r="F137" s="238"/>
      <c r="G137" s="238" t="s">
        <v>238</v>
      </c>
      <c r="H137" s="265">
        <f t="shared" si="13"/>
        <v>10000000</v>
      </c>
      <c r="I137" s="258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44"/>
      <c r="B138" s="85"/>
      <c r="C138" s="92" t="s">
        <v>395</v>
      </c>
      <c r="D138" s="255"/>
      <c r="E138" s="266">
        <f>예산!G181</f>
        <v>516000</v>
      </c>
      <c r="F138" s="238"/>
      <c r="G138" s="238" t="s">
        <v>373</v>
      </c>
      <c r="H138" s="265">
        <f t="shared" si="13"/>
        <v>516000</v>
      </c>
      <c r="I138" s="258"/>
      <c r="J138" s="85"/>
      <c r="K138" s="93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44"/>
      <c r="B139" s="85"/>
      <c r="C139" s="216" t="s">
        <v>427</v>
      </c>
      <c r="D139" s="257"/>
      <c r="E139" s="264">
        <f>예산!G174</f>
        <v>11062500</v>
      </c>
      <c r="F139" s="264"/>
      <c r="G139" s="218" t="s">
        <v>378</v>
      </c>
      <c r="H139" s="264">
        <f>E139</f>
        <v>11062500</v>
      </c>
      <c r="I139" s="258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45"/>
      <c r="B140" s="255"/>
      <c r="C140" s="216" t="s">
        <v>426</v>
      </c>
      <c r="D140" s="257"/>
      <c r="E140" s="264">
        <f>예산!G175</f>
        <v>6734000</v>
      </c>
      <c r="F140" s="264"/>
      <c r="G140" s="218" t="s">
        <v>378</v>
      </c>
      <c r="H140" s="264">
        <f>E140</f>
        <v>6734000</v>
      </c>
      <c r="I140" s="258"/>
      <c r="J140" s="85"/>
      <c r="K140" s="93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44"/>
      <c r="B141" s="478" t="s">
        <v>21</v>
      </c>
      <c r="C141" s="458"/>
      <c r="D141" s="459"/>
      <c r="E141" s="261">
        <f>예산!G183</f>
        <v>85744670</v>
      </c>
      <c r="F141" s="262"/>
      <c r="G141" s="263"/>
      <c r="H141" s="261">
        <f>SUM(H126:H140)</f>
        <v>83069930</v>
      </c>
      <c r="I141" s="90"/>
      <c r="J141" s="89"/>
      <c r="K141" s="91">
        <f>H141/E141</f>
        <v>0.96880575783894207</v>
      </c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44"/>
      <c r="B142" s="85" t="s">
        <v>116</v>
      </c>
      <c r="C142" s="11" t="s">
        <v>118</v>
      </c>
      <c r="D142" s="85"/>
      <c r="E142" s="86">
        <f>예산!$G187</f>
        <v>1000000</v>
      </c>
      <c r="F142" s="85"/>
      <c r="G142" s="85" t="s">
        <v>234</v>
      </c>
      <c r="H142" s="86">
        <f>예산!$G187</f>
        <v>1000000</v>
      </c>
      <c r="I142" s="8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44"/>
      <c r="B143" s="85"/>
      <c r="C143" s="11" t="s">
        <v>119</v>
      </c>
      <c r="D143" s="85"/>
      <c r="E143" s="86">
        <f>예산!$G188</f>
        <v>100000</v>
      </c>
      <c r="F143" s="85"/>
      <c r="G143" s="85" t="s">
        <v>234</v>
      </c>
      <c r="H143" s="86">
        <f>예산!$G188</f>
        <v>100000</v>
      </c>
      <c r="I143" s="87"/>
      <c r="J143" s="85"/>
      <c r="K143" s="93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44"/>
      <c r="B144" s="85"/>
      <c r="C144" s="26" t="s">
        <v>120</v>
      </c>
      <c r="D144" s="85"/>
      <c r="E144" s="86"/>
      <c r="F144" s="85"/>
      <c r="G144" s="85"/>
      <c r="H144" s="86"/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44"/>
      <c r="B145" s="85"/>
      <c r="C145" s="92"/>
      <c r="D145" s="85"/>
      <c r="E145" s="86"/>
      <c r="F145" s="85"/>
      <c r="G145" s="85"/>
      <c r="H145" s="86"/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44"/>
      <c r="B146" s="85"/>
      <c r="C146" s="92"/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44"/>
      <c r="B147" s="478" t="s">
        <v>21</v>
      </c>
      <c r="C147" s="458"/>
      <c r="D147" s="459"/>
      <c r="E147" s="88">
        <f>예산!G192</f>
        <v>1524100</v>
      </c>
      <c r="F147" s="94"/>
      <c r="G147" s="89"/>
      <c r="H147" s="88">
        <f>SUM(H142:H146)</f>
        <v>1100000</v>
      </c>
      <c r="I147" s="90"/>
      <c r="J147" s="89"/>
      <c r="K147" s="91">
        <f>H147/E147</f>
        <v>0.72173741880454034</v>
      </c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44"/>
      <c r="B148" s="85" t="s">
        <v>200</v>
      </c>
      <c r="C148" s="92"/>
      <c r="D148" s="85"/>
      <c r="E148" s="86">
        <f>예산!$G196</f>
        <v>150000</v>
      </c>
      <c r="F148" s="85"/>
      <c r="G148" s="85" t="s">
        <v>239</v>
      </c>
      <c r="H148" s="86">
        <f>예산!$G196</f>
        <v>150000</v>
      </c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44"/>
      <c r="B149" s="478" t="s">
        <v>21</v>
      </c>
      <c r="C149" s="458"/>
      <c r="D149" s="459"/>
      <c r="E149" s="88">
        <f>E148</f>
        <v>150000</v>
      </c>
      <c r="F149" s="94"/>
      <c r="G149" s="89"/>
      <c r="H149" s="88">
        <f>H148</f>
        <v>150000</v>
      </c>
      <c r="I149" s="90"/>
      <c r="J149" s="89"/>
      <c r="K149" s="91">
        <f>H149/E149</f>
        <v>1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44"/>
      <c r="B150" s="85" t="s">
        <v>121</v>
      </c>
      <c r="C150" s="11" t="s">
        <v>124</v>
      </c>
      <c r="D150" s="11" t="s">
        <v>201</v>
      </c>
      <c r="E150" s="86">
        <f>예산!$G201</f>
        <v>900000</v>
      </c>
      <c r="F150" s="85"/>
      <c r="G150" s="85" t="s">
        <v>379</v>
      </c>
      <c r="H150" s="86">
        <f>예산!$G201</f>
        <v>900000</v>
      </c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44"/>
      <c r="B151" s="85"/>
      <c r="C151" s="11" t="s">
        <v>202</v>
      </c>
      <c r="D151" s="11" t="s">
        <v>203</v>
      </c>
      <c r="E151" s="86">
        <f>예산!$G202</f>
        <v>100000</v>
      </c>
      <c r="F151" s="85"/>
      <c r="G151" s="85" t="s">
        <v>234</v>
      </c>
      <c r="H151" s="86">
        <f>예산!$G202</f>
        <v>100000</v>
      </c>
      <c r="I151" s="87"/>
      <c r="J151" s="85"/>
      <c r="K151" s="93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44"/>
      <c r="B152" s="85"/>
      <c r="C152" s="11" t="s">
        <v>204</v>
      </c>
      <c r="D152" s="11" t="s">
        <v>205</v>
      </c>
      <c r="E152" s="86">
        <f>예산!$G203</f>
        <v>8829000</v>
      </c>
      <c r="F152" s="85"/>
      <c r="G152" s="85" t="s">
        <v>385</v>
      </c>
      <c r="H152" s="86">
        <f>예산!$G203</f>
        <v>8829000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44"/>
      <c r="B153" s="85"/>
      <c r="C153" s="11" t="s">
        <v>206</v>
      </c>
      <c r="D153" s="11" t="s">
        <v>207</v>
      </c>
      <c r="E153" s="86">
        <f>예산!$G204</f>
        <v>1830000</v>
      </c>
      <c r="F153" s="85"/>
      <c r="G153" s="85" t="s">
        <v>379</v>
      </c>
      <c r="H153" s="86">
        <f>예산!$G204</f>
        <v>1830000</v>
      </c>
      <c r="I153" s="87"/>
      <c r="J153" s="85"/>
      <c r="K153" s="93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44"/>
      <c r="B154" s="85"/>
      <c r="C154" s="92"/>
      <c r="D154" s="85"/>
      <c r="E154" s="86"/>
      <c r="F154" s="85"/>
      <c r="G154" s="85"/>
      <c r="H154" s="86"/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44"/>
      <c r="B155" s="85"/>
      <c r="C155" s="92"/>
      <c r="D155" s="85"/>
      <c r="E155" s="86"/>
      <c r="F155" s="85"/>
      <c r="G155" s="85"/>
      <c r="H155" s="86"/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44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44"/>
      <c r="B157" s="85"/>
      <c r="C157" s="92"/>
      <c r="D157" s="85"/>
      <c r="E157" s="86"/>
      <c r="F157" s="85"/>
      <c r="G157" s="85"/>
      <c r="H157" s="86"/>
      <c r="I157" s="87"/>
      <c r="J157" s="85"/>
      <c r="K157" s="93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44"/>
      <c r="B158" s="478" t="s">
        <v>21</v>
      </c>
      <c r="C158" s="458"/>
      <c r="D158" s="459"/>
      <c r="E158" s="88">
        <f>예산!G205</f>
        <v>11659000</v>
      </c>
      <c r="F158" s="94"/>
      <c r="G158" s="89"/>
      <c r="H158" s="88">
        <f>SUM(H150:H157)</f>
        <v>11659000</v>
      </c>
      <c r="I158" s="90"/>
      <c r="J158" s="89"/>
      <c r="K158" s="91">
        <f>H158/E158</f>
        <v>1</v>
      </c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44"/>
      <c r="B159" s="85" t="s">
        <v>274</v>
      </c>
      <c r="C159" s="92"/>
      <c r="D159" s="85"/>
      <c r="E159" s="86"/>
      <c r="F159" s="85"/>
      <c r="G159" s="85"/>
      <c r="H159" s="86"/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44"/>
      <c r="B160" s="85"/>
      <c r="C160" s="27" t="s">
        <v>209</v>
      </c>
      <c r="D160" s="85"/>
      <c r="E160" s="86">
        <f>예산!$G209</f>
        <v>25000</v>
      </c>
      <c r="F160" s="85"/>
      <c r="G160" s="85" t="s">
        <v>239</v>
      </c>
      <c r="H160" s="86">
        <f>예산!$G209</f>
        <v>25000</v>
      </c>
      <c r="I160" s="87"/>
      <c r="J160" s="85"/>
      <c r="K160" s="93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44"/>
      <c r="B161" s="85"/>
      <c r="C161" s="27" t="s">
        <v>210</v>
      </c>
      <c r="D161" s="85"/>
      <c r="E161" s="86">
        <f>예산!$G210</f>
        <v>2043000</v>
      </c>
      <c r="F161" s="85"/>
      <c r="G161" s="85" t="s">
        <v>239</v>
      </c>
      <c r="H161" s="86">
        <f>예산!$G210</f>
        <v>2043000</v>
      </c>
      <c r="I161" s="87"/>
      <c r="J161" s="85"/>
      <c r="K161" s="93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44"/>
      <c r="B162" s="478" t="s">
        <v>21</v>
      </c>
      <c r="C162" s="458"/>
      <c r="D162" s="459"/>
      <c r="E162" s="88">
        <f>예산!G211</f>
        <v>2068000</v>
      </c>
      <c r="F162" s="94"/>
      <c r="G162" s="89"/>
      <c r="H162" s="88">
        <f>SUM(H159:H161)</f>
        <v>2068000</v>
      </c>
      <c r="I162" s="90"/>
      <c r="J162" s="89"/>
      <c r="K162" s="91">
        <f>H162/E162</f>
        <v>1</v>
      </c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44"/>
      <c r="B163" s="85" t="s">
        <v>211</v>
      </c>
      <c r="C163" s="11" t="s">
        <v>212</v>
      </c>
      <c r="D163" s="11" t="s">
        <v>213</v>
      </c>
      <c r="E163" s="86">
        <f>예산!$G215</f>
        <v>3430000</v>
      </c>
      <c r="F163" s="85"/>
      <c r="G163" s="85" t="s">
        <v>234</v>
      </c>
      <c r="H163" s="86">
        <f>예산!$G215</f>
        <v>3430000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44"/>
      <c r="B164" s="85"/>
      <c r="C164" s="26" t="s">
        <v>214</v>
      </c>
      <c r="D164" s="11" t="s">
        <v>215</v>
      </c>
      <c r="E164" s="86">
        <f>예산!$G216</f>
        <v>1087800</v>
      </c>
      <c r="F164" s="85"/>
      <c r="G164" s="85" t="s">
        <v>231</v>
      </c>
      <c r="H164" s="86">
        <f>예산!$G216</f>
        <v>1087800</v>
      </c>
      <c r="I164" s="87"/>
      <c r="J164" s="85"/>
      <c r="K164" s="93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44"/>
      <c r="B165" s="85"/>
      <c r="C165" s="92"/>
      <c r="D165" s="85"/>
      <c r="E165" s="86"/>
      <c r="F165" s="85"/>
      <c r="G165" s="85"/>
      <c r="H165" s="86"/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>
      <c r="A166" s="444"/>
      <c r="B166" s="478" t="s">
        <v>21</v>
      </c>
      <c r="C166" s="458"/>
      <c r="D166" s="459"/>
      <c r="E166" s="88">
        <f>예산!G217</f>
        <v>4517800</v>
      </c>
      <c r="F166" s="94"/>
      <c r="G166" s="89"/>
      <c r="H166" s="88">
        <f>SUM(H163:H165)</f>
        <v>4517800</v>
      </c>
      <c r="I166" s="90"/>
      <c r="J166" s="89"/>
      <c r="K166" s="91">
        <f>H166/E166</f>
        <v>1</v>
      </c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>
      <c r="A167" s="444"/>
      <c r="B167" s="85" t="s">
        <v>135</v>
      </c>
      <c r="C167" s="92" t="s">
        <v>285</v>
      </c>
      <c r="D167" s="85"/>
      <c r="E167" s="86">
        <f>예산!$G221</f>
        <v>151120240</v>
      </c>
      <c r="F167" s="85"/>
      <c r="G167" s="85" t="s">
        <v>232</v>
      </c>
      <c r="H167" s="86">
        <f>예산!$G221</f>
        <v>151120240</v>
      </c>
      <c r="I167" s="87"/>
      <c r="J167" s="85"/>
      <c r="K167" s="93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>
      <c r="A168" s="444"/>
      <c r="B168" s="85"/>
      <c r="C168" s="92" t="s">
        <v>286</v>
      </c>
      <c r="D168" s="85"/>
      <c r="E168" s="86">
        <f>예산!$G222</f>
        <v>186772440</v>
      </c>
      <c r="F168" s="85"/>
      <c r="G168" s="85" t="s">
        <v>385</v>
      </c>
      <c r="H168" s="86">
        <f>예산!$G222</f>
        <v>186772440</v>
      </c>
      <c r="I168" s="87"/>
      <c r="J168" s="85"/>
      <c r="K168" s="93"/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A169" s="444"/>
      <c r="B169" s="85"/>
      <c r="C169" s="92" t="s">
        <v>158</v>
      </c>
      <c r="D169" s="85"/>
      <c r="E169" s="86">
        <f>예산!$G223</f>
        <v>12743500</v>
      </c>
      <c r="F169" s="85"/>
      <c r="G169" s="85" t="s">
        <v>230</v>
      </c>
      <c r="H169" s="86">
        <f>예산!$G223</f>
        <v>12743500</v>
      </c>
      <c r="I169" s="87"/>
      <c r="J169" s="85"/>
      <c r="K169" s="93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A170" s="444"/>
      <c r="B170" s="478" t="s">
        <v>21</v>
      </c>
      <c r="C170" s="458"/>
      <c r="D170" s="459"/>
      <c r="E170" s="88">
        <f>예산!G226</f>
        <v>350636180</v>
      </c>
      <c r="F170" s="94"/>
      <c r="G170" s="89"/>
      <c r="H170" s="88">
        <f>SUM(H167:H169)</f>
        <v>350636180</v>
      </c>
      <c r="I170" s="90"/>
      <c r="J170" s="89"/>
      <c r="K170" s="91">
        <f>H170/E170</f>
        <v>1</v>
      </c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A171" s="444"/>
      <c r="B171" s="85" t="s">
        <v>143</v>
      </c>
      <c r="C171" s="92" t="s">
        <v>223</v>
      </c>
      <c r="D171" s="85"/>
      <c r="E171" s="86"/>
      <c r="F171" s="85"/>
      <c r="G171" s="85" t="s">
        <v>232</v>
      </c>
      <c r="H171" s="86">
        <f>SUM(예산!$G$240:$G$243)</f>
        <v>3600000</v>
      </c>
      <c r="I171" s="87"/>
      <c r="J171" s="85"/>
      <c r="K171" s="93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A172" s="444"/>
      <c r="B172" s="85"/>
      <c r="C172" s="11" t="s">
        <v>220</v>
      </c>
      <c r="D172" s="18" t="s">
        <v>221</v>
      </c>
      <c r="E172" s="86"/>
      <c r="F172" s="85"/>
      <c r="G172" s="85" t="s">
        <v>232</v>
      </c>
      <c r="H172" s="86">
        <f>SUM(예산!$G$236:$G$239)</f>
        <v>1000000</v>
      </c>
      <c r="I172" s="87"/>
      <c r="J172" s="85"/>
      <c r="K172" s="93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A173" s="444"/>
      <c r="B173" s="85"/>
      <c r="C173" s="11" t="s">
        <v>443</v>
      </c>
      <c r="D173" s="18" t="s">
        <v>222</v>
      </c>
      <c r="E173" s="86"/>
      <c r="F173" s="85"/>
      <c r="G173" s="85" t="s">
        <v>232</v>
      </c>
      <c r="H173" s="86">
        <f>SUM(예산!G244)</f>
        <v>2700000</v>
      </c>
      <c r="I173" s="87"/>
      <c r="J173" s="85"/>
      <c r="K173" s="93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A174" s="444"/>
      <c r="B174" s="85"/>
      <c r="C174" s="92"/>
      <c r="D174" s="85"/>
      <c r="E174" s="86"/>
      <c r="F174" s="85"/>
      <c r="G174" s="85"/>
      <c r="H174" s="86"/>
      <c r="I174" s="87"/>
      <c r="J174" s="85"/>
      <c r="K174" s="93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A175" s="446"/>
      <c r="B175" s="478" t="s">
        <v>21</v>
      </c>
      <c r="C175" s="458"/>
      <c r="D175" s="459"/>
      <c r="E175" s="88">
        <f>예산!G245</f>
        <v>7300000</v>
      </c>
      <c r="F175" s="94"/>
      <c r="G175" s="89"/>
      <c r="H175" s="95">
        <f>SUM(H171:H174)</f>
        <v>7300000</v>
      </c>
      <c r="I175" s="90"/>
      <c r="J175" s="89"/>
      <c r="K175" s="91">
        <f>H175/E175</f>
        <v>1</v>
      </c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A176" s="479" t="s">
        <v>275</v>
      </c>
      <c r="B176" s="480"/>
      <c r="C176" s="96">
        <f>예산!G128</f>
        <v>1149805494</v>
      </c>
      <c r="D176" s="107"/>
      <c r="E176" s="108">
        <f>SUM(E175,E166,E162,E158,E149,E147,E141,E125,E123,E114,E170)</f>
        <v>1149805494</v>
      </c>
      <c r="F176" s="109">
        <f>SUM(E175,E170,E166,E162,E158,E149,E147,E141,E123,E125)</f>
        <v>466805494</v>
      </c>
      <c r="G176" s="110"/>
      <c r="H176" s="101">
        <f>SUM(H175,H170,H166,H162,H158,H149,H147,H141,H125,H123,H114)</f>
        <v>1143784654</v>
      </c>
      <c r="I176" s="476"/>
      <c r="J176" s="477"/>
      <c r="K176" s="102">
        <f t="shared" ref="K176:K177" si="14">H176/C176</f>
        <v>0.99476360129481167</v>
      </c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1:27" ht="16.5" customHeight="1">
      <c r="A177" s="111" t="s">
        <v>276</v>
      </c>
      <c r="B177" s="112"/>
      <c r="C177" s="113">
        <f>SUM(C176,C68,C48,C31,C18)</f>
        <v>2903126142.4000001</v>
      </c>
      <c r="D177" s="112"/>
      <c r="E177" s="114"/>
      <c r="F177" s="112"/>
      <c r="G177" s="112"/>
      <c r="H177" s="115">
        <f>SUM(H176,H68,H48,H31,H18)</f>
        <v>2862046302.4000001</v>
      </c>
      <c r="I177" s="116"/>
      <c r="J177" s="112"/>
      <c r="K177" s="117">
        <f t="shared" si="14"/>
        <v>0.98584979157466457</v>
      </c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1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1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1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1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1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1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1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1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1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1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1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1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1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1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1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  <row r="1021" spans="3:27" ht="16.5" customHeight="1">
      <c r="C1021" s="118"/>
      <c r="E1021" s="61"/>
      <c r="H1021" s="61"/>
      <c r="I1021" s="60"/>
      <c r="K1021" s="62"/>
      <c r="O1021" s="60"/>
      <c r="P1021" s="61"/>
      <c r="Q1021" s="62"/>
      <c r="R1021" s="61"/>
      <c r="S1021" s="62"/>
      <c r="T1021" s="61"/>
      <c r="U1021" s="62"/>
      <c r="V1021" s="61"/>
      <c r="W1021" s="62"/>
      <c r="X1021" s="61"/>
      <c r="Y1021" s="62"/>
      <c r="Z1021" s="61"/>
      <c r="AA1021" s="62"/>
    </row>
    <row r="1022" spans="3:27" ht="16.5" customHeight="1">
      <c r="C1022" s="118"/>
      <c r="E1022" s="61"/>
      <c r="H1022" s="61"/>
      <c r="I1022" s="60"/>
      <c r="K1022" s="62"/>
      <c r="O1022" s="60"/>
      <c r="P1022" s="61"/>
      <c r="Q1022" s="62"/>
      <c r="R1022" s="61"/>
      <c r="S1022" s="62"/>
      <c r="T1022" s="61"/>
      <c r="U1022" s="62"/>
      <c r="V1022" s="61"/>
      <c r="W1022" s="62"/>
      <c r="X1022" s="61"/>
      <c r="Y1022" s="62"/>
      <c r="Z1022" s="61"/>
      <c r="AA1022" s="62"/>
    </row>
    <row r="1023" spans="3:27" ht="16.5" customHeight="1">
      <c r="C1023" s="118"/>
      <c r="E1023" s="61"/>
      <c r="H1023" s="61"/>
      <c r="I1023" s="60"/>
      <c r="K1023" s="62"/>
      <c r="O1023" s="60"/>
      <c r="P1023" s="61"/>
      <c r="Q1023" s="62"/>
      <c r="R1023" s="61"/>
      <c r="S1023" s="62"/>
      <c r="T1023" s="61"/>
      <c r="U1023" s="62"/>
      <c r="V1023" s="61"/>
      <c r="W1023" s="62"/>
      <c r="X1023" s="61"/>
      <c r="Y1023" s="62"/>
      <c r="Z1023" s="61"/>
      <c r="AA1023" s="62"/>
    </row>
    <row r="1024" spans="3:27" ht="16.5" customHeight="1">
      <c r="C1024" s="118"/>
      <c r="E1024" s="61"/>
      <c r="H1024" s="61"/>
      <c r="I1024" s="60"/>
      <c r="K1024" s="62"/>
      <c r="O1024" s="60"/>
      <c r="P1024" s="61"/>
      <c r="Q1024" s="62"/>
      <c r="R1024" s="61"/>
      <c r="S1024" s="62"/>
      <c r="T1024" s="61"/>
      <c r="U1024" s="62"/>
      <c r="V1024" s="61"/>
      <c r="W1024" s="62"/>
      <c r="X1024" s="61"/>
      <c r="Y1024" s="62"/>
      <c r="Z1024" s="61"/>
      <c r="AA1024" s="62"/>
    </row>
    <row r="1025" spans="3:27" ht="16.5" customHeight="1">
      <c r="C1025" s="118"/>
      <c r="E1025" s="61"/>
      <c r="H1025" s="61"/>
      <c r="I1025" s="60"/>
      <c r="K1025" s="62"/>
      <c r="O1025" s="60"/>
      <c r="P1025" s="61"/>
      <c r="Q1025" s="62"/>
      <c r="R1025" s="61"/>
      <c r="S1025" s="62"/>
      <c r="T1025" s="61"/>
      <c r="U1025" s="62"/>
      <c r="V1025" s="61"/>
      <c r="W1025" s="62"/>
      <c r="X1025" s="61"/>
      <c r="Y1025" s="62"/>
      <c r="Z1025" s="61"/>
      <c r="AA1025" s="62"/>
    </row>
    <row r="1026" spans="3:27" ht="16.5" customHeight="1">
      <c r="C1026" s="118"/>
      <c r="E1026" s="61"/>
      <c r="H1026" s="61"/>
      <c r="I1026" s="60"/>
      <c r="K1026" s="62"/>
      <c r="O1026" s="60"/>
      <c r="P1026" s="61"/>
      <c r="Q1026" s="62"/>
      <c r="R1026" s="61"/>
      <c r="S1026" s="62"/>
      <c r="T1026" s="61"/>
      <c r="U1026" s="62"/>
      <c r="V1026" s="61"/>
      <c r="W1026" s="62"/>
      <c r="X1026" s="61"/>
      <c r="Y1026" s="62"/>
      <c r="Z1026" s="61"/>
      <c r="AA1026" s="62"/>
    </row>
    <row r="1027" spans="3:27" ht="16.5" customHeight="1">
      <c r="C1027" s="118"/>
      <c r="E1027" s="61"/>
      <c r="H1027" s="61"/>
      <c r="I1027" s="60"/>
      <c r="K1027" s="62"/>
      <c r="O1027" s="60"/>
      <c r="P1027" s="61"/>
      <c r="Q1027" s="62"/>
      <c r="R1027" s="61"/>
      <c r="S1027" s="62"/>
      <c r="T1027" s="61"/>
      <c r="U1027" s="62"/>
      <c r="V1027" s="61"/>
      <c r="W1027" s="62"/>
      <c r="X1027" s="61"/>
      <c r="Y1027" s="62"/>
      <c r="Z1027" s="61"/>
      <c r="AA1027" s="62"/>
    </row>
    <row r="1028" spans="3:27" ht="16.5" customHeight="1">
      <c r="C1028" s="118"/>
      <c r="E1028" s="61"/>
      <c r="H1028" s="61"/>
      <c r="I1028" s="60"/>
      <c r="K1028" s="62"/>
      <c r="O1028" s="60"/>
      <c r="P1028" s="61"/>
      <c r="Q1028" s="62"/>
      <c r="R1028" s="61"/>
      <c r="S1028" s="62"/>
      <c r="T1028" s="61"/>
      <c r="U1028" s="62"/>
      <c r="V1028" s="61"/>
      <c r="W1028" s="62"/>
      <c r="X1028" s="61"/>
      <c r="Y1028" s="62"/>
      <c r="Z1028" s="61"/>
      <c r="AA1028" s="62"/>
    </row>
    <row r="1029" spans="3:27" ht="16.5" customHeight="1">
      <c r="C1029" s="118"/>
      <c r="E1029" s="61"/>
      <c r="H1029" s="61"/>
      <c r="I1029" s="60"/>
      <c r="K1029" s="62"/>
      <c r="O1029" s="60"/>
      <c r="P1029" s="61"/>
      <c r="Q1029" s="62"/>
      <c r="R1029" s="61"/>
      <c r="S1029" s="62"/>
      <c r="T1029" s="61"/>
      <c r="U1029" s="62"/>
      <c r="V1029" s="61"/>
      <c r="W1029" s="62"/>
      <c r="X1029" s="61"/>
      <c r="Y1029" s="62"/>
      <c r="Z1029" s="61"/>
      <c r="AA1029" s="62"/>
    </row>
    <row r="1030" spans="3:27" ht="16.5" customHeight="1">
      <c r="C1030" s="118"/>
      <c r="E1030" s="61"/>
      <c r="H1030" s="61"/>
      <c r="I1030" s="60"/>
      <c r="K1030" s="62"/>
      <c r="O1030" s="60"/>
      <c r="P1030" s="61"/>
      <c r="Q1030" s="62"/>
      <c r="R1030" s="61"/>
      <c r="S1030" s="62"/>
      <c r="T1030" s="61"/>
      <c r="U1030" s="62"/>
      <c r="V1030" s="61"/>
      <c r="W1030" s="62"/>
      <c r="X1030" s="61"/>
      <c r="Y1030" s="62"/>
      <c r="Z1030" s="61"/>
      <c r="AA1030" s="62"/>
    </row>
    <row r="1031" spans="3:27" ht="16.5" customHeight="1">
      <c r="C1031" s="118"/>
      <c r="E1031" s="61"/>
      <c r="H1031" s="61"/>
      <c r="I1031" s="60"/>
      <c r="K1031" s="62"/>
      <c r="O1031" s="60"/>
      <c r="P1031" s="61"/>
      <c r="Q1031" s="62"/>
      <c r="R1031" s="61"/>
      <c r="S1031" s="62"/>
      <c r="T1031" s="61"/>
      <c r="U1031" s="62"/>
      <c r="V1031" s="61"/>
      <c r="W1031" s="62"/>
      <c r="X1031" s="61"/>
      <c r="Y1031" s="62"/>
      <c r="Z1031" s="61"/>
      <c r="AA1031" s="62"/>
    </row>
    <row r="1032" spans="3:27" ht="16.5" customHeight="1">
      <c r="C1032" s="118"/>
      <c r="E1032" s="61"/>
      <c r="H1032" s="61"/>
      <c r="I1032" s="60"/>
      <c r="K1032" s="62"/>
      <c r="O1032" s="60"/>
      <c r="P1032" s="61"/>
      <c r="Q1032" s="62"/>
      <c r="R1032" s="61"/>
      <c r="S1032" s="62"/>
      <c r="T1032" s="61"/>
      <c r="U1032" s="62"/>
      <c r="V1032" s="61"/>
      <c r="W1032" s="62"/>
      <c r="X1032" s="61"/>
      <c r="Y1032" s="62"/>
      <c r="Z1032" s="61"/>
      <c r="AA1032" s="62"/>
    </row>
    <row r="1033" spans="3:27" ht="16.5" customHeight="1">
      <c r="C1033" s="118"/>
      <c r="E1033" s="61"/>
      <c r="H1033" s="61"/>
      <c r="I1033" s="60"/>
      <c r="K1033" s="62"/>
      <c r="O1033" s="60"/>
      <c r="P1033" s="61"/>
      <c r="Q1033" s="62"/>
      <c r="R1033" s="61"/>
      <c r="S1033" s="62"/>
      <c r="T1033" s="61"/>
      <c r="U1033" s="62"/>
      <c r="V1033" s="61"/>
      <c r="W1033" s="62"/>
      <c r="X1033" s="61"/>
      <c r="Y1033" s="62"/>
      <c r="Z1033" s="61"/>
      <c r="AA1033" s="62"/>
    </row>
    <row r="1034" spans="3:27" ht="16.5" customHeight="1">
      <c r="C1034" s="118"/>
      <c r="E1034" s="61"/>
      <c r="H1034" s="61"/>
      <c r="I1034" s="60"/>
      <c r="K1034" s="62"/>
      <c r="O1034" s="60"/>
      <c r="P1034" s="61"/>
      <c r="Q1034" s="62"/>
      <c r="R1034" s="61"/>
      <c r="S1034" s="62"/>
      <c r="T1034" s="61"/>
      <c r="U1034" s="62"/>
      <c r="V1034" s="61"/>
      <c r="W1034" s="62"/>
      <c r="X1034" s="61"/>
      <c r="Y1034" s="62"/>
      <c r="Z1034" s="61"/>
      <c r="AA1034" s="62"/>
    </row>
    <row r="1035" spans="3:27" ht="16.5" customHeight="1">
      <c r="C1035" s="118"/>
      <c r="E1035" s="61"/>
      <c r="H1035" s="61"/>
      <c r="I1035" s="60"/>
      <c r="K1035" s="62"/>
      <c r="O1035" s="60"/>
      <c r="P1035" s="61"/>
      <c r="Q1035" s="62"/>
      <c r="R1035" s="61"/>
      <c r="S1035" s="62"/>
      <c r="T1035" s="61"/>
      <c r="U1035" s="62"/>
      <c r="V1035" s="61"/>
      <c r="W1035" s="62"/>
      <c r="X1035" s="61"/>
      <c r="Y1035" s="62"/>
      <c r="Z1035" s="61"/>
      <c r="AA1035" s="62"/>
    </row>
    <row r="1036" spans="3:27" ht="16.5" customHeight="1">
      <c r="C1036" s="118"/>
      <c r="E1036" s="61"/>
      <c r="H1036" s="61"/>
      <c r="I1036" s="60"/>
      <c r="K1036" s="62"/>
      <c r="O1036" s="60"/>
      <c r="P1036" s="61"/>
      <c r="Q1036" s="62"/>
      <c r="R1036" s="61"/>
      <c r="S1036" s="62"/>
      <c r="T1036" s="61"/>
      <c r="U1036" s="62"/>
      <c r="V1036" s="61"/>
      <c r="W1036" s="62"/>
      <c r="X1036" s="61"/>
      <c r="Y1036" s="62"/>
      <c r="Z1036" s="61"/>
      <c r="AA1036" s="62"/>
    </row>
    <row r="1037" spans="3:27" ht="16.5" customHeight="1">
      <c r="C1037" s="118"/>
      <c r="E1037" s="61"/>
      <c r="H1037" s="61"/>
      <c r="I1037" s="60"/>
      <c r="K1037" s="62"/>
      <c r="O1037" s="60"/>
      <c r="P1037" s="61"/>
      <c r="Q1037" s="62"/>
      <c r="R1037" s="61"/>
      <c r="S1037" s="62"/>
      <c r="T1037" s="61"/>
      <c r="U1037" s="62"/>
      <c r="V1037" s="61"/>
      <c r="W1037" s="62"/>
      <c r="X1037" s="61"/>
      <c r="Y1037" s="62"/>
      <c r="Z1037" s="61"/>
      <c r="AA1037" s="62"/>
    </row>
    <row r="1038" spans="3:27" ht="16.5" customHeight="1">
      <c r="C1038" s="118"/>
      <c r="E1038" s="61"/>
      <c r="H1038" s="61"/>
      <c r="I1038" s="60"/>
      <c r="K1038" s="62"/>
      <c r="O1038" s="60"/>
      <c r="P1038" s="61"/>
      <c r="Q1038" s="62"/>
      <c r="R1038" s="61"/>
      <c r="S1038" s="62"/>
      <c r="T1038" s="61"/>
      <c r="U1038" s="62"/>
      <c r="V1038" s="61"/>
      <c r="W1038" s="62"/>
      <c r="X1038" s="61"/>
      <c r="Y1038" s="62"/>
      <c r="Z1038" s="61"/>
      <c r="AA1038" s="62"/>
    </row>
    <row r="1039" spans="3:27" ht="16.5" customHeight="1">
      <c r="C1039" s="118"/>
      <c r="E1039" s="61"/>
      <c r="H1039" s="61"/>
      <c r="I1039" s="60"/>
      <c r="K1039" s="62"/>
      <c r="O1039" s="60"/>
      <c r="P1039" s="61"/>
      <c r="Q1039" s="62"/>
      <c r="R1039" s="61"/>
      <c r="S1039" s="62"/>
      <c r="T1039" s="61"/>
      <c r="U1039" s="62"/>
      <c r="V1039" s="61"/>
      <c r="W1039" s="62"/>
      <c r="X1039" s="61"/>
      <c r="Y1039" s="62"/>
      <c r="Z1039" s="61"/>
      <c r="AA1039" s="62"/>
    </row>
    <row r="1040" spans="3:27" ht="16.5" customHeight="1">
      <c r="C1040" s="118"/>
      <c r="E1040" s="61"/>
      <c r="H1040" s="61"/>
      <c r="I1040" s="60"/>
      <c r="K1040" s="62"/>
      <c r="O1040" s="60"/>
      <c r="P1040" s="61"/>
      <c r="Q1040" s="62"/>
      <c r="R1040" s="61"/>
      <c r="S1040" s="62"/>
      <c r="T1040" s="61"/>
      <c r="U1040" s="62"/>
      <c r="V1040" s="61"/>
      <c r="W1040" s="62"/>
      <c r="X1040" s="61"/>
      <c r="Y1040" s="62"/>
      <c r="Z1040" s="61"/>
      <c r="AA1040" s="62"/>
    </row>
    <row r="1041" spans="3:27" ht="16.5" customHeight="1">
      <c r="C1041" s="118"/>
      <c r="E1041" s="61"/>
      <c r="H1041" s="61"/>
      <c r="I1041" s="60"/>
      <c r="K1041" s="62"/>
      <c r="O1041" s="60"/>
      <c r="P1041" s="61"/>
      <c r="Q1041" s="62"/>
      <c r="R1041" s="61"/>
      <c r="S1041" s="62"/>
      <c r="T1041" s="61"/>
      <c r="U1041" s="62"/>
      <c r="V1041" s="61"/>
      <c r="W1041" s="62"/>
      <c r="X1041" s="61"/>
      <c r="Y1041" s="62"/>
      <c r="Z1041" s="61"/>
      <c r="AA1041" s="62"/>
    </row>
    <row r="1042" spans="3:27" ht="16.5" customHeight="1">
      <c r="C1042" s="118"/>
      <c r="E1042" s="61"/>
      <c r="H1042" s="61"/>
      <c r="I1042" s="60"/>
      <c r="K1042" s="62"/>
      <c r="O1042" s="60"/>
      <c r="P1042" s="61"/>
      <c r="Q1042" s="62"/>
      <c r="R1042" s="61"/>
      <c r="S1042" s="62"/>
      <c r="T1042" s="61"/>
      <c r="U1042" s="62"/>
      <c r="V1042" s="61"/>
      <c r="W1042" s="62"/>
      <c r="X1042" s="61"/>
      <c r="Y1042" s="62"/>
      <c r="Z1042" s="61"/>
      <c r="AA1042" s="62"/>
    </row>
    <row r="1043" spans="3:27" ht="16.5" customHeight="1">
      <c r="C1043" s="118"/>
      <c r="E1043" s="61"/>
      <c r="H1043" s="61"/>
      <c r="I1043" s="60"/>
      <c r="K1043" s="62"/>
      <c r="O1043" s="60"/>
      <c r="P1043" s="61"/>
      <c r="Q1043" s="62"/>
      <c r="R1043" s="61"/>
      <c r="S1043" s="62"/>
      <c r="T1043" s="61"/>
      <c r="U1043" s="62"/>
      <c r="V1043" s="61"/>
      <c r="W1043" s="62"/>
      <c r="X1043" s="61"/>
      <c r="Y1043" s="62"/>
      <c r="Z1043" s="61"/>
      <c r="AA1043" s="62"/>
    </row>
    <row r="1044" spans="3:27" ht="16.5" customHeight="1">
      <c r="C1044" s="118"/>
      <c r="E1044" s="61"/>
      <c r="H1044" s="61"/>
      <c r="I1044" s="60"/>
      <c r="K1044" s="62"/>
      <c r="O1044" s="60"/>
      <c r="P1044" s="61"/>
      <c r="Q1044" s="62"/>
      <c r="R1044" s="61"/>
      <c r="S1044" s="62"/>
      <c r="T1044" s="61"/>
      <c r="U1044" s="62"/>
      <c r="V1044" s="61"/>
      <c r="W1044" s="62"/>
      <c r="X1044" s="61"/>
      <c r="Y1044" s="62"/>
      <c r="Z1044" s="61"/>
      <c r="AA1044" s="62"/>
    </row>
    <row r="1045" spans="3:27" ht="16.5" customHeight="1">
      <c r="C1045" s="118"/>
      <c r="E1045" s="61"/>
      <c r="H1045" s="61"/>
      <c r="I1045" s="60"/>
      <c r="K1045" s="62"/>
      <c r="O1045" s="60"/>
      <c r="P1045" s="61"/>
      <c r="Q1045" s="62"/>
      <c r="R1045" s="61"/>
      <c r="S1045" s="62"/>
      <c r="T1045" s="61"/>
      <c r="U1045" s="62"/>
      <c r="V1045" s="61"/>
      <c r="W1045" s="62"/>
      <c r="X1045" s="61"/>
      <c r="Y1045" s="62"/>
      <c r="Z1045" s="61"/>
      <c r="AA1045" s="62"/>
    </row>
    <row r="1046" spans="3:27" ht="16.5" customHeight="1">
      <c r="C1046" s="118"/>
      <c r="E1046" s="61"/>
      <c r="H1046" s="61"/>
      <c r="I1046" s="60"/>
      <c r="K1046" s="62"/>
      <c r="O1046" s="60"/>
      <c r="P1046" s="61"/>
      <c r="Q1046" s="62"/>
      <c r="R1046" s="61"/>
      <c r="S1046" s="62"/>
      <c r="T1046" s="61"/>
      <c r="U1046" s="62"/>
      <c r="V1046" s="61"/>
      <c r="W1046" s="62"/>
      <c r="X1046" s="61"/>
      <c r="Y1046" s="62"/>
      <c r="Z1046" s="61"/>
      <c r="AA1046" s="62"/>
    </row>
    <row r="1047" spans="3:27" ht="16.5" customHeight="1">
      <c r="C1047" s="118"/>
      <c r="E1047" s="61"/>
      <c r="H1047" s="61"/>
      <c r="I1047" s="60"/>
      <c r="K1047" s="62"/>
      <c r="O1047" s="60"/>
      <c r="P1047" s="61"/>
      <c r="Q1047" s="62"/>
      <c r="R1047" s="61"/>
      <c r="S1047" s="62"/>
      <c r="T1047" s="61"/>
      <c r="U1047" s="62"/>
      <c r="V1047" s="61"/>
      <c r="W1047" s="62"/>
      <c r="X1047" s="61"/>
      <c r="Y1047" s="62"/>
      <c r="Z1047" s="61"/>
      <c r="AA1047" s="62"/>
    </row>
    <row r="1048" spans="3:27" ht="16.5" customHeight="1">
      <c r="C1048" s="118"/>
      <c r="E1048" s="61"/>
      <c r="H1048" s="61"/>
      <c r="I1048" s="60"/>
      <c r="K1048" s="62"/>
      <c r="O1048" s="60"/>
      <c r="P1048" s="61"/>
      <c r="Q1048" s="62"/>
      <c r="R1048" s="61"/>
      <c r="S1048" s="62"/>
      <c r="T1048" s="61"/>
      <c r="U1048" s="62"/>
      <c r="V1048" s="61"/>
      <c r="W1048" s="62"/>
      <c r="X1048" s="61"/>
      <c r="Y1048" s="62"/>
      <c r="Z1048" s="61"/>
      <c r="AA1048" s="62"/>
    </row>
    <row r="1049" spans="3:27" ht="16.5" customHeight="1">
      <c r="C1049" s="118"/>
      <c r="E1049" s="61"/>
      <c r="H1049" s="61"/>
      <c r="I1049" s="60"/>
      <c r="K1049" s="62"/>
      <c r="O1049" s="60"/>
      <c r="P1049" s="61"/>
      <c r="Q1049" s="62"/>
      <c r="R1049" s="61"/>
      <c r="S1049" s="62"/>
      <c r="T1049" s="61"/>
      <c r="U1049" s="62"/>
      <c r="V1049" s="61"/>
      <c r="W1049" s="62"/>
      <c r="X1049" s="61"/>
      <c r="Y1049" s="62"/>
      <c r="Z1049" s="61"/>
      <c r="AA1049" s="62"/>
    </row>
    <row r="1050" spans="3:27" ht="16.5" customHeight="1">
      <c r="C1050" s="118"/>
      <c r="E1050" s="61"/>
      <c r="H1050" s="61"/>
      <c r="I1050" s="60"/>
      <c r="K1050" s="62"/>
      <c r="O1050" s="60"/>
      <c r="P1050" s="61"/>
      <c r="Q1050" s="62"/>
      <c r="R1050" s="61"/>
      <c r="S1050" s="62"/>
      <c r="T1050" s="61"/>
      <c r="U1050" s="62"/>
      <c r="V1050" s="61"/>
      <c r="W1050" s="62"/>
      <c r="X1050" s="61"/>
      <c r="Y1050" s="62"/>
      <c r="Z1050" s="61"/>
      <c r="AA1050" s="62"/>
    </row>
    <row r="1051" spans="3:27" ht="16.5" customHeight="1">
      <c r="C1051" s="118"/>
      <c r="E1051" s="61"/>
      <c r="H1051" s="61"/>
      <c r="I1051" s="60"/>
      <c r="K1051" s="62"/>
      <c r="O1051" s="60"/>
      <c r="P1051" s="61"/>
      <c r="Q1051" s="62"/>
      <c r="R1051" s="61"/>
      <c r="S1051" s="62"/>
      <c r="T1051" s="61"/>
      <c r="U1051" s="62"/>
      <c r="V1051" s="61"/>
      <c r="W1051" s="62"/>
      <c r="X1051" s="61"/>
      <c r="Y1051" s="62"/>
      <c r="Z1051" s="61"/>
      <c r="AA1051" s="62"/>
    </row>
    <row r="1052" spans="3:27" ht="16.5" customHeight="1">
      <c r="C1052" s="118"/>
      <c r="E1052" s="61"/>
      <c r="H1052" s="61"/>
      <c r="I1052" s="60"/>
      <c r="K1052" s="62"/>
      <c r="O1052" s="60"/>
      <c r="P1052" s="61"/>
      <c r="Q1052" s="62"/>
      <c r="R1052" s="61"/>
      <c r="S1052" s="62"/>
      <c r="T1052" s="61"/>
      <c r="U1052" s="62"/>
      <c r="V1052" s="61"/>
      <c r="W1052" s="62"/>
      <c r="X1052" s="61"/>
      <c r="Y1052" s="62"/>
      <c r="Z1052" s="61"/>
      <c r="AA1052" s="62"/>
    </row>
    <row r="1053" spans="3:27" ht="16.5" customHeight="1">
      <c r="C1053" s="118"/>
      <c r="E1053" s="61"/>
      <c r="H1053" s="61"/>
      <c r="I1053" s="60"/>
      <c r="K1053" s="62"/>
      <c r="O1053" s="60"/>
      <c r="P1053" s="61"/>
      <c r="Q1053" s="62"/>
      <c r="R1053" s="61"/>
      <c r="S1053" s="62"/>
      <c r="T1053" s="61"/>
      <c r="U1053" s="62"/>
      <c r="V1053" s="61"/>
      <c r="W1053" s="62"/>
      <c r="X1053" s="61"/>
      <c r="Y1053" s="62"/>
      <c r="Z1053" s="61"/>
      <c r="AA1053" s="62"/>
    </row>
  </sheetData>
  <mergeCells count="66">
    <mergeCell ref="Z2:AA2"/>
    <mergeCell ref="E7:F7"/>
    <mergeCell ref="K4:K14"/>
    <mergeCell ref="D10:F14"/>
    <mergeCell ref="E9:F9"/>
    <mergeCell ref="E4:F4"/>
    <mergeCell ref="E5:F5"/>
    <mergeCell ref="E8:F8"/>
    <mergeCell ref="E6:F6"/>
    <mergeCell ref="D3:F3"/>
    <mergeCell ref="R2:S2"/>
    <mergeCell ref="T2:U2"/>
    <mergeCell ref="V2:W2"/>
    <mergeCell ref="X2:Y2"/>
    <mergeCell ref="A1:K1"/>
    <mergeCell ref="P2:Q2"/>
    <mergeCell ref="B32:B41"/>
    <mergeCell ref="I31:J31"/>
    <mergeCell ref="C4:C14"/>
    <mergeCell ref="B17:D17"/>
    <mergeCell ref="A18:B18"/>
    <mergeCell ref="A19:A30"/>
    <mergeCell ref="I18:J18"/>
    <mergeCell ref="B15:D15"/>
    <mergeCell ref="A4:A17"/>
    <mergeCell ref="B4:B14"/>
    <mergeCell ref="A31:B31"/>
    <mergeCell ref="A32:A47"/>
    <mergeCell ref="B42:D42"/>
    <mergeCell ref="B43:B45"/>
    <mergeCell ref="B69:B88"/>
    <mergeCell ref="C84:C88"/>
    <mergeCell ref="C70:C78"/>
    <mergeCell ref="B175:D175"/>
    <mergeCell ref="B147:D147"/>
    <mergeCell ref="B141:D141"/>
    <mergeCell ref="B108:B113"/>
    <mergeCell ref="B104:B107"/>
    <mergeCell ref="C79:C83"/>
    <mergeCell ref="I48:J48"/>
    <mergeCell ref="B46:D46"/>
    <mergeCell ref="A48:B48"/>
    <mergeCell ref="B49:B52"/>
    <mergeCell ref="C53:C54"/>
    <mergeCell ref="A49:A67"/>
    <mergeCell ref="B53:B67"/>
    <mergeCell ref="C55:C67"/>
    <mergeCell ref="D55:D58"/>
    <mergeCell ref="D59:D63"/>
    <mergeCell ref="D64:D67"/>
    <mergeCell ref="I176:J176"/>
    <mergeCell ref="B166:D166"/>
    <mergeCell ref="A176:B176"/>
    <mergeCell ref="A68:B68"/>
    <mergeCell ref="I68:J68"/>
    <mergeCell ref="B89:B91"/>
    <mergeCell ref="B162:D162"/>
    <mergeCell ref="B114:D114"/>
    <mergeCell ref="B123:D123"/>
    <mergeCell ref="B125:D125"/>
    <mergeCell ref="B149:D149"/>
    <mergeCell ref="B158:D158"/>
    <mergeCell ref="C93:C98"/>
    <mergeCell ref="A69:A175"/>
    <mergeCell ref="B99:B103"/>
    <mergeCell ref="B170:D170"/>
  </mergeCells>
  <phoneticPr fontId="27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7" sqref="H7:H8"/>
    </sheetView>
  </sheetViews>
  <sheetFormatPr defaultColWidth="12.5703125" defaultRowHeight="15" customHeight="1"/>
  <cols>
    <col min="1" max="2" width="10" customWidth="1"/>
    <col min="3" max="3" width="15.7109375" bestFit="1" customWidth="1"/>
    <col min="4" max="4" width="18" bestFit="1" customWidth="1"/>
    <col min="5" max="5" width="10" customWidth="1"/>
    <col min="6" max="6" width="18" bestFit="1" customWidth="1"/>
    <col min="7" max="8" width="12" customWidth="1"/>
    <col min="9" max="10" width="10" customWidth="1"/>
    <col min="11" max="12" width="7.5703125" customWidth="1"/>
    <col min="13" max="13" width="22.140625" customWidth="1"/>
    <col min="14" max="26" width="7.5703125" customWidth="1"/>
  </cols>
  <sheetData>
    <row r="1" spans="1:15" ht="18.75" customHeight="1">
      <c r="A1" s="544" t="s">
        <v>291</v>
      </c>
      <c r="B1" s="545"/>
      <c r="C1" s="545"/>
      <c r="D1" s="545"/>
      <c r="E1" s="545"/>
      <c r="F1" s="545"/>
      <c r="G1" s="545"/>
      <c r="H1" s="545"/>
      <c r="I1" s="545"/>
      <c r="J1" s="545"/>
      <c r="K1" s="545"/>
    </row>
    <row r="2" spans="1:15" ht="17.25" customHeight="1">
      <c r="A2" s="546" t="s">
        <v>292</v>
      </c>
      <c r="B2" s="549" t="s">
        <v>293</v>
      </c>
      <c r="C2" s="550"/>
      <c r="D2" s="550"/>
      <c r="E2" s="550"/>
      <c r="F2" s="550"/>
      <c r="G2" s="551"/>
      <c r="H2" s="129" t="s">
        <v>294</v>
      </c>
      <c r="I2" s="553" t="s">
        <v>295</v>
      </c>
      <c r="J2" s="550"/>
      <c r="K2" s="554"/>
      <c r="M2" s="130"/>
    </row>
    <row r="3" spans="1:15" ht="16.5" customHeight="1">
      <c r="A3" s="547"/>
      <c r="B3" s="456"/>
      <c r="C3" s="552"/>
      <c r="D3" s="552"/>
      <c r="E3" s="552"/>
      <c r="F3" s="552"/>
      <c r="G3" s="538"/>
      <c r="H3" s="131" t="s">
        <v>296</v>
      </c>
      <c r="I3" s="456"/>
      <c r="J3" s="552"/>
      <c r="K3" s="555"/>
      <c r="M3" s="556" t="s">
        <v>297</v>
      </c>
    </row>
    <row r="4" spans="1:15" ht="16.5" customHeight="1">
      <c r="A4" s="547"/>
      <c r="B4" s="132" t="s">
        <v>298</v>
      </c>
      <c r="C4" s="557" t="s">
        <v>299</v>
      </c>
      <c r="D4" s="133" t="s">
        <v>300</v>
      </c>
      <c r="E4" s="557" t="s">
        <v>299</v>
      </c>
      <c r="F4" s="133" t="s">
        <v>301</v>
      </c>
      <c r="G4" s="133" t="s">
        <v>302</v>
      </c>
      <c r="H4" s="131" t="s">
        <v>303</v>
      </c>
      <c r="I4" s="134" t="s">
        <v>304</v>
      </c>
      <c r="J4" s="134" t="s">
        <v>305</v>
      </c>
      <c r="K4" s="135" t="s">
        <v>21</v>
      </c>
      <c r="M4" s="451"/>
    </row>
    <row r="5" spans="1:15" ht="16.5" customHeight="1">
      <c r="A5" s="548"/>
      <c r="B5" s="136" t="s">
        <v>306</v>
      </c>
      <c r="C5" s="446"/>
      <c r="D5" s="137" t="s">
        <v>307</v>
      </c>
      <c r="E5" s="446"/>
      <c r="F5" s="137" t="s">
        <v>308</v>
      </c>
      <c r="G5" s="137" t="s">
        <v>309</v>
      </c>
      <c r="H5" s="138"/>
      <c r="I5" s="139" t="s">
        <v>310</v>
      </c>
      <c r="J5" s="139" t="s">
        <v>311</v>
      </c>
      <c r="K5" s="140" t="s">
        <v>312</v>
      </c>
      <c r="M5" s="451"/>
    </row>
    <row r="6" spans="1:15" ht="16.5" customHeight="1">
      <c r="A6" s="141" t="s">
        <v>3</v>
      </c>
      <c r="B6" s="142">
        <v>4142</v>
      </c>
      <c r="C6" s="143">
        <v>1169.9000000000001</v>
      </c>
      <c r="D6" s="143">
        <v>3808.79</v>
      </c>
      <c r="E6" s="144">
        <v>485.69</v>
      </c>
      <c r="F6" s="145">
        <f>예산!C3/1000000</f>
        <v>2956.4</v>
      </c>
      <c r="G6" s="145">
        <f t="shared" ref="G6:G11" si="0">F6</f>
        <v>2956.4</v>
      </c>
      <c r="H6" s="146">
        <f t="shared" ref="H6:H11" si="1">(SUM(B6,D6,F6,G6) / $C$17)*100</f>
        <v>95.698729272197482</v>
      </c>
      <c r="I6" s="147"/>
      <c r="J6" s="148" t="s">
        <v>313</v>
      </c>
      <c r="K6" s="149"/>
      <c r="M6" s="451"/>
    </row>
    <row r="7" spans="1:15" ht="16.5" customHeight="1">
      <c r="A7" s="150" t="s">
        <v>7</v>
      </c>
      <c r="B7" s="151">
        <v>223.5</v>
      </c>
      <c r="C7" s="151">
        <v>44.9</v>
      </c>
      <c r="D7" s="151">
        <v>209.73</v>
      </c>
      <c r="E7" s="151">
        <v>4.03</v>
      </c>
      <c r="F7" s="152">
        <f>예산!G5/1000000</f>
        <v>214.49875840000001</v>
      </c>
      <c r="G7" s="152">
        <f t="shared" si="0"/>
        <v>214.49875840000001</v>
      </c>
      <c r="H7" s="146">
        <f t="shared" si="1"/>
        <v>5.9518550174436999</v>
      </c>
      <c r="I7" s="153"/>
      <c r="J7" s="148" t="s">
        <v>313</v>
      </c>
      <c r="K7" s="154"/>
      <c r="M7" s="451"/>
    </row>
    <row r="8" spans="1:15" ht="16.5" customHeight="1">
      <c r="A8" s="150" t="s">
        <v>244</v>
      </c>
      <c r="B8" s="151">
        <v>210.8</v>
      </c>
      <c r="C8" s="151">
        <v>0</v>
      </c>
      <c r="D8" s="151">
        <v>248.2</v>
      </c>
      <c r="E8" s="151">
        <v>0</v>
      </c>
      <c r="F8" s="152">
        <f>예산!G26/1000000</f>
        <v>179</v>
      </c>
      <c r="G8" s="152">
        <f t="shared" si="0"/>
        <v>179</v>
      </c>
      <c r="H8" s="146">
        <f t="shared" si="1"/>
        <v>5.6396547947094033</v>
      </c>
      <c r="I8" s="153"/>
      <c r="J8" s="148" t="s">
        <v>313</v>
      </c>
      <c r="K8" s="154"/>
    </row>
    <row r="9" spans="1:15" ht="16.5" customHeight="1">
      <c r="A9" s="150" t="s">
        <v>314</v>
      </c>
      <c r="B9" s="155">
        <v>2134.71</v>
      </c>
      <c r="C9" s="151">
        <v>329</v>
      </c>
      <c r="D9" s="155">
        <v>2611.8000000000002</v>
      </c>
      <c r="E9" s="151">
        <v>282.39999999999998</v>
      </c>
      <c r="F9" s="152">
        <f>예산!G66/1000000</f>
        <v>1251.7823900000001</v>
      </c>
      <c r="G9" s="152">
        <f t="shared" si="0"/>
        <v>1251.7823900000001</v>
      </c>
      <c r="H9" s="146">
        <f t="shared" si="1"/>
        <v>50.046412478615331</v>
      </c>
      <c r="I9" s="153"/>
      <c r="J9" s="148" t="s">
        <v>313</v>
      </c>
      <c r="K9" s="154"/>
    </row>
    <row r="10" spans="1:15" ht="31.5" customHeight="1">
      <c r="A10" s="150" t="s">
        <v>72</v>
      </c>
      <c r="B10" s="151">
        <v>168.86</v>
      </c>
      <c r="C10" s="151">
        <v>21.5</v>
      </c>
      <c r="D10" s="151">
        <v>19.190000000000001</v>
      </c>
      <c r="E10" s="151">
        <v>1.1399999999999999</v>
      </c>
      <c r="F10" s="152">
        <f>예산!G97/1000000</f>
        <v>108.0395</v>
      </c>
      <c r="G10" s="152">
        <f t="shared" si="0"/>
        <v>108.0395</v>
      </c>
      <c r="H10" s="146">
        <f t="shared" si="1"/>
        <v>2.7896548990588945</v>
      </c>
      <c r="I10" s="153"/>
      <c r="J10" s="148" t="s">
        <v>313</v>
      </c>
      <c r="K10" s="154"/>
      <c r="O10" s="151">
        <v>4.91</v>
      </c>
    </row>
    <row r="11" spans="1:15" ht="31.5" customHeight="1">
      <c r="A11" s="150" t="s">
        <v>84</v>
      </c>
      <c r="B11" s="156">
        <v>1404.13</v>
      </c>
      <c r="C11" s="157">
        <v>774.5</v>
      </c>
      <c r="D11" s="157">
        <v>719.87</v>
      </c>
      <c r="E11" s="157">
        <v>198.12</v>
      </c>
      <c r="F11" s="158">
        <f>예산!G128/1000000</f>
        <v>1149.805494</v>
      </c>
      <c r="G11" s="158">
        <f t="shared" si="0"/>
        <v>1149.805494</v>
      </c>
      <c r="H11" s="146">
        <f t="shared" si="1"/>
        <v>30.535665750799762</v>
      </c>
      <c r="I11" s="159"/>
      <c r="J11" s="148" t="s">
        <v>313</v>
      </c>
      <c r="K11" s="160"/>
      <c r="O11" s="151">
        <v>6.48</v>
      </c>
    </row>
    <row r="12" spans="1:15" ht="16.5" customHeight="1">
      <c r="A12" s="161" t="s">
        <v>21</v>
      </c>
      <c r="B12" s="162">
        <v>4142</v>
      </c>
      <c r="C12" s="163">
        <v>1169.9000000000001</v>
      </c>
      <c r="D12" s="163">
        <f t="shared" ref="D12:H12" si="2">SUM(D7:D11)</f>
        <v>3808.79</v>
      </c>
      <c r="E12" s="164">
        <f t="shared" si="2"/>
        <v>485.68999999999994</v>
      </c>
      <c r="F12" s="165">
        <f t="shared" si="2"/>
        <v>2903.1261424000004</v>
      </c>
      <c r="G12" s="165">
        <f t="shared" si="2"/>
        <v>2903.1261424000004</v>
      </c>
      <c r="H12" s="166">
        <f t="shared" si="2"/>
        <v>94.963242940627083</v>
      </c>
      <c r="I12" s="167"/>
      <c r="J12" s="168" t="s">
        <v>313</v>
      </c>
      <c r="K12" s="169"/>
      <c r="O12" s="151">
        <v>49.97</v>
      </c>
    </row>
    <row r="13" spans="1:15" ht="16.5" customHeight="1">
      <c r="A13" s="141" t="s">
        <v>315</v>
      </c>
      <c r="B13" s="170">
        <v>218</v>
      </c>
      <c r="C13" s="170">
        <v>0</v>
      </c>
      <c r="D13" s="170">
        <v>200.46</v>
      </c>
      <c r="E13" s="170">
        <v>0</v>
      </c>
      <c r="F13" s="171">
        <f>예산!C248/1000000</f>
        <v>155.6</v>
      </c>
      <c r="G13" s="171">
        <f t="shared" ref="G13:G14" si="3">F13</f>
        <v>155.6</v>
      </c>
      <c r="H13" s="146">
        <f>(SUM(B13,D13,F13,G13) / $C$17)*100</f>
        <v>5.0367570593729054</v>
      </c>
      <c r="I13" s="172"/>
      <c r="J13" s="173" t="s">
        <v>313</v>
      </c>
      <c r="K13" s="174"/>
      <c r="O13" s="151">
        <v>3.06</v>
      </c>
    </row>
    <row r="14" spans="1:15" ht="16.5" customHeight="1">
      <c r="A14" s="161" t="s">
        <v>21</v>
      </c>
      <c r="B14" s="164">
        <v>218</v>
      </c>
      <c r="C14" s="164">
        <v>0</v>
      </c>
      <c r="D14" s="164">
        <v>200.46</v>
      </c>
      <c r="E14" s="164">
        <v>0</v>
      </c>
      <c r="F14" s="165">
        <f>SUM(F13)</f>
        <v>155.6</v>
      </c>
      <c r="G14" s="165">
        <f t="shared" si="3"/>
        <v>155.6</v>
      </c>
      <c r="H14" s="166">
        <f>SUM(H13)</f>
        <v>5.0367570593729054</v>
      </c>
      <c r="I14" s="167"/>
      <c r="J14" s="168" t="s">
        <v>313</v>
      </c>
      <c r="K14" s="169"/>
      <c r="O14" s="157">
        <v>30.58</v>
      </c>
    </row>
    <row r="15" spans="1:15" ht="16.5" customHeight="1">
      <c r="A15" s="175" t="s">
        <v>316</v>
      </c>
      <c r="B15" s="176">
        <v>4360</v>
      </c>
      <c r="C15" s="177">
        <v>1169.9000000000001</v>
      </c>
      <c r="D15" s="177">
        <f t="shared" ref="D15:H15" si="4">SUM(D12,D14)</f>
        <v>4009.25</v>
      </c>
      <c r="E15" s="178">
        <f t="shared" si="4"/>
        <v>485.68999999999994</v>
      </c>
      <c r="F15" s="179">
        <f t="shared" si="4"/>
        <v>3058.7261424000003</v>
      </c>
      <c r="G15" s="179">
        <f t="shared" si="4"/>
        <v>3058.7261424000003</v>
      </c>
      <c r="H15" s="180">
        <f t="shared" si="4"/>
        <v>99.999999999999986</v>
      </c>
      <c r="I15" s="181"/>
      <c r="J15" s="182" t="s">
        <v>313</v>
      </c>
      <c r="K15" s="183"/>
    </row>
    <row r="16" spans="1:15" ht="16.5" customHeight="1">
      <c r="A16" s="184" t="s">
        <v>317</v>
      </c>
    </row>
    <row r="17" spans="1:26" ht="16.5" customHeight="1">
      <c r="A17" s="532" t="s">
        <v>318</v>
      </c>
      <c r="B17" s="451"/>
      <c r="C17" s="533">
        <f>SUM(B15,D15,F15,G15)</f>
        <v>14486.702284800002</v>
      </c>
      <c r="D17" s="451"/>
      <c r="E17" s="451"/>
      <c r="F17" s="451"/>
      <c r="G17" s="451"/>
    </row>
    <row r="18" spans="1:26" ht="16.5" customHeight="1">
      <c r="A18" s="185"/>
    </row>
    <row r="19" spans="1:26" ht="16.5" customHeight="1">
      <c r="A19" s="186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16.5" customHeight="1">
      <c r="A20" s="536" t="s">
        <v>8</v>
      </c>
      <c r="B20" s="537"/>
      <c r="C20" s="534" t="s">
        <v>319</v>
      </c>
      <c r="D20" s="534" t="s">
        <v>320</v>
      </c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16.5" customHeight="1">
      <c r="A21" s="456"/>
      <c r="B21" s="538"/>
      <c r="C21" s="446"/>
      <c r="D21" s="44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16.5" customHeight="1">
      <c r="A22" s="187" t="s">
        <v>26</v>
      </c>
      <c r="B22" s="187"/>
      <c r="C22" s="188">
        <v>4000000</v>
      </c>
      <c r="D22" s="189">
        <v>7000000</v>
      </c>
      <c r="E22" s="186">
        <f t="shared" ref="E22:E29" si="5">SUM(C22:D22)</f>
        <v>11000000</v>
      </c>
      <c r="F22" s="186"/>
      <c r="G22" s="531">
        <f>SUM(C22:D28)</f>
        <v>104005000</v>
      </c>
      <c r="H22" s="531">
        <f>SUM(G22,E29)</f>
        <v>112630000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16.5" customHeight="1">
      <c r="A23" s="187" t="s">
        <v>31</v>
      </c>
      <c r="B23" s="190"/>
      <c r="C23" s="191">
        <v>3800000</v>
      </c>
      <c r="D23" s="189"/>
      <c r="E23" s="186">
        <f t="shared" si="5"/>
        <v>3800000</v>
      </c>
      <c r="F23" s="186"/>
      <c r="G23" s="451"/>
      <c r="H23" s="451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16.5" customHeight="1">
      <c r="A24" s="534" t="s">
        <v>84</v>
      </c>
      <c r="B24" s="534" t="s">
        <v>321</v>
      </c>
      <c r="C24" s="542">
        <v>39000000</v>
      </c>
      <c r="D24" s="543"/>
      <c r="E24" s="186">
        <f t="shared" si="5"/>
        <v>39000000</v>
      </c>
      <c r="F24" s="531">
        <f>SUM(E24:E28)</f>
        <v>89205000</v>
      </c>
      <c r="G24" s="451"/>
      <c r="H24" s="451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16.5" customHeight="1">
      <c r="A25" s="444"/>
      <c r="B25" s="446"/>
      <c r="C25" s="446"/>
      <c r="D25" s="446"/>
      <c r="E25" s="186">
        <f t="shared" si="5"/>
        <v>0</v>
      </c>
      <c r="F25" s="451"/>
      <c r="G25" s="451"/>
      <c r="H25" s="451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16.5" customHeight="1">
      <c r="A26" s="444"/>
      <c r="B26" s="187" t="s">
        <v>94</v>
      </c>
      <c r="C26" s="188">
        <v>5000000</v>
      </c>
      <c r="D26" s="189">
        <v>7875000</v>
      </c>
      <c r="E26" s="186">
        <f t="shared" si="5"/>
        <v>12875000</v>
      </c>
      <c r="F26" s="451"/>
      <c r="G26" s="451"/>
      <c r="H26" s="451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16.5" customHeight="1">
      <c r="A27" s="444"/>
      <c r="B27" s="187" t="s">
        <v>211</v>
      </c>
      <c r="C27" s="188">
        <v>1000000</v>
      </c>
      <c r="D27" s="192">
        <f>17000000+13330000</f>
        <v>30330000</v>
      </c>
      <c r="E27" s="186">
        <f t="shared" si="5"/>
        <v>31330000</v>
      </c>
      <c r="F27" s="451"/>
      <c r="G27" s="451"/>
      <c r="H27" s="451"/>
      <c r="I27" s="193"/>
      <c r="J27" s="193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16.5" customHeight="1">
      <c r="A28" s="446"/>
      <c r="B28" s="187" t="s">
        <v>179</v>
      </c>
      <c r="C28" s="188">
        <v>6000000</v>
      </c>
      <c r="D28" s="189"/>
      <c r="E28" s="186">
        <f t="shared" si="5"/>
        <v>6000000</v>
      </c>
      <c r="F28" s="451"/>
      <c r="G28" s="451"/>
      <c r="H28" s="451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16.5" customHeight="1">
      <c r="A29" s="535" t="s">
        <v>315</v>
      </c>
      <c r="B29" s="459"/>
      <c r="C29" s="189">
        <v>3000000</v>
      </c>
      <c r="D29" s="189">
        <v>5625000</v>
      </c>
      <c r="E29" s="186">
        <f t="shared" si="5"/>
        <v>8625000</v>
      </c>
      <c r="F29" s="186"/>
      <c r="G29" s="186"/>
      <c r="H29" s="451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16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>
        <f>37500000-24171200</f>
        <v>13328800</v>
      </c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16.5" customHeight="1">
      <c r="A31" s="531" t="s">
        <v>22</v>
      </c>
      <c r="B31" s="451"/>
      <c r="C31" s="186">
        <f t="shared" ref="C31:D31" si="6">SUM(C22:C29)</f>
        <v>61800000</v>
      </c>
      <c r="D31" s="186">
        <f t="shared" si="6"/>
        <v>50830000</v>
      </c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16.5" customHeight="1">
      <c r="A32" s="539" t="s">
        <v>322</v>
      </c>
      <c r="B32" s="451"/>
      <c r="C32" s="194">
        <v>61800000</v>
      </c>
      <c r="D32" s="195">
        <f>37500000+13330000</f>
        <v>50830000</v>
      </c>
      <c r="E32" s="540" t="s">
        <v>323</v>
      </c>
      <c r="F32" s="451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16.5" customHeight="1">
      <c r="A33" s="186"/>
      <c r="B33" s="186"/>
      <c r="C33" s="186">
        <f t="shared" ref="C33:D33" si="7">C32-C31</f>
        <v>0</v>
      </c>
      <c r="D33" s="186">
        <f t="shared" si="7"/>
        <v>0</v>
      </c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16.5" customHeight="1">
      <c r="A34" s="186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16.5" customHeight="1">
      <c r="A35" s="186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16.5" customHeight="1">
      <c r="A36" s="541" t="s">
        <v>324</v>
      </c>
      <c r="B36" s="451"/>
      <c r="C36" s="451"/>
      <c r="D36" s="451"/>
      <c r="E36" s="451"/>
      <c r="F36" s="451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16.5" customHeight="1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16.5" customHeight="1"/>
    <row r="39" spans="1:26" ht="16.5" customHeight="1"/>
    <row r="40" spans="1:26" ht="16.5" customHeight="1"/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4">
    <mergeCell ref="A1:K1"/>
    <mergeCell ref="A2:A5"/>
    <mergeCell ref="B2:G3"/>
    <mergeCell ref="I2:K3"/>
    <mergeCell ref="M3:M7"/>
    <mergeCell ref="C4:C5"/>
    <mergeCell ref="E4:E5"/>
    <mergeCell ref="A31:B31"/>
    <mergeCell ref="A32:B32"/>
    <mergeCell ref="E32:F32"/>
    <mergeCell ref="A36:F36"/>
    <mergeCell ref="A24:A28"/>
    <mergeCell ref="B24:B25"/>
    <mergeCell ref="C24:C25"/>
    <mergeCell ref="D24:D25"/>
    <mergeCell ref="H22:H29"/>
    <mergeCell ref="F24:F28"/>
    <mergeCell ref="A17:B17"/>
    <mergeCell ref="C17:G17"/>
    <mergeCell ref="C20:C21"/>
    <mergeCell ref="D20:D21"/>
    <mergeCell ref="G22:G28"/>
    <mergeCell ref="A29:B29"/>
    <mergeCell ref="A20:B21"/>
  </mergeCells>
  <phoneticPr fontId="27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C9" sqref="C9"/>
    </sheetView>
  </sheetViews>
  <sheetFormatPr defaultColWidth="12.5703125" defaultRowHeight="15" customHeight="1"/>
  <cols>
    <col min="1" max="1" width="14.28515625" customWidth="1"/>
    <col min="2" max="2" width="21.42578125" customWidth="1"/>
    <col min="3" max="3" width="10.28515625" customWidth="1"/>
    <col min="4" max="4" width="13" customWidth="1"/>
    <col min="5" max="5" width="7.85546875" customWidth="1"/>
    <col min="6" max="26" width="7.5703125" customWidth="1"/>
  </cols>
  <sheetData>
    <row r="1" spans="1:8" ht="16.5" customHeight="1">
      <c r="A1" s="544" t="s">
        <v>325</v>
      </c>
      <c r="B1" s="545"/>
      <c r="C1" s="545"/>
      <c r="D1" s="545"/>
      <c r="E1" s="545"/>
      <c r="F1" s="545"/>
      <c r="G1" s="545"/>
      <c r="H1" s="545"/>
    </row>
    <row r="2" spans="1:8" ht="24.75" customHeight="1">
      <c r="A2" s="568" t="s">
        <v>292</v>
      </c>
      <c r="B2" s="551"/>
      <c r="C2" s="570" t="s">
        <v>326</v>
      </c>
      <c r="D2" s="129" t="s">
        <v>296</v>
      </c>
      <c r="E2" s="571" t="s">
        <v>299</v>
      </c>
      <c r="F2" s="572" t="s">
        <v>295</v>
      </c>
      <c r="G2" s="573"/>
      <c r="H2" s="574"/>
    </row>
    <row r="3" spans="1:8" ht="24.75" customHeight="1">
      <c r="A3" s="569"/>
      <c r="B3" s="538"/>
      <c r="C3" s="446"/>
      <c r="D3" s="137" t="s">
        <v>303</v>
      </c>
      <c r="E3" s="446"/>
      <c r="F3" s="196" t="s">
        <v>327</v>
      </c>
      <c r="G3" s="196" t="s">
        <v>328</v>
      </c>
      <c r="H3" s="197" t="s">
        <v>329</v>
      </c>
    </row>
    <row r="4" spans="1:8" ht="24.75" customHeight="1">
      <c r="A4" s="567" t="s">
        <v>7</v>
      </c>
      <c r="B4" s="170" t="s">
        <v>330</v>
      </c>
      <c r="C4" s="171">
        <f>예산!G14/1000000</f>
        <v>121.1387584</v>
      </c>
      <c r="D4" s="198">
        <f t="shared" ref="D4:D5" si="0">(C4/$C$27)*100</f>
        <v>3.9604316555436898</v>
      </c>
      <c r="E4" s="170">
        <v>4.03</v>
      </c>
      <c r="F4" s="172">
        <v>0</v>
      </c>
      <c r="G4" s="172"/>
      <c r="H4" s="172">
        <v>0</v>
      </c>
    </row>
    <row r="5" spans="1:8" ht="24.75" customHeight="1">
      <c r="A5" s="548"/>
      <c r="B5" s="170" t="s">
        <v>26</v>
      </c>
      <c r="C5" s="171">
        <f>예산!G19/1000000</f>
        <v>93.36</v>
      </c>
      <c r="D5" s="198">
        <f t="shared" si="0"/>
        <v>3.0522510239097755</v>
      </c>
      <c r="E5" s="170">
        <v>0</v>
      </c>
      <c r="F5" s="172">
        <v>10</v>
      </c>
      <c r="G5" s="172"/>
      <c r="H5" s="172">
        <v>10</v>
      </c>
    </row>
    <row r="6" spans="1:8" ht="24.75" customHeight="1">
      <c r="A6" s="559" t="s">
        <v>21</v>
      </c>
      <c r="B6" s="459"/>
      <c r="C6" s="165">
        <f>SUM(C4,C5)</f>
        <v>214.49875839999999</v>
      </c>
      <c r="D6" s="199">
        <f t="shared" ref="D6:F6" si="1">SUM(D4:D5)</f>
        <v>7.0126826794534658</v>
      </c>
      <c r="E6" s="164">
        <f t="shared" si="1"/>
        <v>4.03</v>
      </c>
      <c r="F6" s="167">
        <f t="shared" si="1"/>
        <v>10</v>
      </c>
      <c r="G6" s="167"/>
      <c r="H6" s="167">
        <f>SUM(H4:H5)</f>
        <v>10</v>
      </c>
    </row>
    <row r="7" spans="1:8" ht="24.75" customHeight="1">
      <c r="A7" s="200" t="s">
        <v>25</v>
      </c>
      <c r="B7" s="201" t="s">
        <v>244</v>
      </c>
      <c r="C7" s="171">
        <f>예산!G64/1000000</f>
        <v>179</v>
      </c>
      <c r="D7" s="202">
        <f>(C7/$C$27)*100</f>
        <v>5.8521093967421782</v>
      </c>
      <c r="E7" s="201">
        <v>0</v>
      </c>
      <c r="F7" s="203">
        <v>0</v>
      </c>
      <c r="G7" s="204"/>
      <c r="H7" s="203">
        <v>0</v>
      </c>
    </row>
    <row r="8" spans="1:8" ht="24.75" customHeight="1">
      <c r="A8" s="559" t="s">
        <v>21</v>
      </c>
      <c r="B8" s="459"/>
      <c r="C8" s="165">
        <f t="shared" ref="C8:D8" si="2">SUM(C7)</f>
        <v>179</v>
      </c>
      <c r="D8" s="199">
        <f t="shared" si="2"/>
        <v>5.8521093967421782</v>
      </c>
      <c r="E8" s="164">
        <v>0</v>
      </c>
      <c r="F8" s="167">
        <v>0</v>
      </c>
      <c r="G8" s="167"/>
      <c r="H8" s="167">
        <v>0</v>
      </c>
    </row>
    <row r="9" spans="1:8" ht="24.75" customHeight="1">
      <c r="A9" s="567" t="s">
        <v>331</v>
      </c>
      <c r="B9" s="201" t="s">
        <v>32</v>
      </c>
      <c r="C9" s="171">
        <f>예산!G82/1000000</f>
        <v>1249.7823900000001</v>
      </c>
      <c r="D9" s="202">
        <f t="shared" ref="D9:D23" si="3">(C9/$C$27)*100</f>
        <v>40.859571331854184</v>
      </c>
      <c r="E9" s="201">
        <v>282.39999999999998</v>
      </c>
      <c r="F9" s="203">
        <v>0</v>
      </c>
      <c r="G9" s="204"/>
      <c r="H9" s="203">
        <v>0</v>
      </c>
    </row>
    <row r="10" spans="1:8" ht="24.75" customHeight="1">
      <c r="A10" s="548"/>
      <c r="B10" s="170" t="s">
        <v>56</v>
      </c>
      <c r="C10" s="171">
        <f>예산!G90/1000000</f>
        <v>2</v>
      </c>
      <c r="D10" s="198">
        <f t="shared" si="3"/>
        <v>6.5386697170303668E-2</v>
      </c>
      <c r="E10" s="170">
        <v>0</v>
      </c>
      <c r="F10" s="172">
        <v>3</v>
      </c>
      <c r="G10" s="172"/>
      <c r="H10" s="172">
        <v>3</v>
      </c>
    </row>
    <row r="11" spans="1:8" ht="24.75" customHeight="1">
      <c r="A11" s="200" t="s">
        <v>280</v>
      </c>
      <c r="B11" s="201" t="s">
        <v>73</v>
      </c>
      <c r="C11" s="171">
        <f>예산!G125/1000000</f>
        <v>108.0395</v>
      </c>
      <c r="D11" s="202">
        <f t="shared" si="3"/>
        <v>3.532173034465512</v>
      </c>
      <c r="E11" s="201">
        <v>1.1399999999999999</v>
      </c>
      <c r="F11" s="203">
        <v>0</v>
      </c>
      <c r="G11" s="204"/>
      <c r="H11" s="203">
        <v>0</v>
      </c>
    </row>
    <row r="12" spans="1:8" ht="24.75" customHeight="1">
      <c r="A12" s="567" t="s">
        <v>332</v>
      </c>
      <c r="B12" s="170" t="s">
        <v>86</v>
      </c>
      <c r="C12" s="171">
        <f>예산!G140/1000000</f>
        <v>683</v>
      </c>
      <c r="D12" s="198">
        <f t="shared" si="3"/>
        <v>22.329557083658706</v>
      </c>
      <c r="E12" s="170">
        <v>0</v>
      </c>
      <c r="F12" s="172">
        <v>0</v>
      </c>
      <c r="G12" s="172"/>
      <c r="H12" s="172">
        <v>0</v>
      </c>
    </row>
    <row r="13" spans="1:8" ht="24.75" customHeight="1">
      <c r="A13" s="547"/>
      <c r="B13" s="170" t="s">
        <v>94</v>
      </c>
      <c r="C13" s="171">
        <f>예산!G153/1000000</f>
        <v>3.2057440000000001</v>
      </c>
      <c r="D13" s="198">
        <f t="shared" si="3"/>
        <v>0.10480650606675901</v>
      </c>
      <c r="E13" s="170">
        <v>0</v>
      </c>
      <c r="F13" s="172">
        <v>12.88</v>
      </c>
      <c r="G13" s="172"/>
      <c r="H13" s="172">
        <v>12.88</v>
      </c>
    </row>
    <row r="14" spans="1:8" ht="24.75" customHeight="1">
      <c r="A14" s="547"/>
      <c r="B14" s="170" t="s">
        <v>179</v>
      </c>
      <c r="C14" s="171">
        <f>예산!G158/1000000</f>
        <v>0</v>
      </c>
      <c r="D14" s="198">
        <f t="shared" si="3"/>
        <v>0</v>
      </c>
      <c r="E14" s="170">
        <v>0</v>
      </c>
      <c r="F14" s="172">
        <v>5</v>
      </c>
      <c r="G14" s="172"/>
      <c r="H14" s="172">
        <v>5</v>
      </c>
    </row>
    <row r="15" spans="1:8" ht="24.75" customHeight="1">
      <c r="A15" s="547"/>
      <c r="B15" s="170" t="s">
        <v>100</v>
      </c>
      <c r="C15" s="171">
        <f>예산!G183/1000000</f>
        <v>85.744669999999999</v>
      </c>
      <c r="D15" s="198">
        <f t="shared" si="3"/>
        <v>2.8032803856288111</v>
      </c>
      <c r="E15" s="170">
        <v>0</v>
      </c>
      <c r="F15" s="172">
        <v>0</v>
      </c>
      <c r="G15" s="172"/>
      <c r="H15" s="172">
        <v>0</v>
      </c>
    </row>
    <row r="16" spans="1:8" ht="24.75" customHeight="1">
      <c r="A16" s="547"/>
      <c r="B16" s="170" t="s">
        <v>105</v>
      </c>
      <c r="C16" s="171">
        <f>예산!G232/1000000</f>
        <v>0</v>
      </c>
      <c r="D16" s="198">
        <f t="shared" si="3"/>
        <v>0</v>
      </c>
      <c r="E16" s="170">
        <v>39.6</v>
      </c>
      <c r="F16" s="172">
        <v>0</v>
      </c>
      <c r="G16" s="172"/>
      <c r="H16" s="172">
        <v>0</v>
      </c>
    </row>
    <row r="17" spans="1:8" ht="24.75" customHeight="1">
      <c r="A17" s="547"/>
      <c r="B17" s="170" t="s">
        <v>116</v>
      </c>
      <c r="C17" s="171">
        <f>예산!G192/1000000</f>
        <v>1.5241</v>
      </c>
      <c r="D17" s="198">
        <f t="shared" si="3"/>
        <v>4.9827932578629913E-2</v>
      </c>
      <c r="E17" s="170">
        <v>0.61</v>
      </c>
      <c r="F17" s="172">
        <v>0</v>
      </c>
      <c r="G17" s="172"/>
      <c r="H17" s="172">
        <v>0</v>
      </c>
    </row>
    <row r="18" spans="1:8" ht="24.75" customHeight="1">
      <c r="A18" s="547"/>
      <c r="B18" s="170" t="s">
        <v>200</v>
      </c>
      <c r="C18" s="171">
        <f>예산!G197/1000000</f>
        <v>0.15</v>
      </c>
      <c r="D18" s="198">
        <f t="shared" si="3"/>
        <v>4.9040022877727754E-3</v>
      </c>
      <c r="E18" s="170">
        <v>0</v>
      </c>
      <c r="F18" s="172">
        <v>0</v>
      </c>
      <c r="G18" s="172"/>
      <c r="H18" s="172">
        <v>0</v>
      </c>
    </row>
    <row r="19" spans="1:8" ht="24.75" customHeight="1">
      <c r="A19" s="547"/>
      <c r="B19" s="170" t="s">
        <v>121</v>
      </c>
      <c r="C19" s="171">
        <f>예산!G205/1000000</f>
        <v>11.659000000000001</v>
      </c>
      <c r="D19" s="198">
        <f t="shared" si="3"/>
        <v>0.38117175115428531</v>
      </c>
      <c r="E19" s="170">
        <v>0.15</v>
      </c>
      <c r="F19" s="172">
        <v>0</v>
      </c>
      <c r="G19" s="172"/>
      <c r="H19" s="172">
        <v>0</v>
      </c>
    </row>
    <row r="20" spans="1:8" ht="24.75" customHeight="1">
      <c r="A20" s="547"/>
      <c r="B20" s="170" t="s">
        <v>333</v>
      </c>
      <c r="C20" s="171">
        <f>예산!G211/1000000</f>
        <v>2.0680000000000001</v>
      </c>
      <c r="D20" s="198">
        <f t="shared" si="3"/>
        <v>6.7609844874093994E-2</v>
      </c>
      <c r="E20" s="170">
        <v>0</v>
      </c>
      <c r="F20" s="172">
        <v>0</v>
      </c>
      <c r="G20" s="172"/>
      <c r="H20" s="172">
        <v>0</v>
      </c>
    </row>
    <row r="21" spans="1:8" ht="24.75" customHeight="1">
      <c r="A21" s="547"/>
      <c r="B21" s="170" t="s">
        <v>135</v>
      </c>
      <c r="C21" s="171">
        <f>예산!G226/1000000</f>
        <v>350.63618000000002</v>
      </c>
      <c r="D21" s="198">
        <f t="shared" si="3"/>
        <v>11.463470859306044</v>
      </c>
      <c r="E21" s="170">
        <v>157.76</v>
      </c>
      <c r="F21" s="172">
        <v>0</v>
      </c>
      <c r="G21" s="172"/>
      <c r="H21" s="172">
        <v>0</v>
      </c>
    </row>
    <row r="22" spans="1:8" ht="24.75" customHeight="1">
      <c r="A22" s="547"/>
      <c r="B22" s="170" t="s">
        <v>211</v>
      </c>
      <c r="C22" s="171">
        <f>예산!G217/1000000</f>
        <v>4.5178000000000003</v>
      </c>
      <c r="D22" s="198">
        <f t="shared" si="3"/>
        <v>0.14770201023799898</v>
      </c>
      <c r="E22" s="170">
        <v>0</v>
      </c>
      <c r="F22" s="172">
        <v>18</v>
      </c>
      <c r="G22" s="172"/>
      <c r="H22" s="172">
        <v>18</v>
      </c>
    </row>
    <row r="23" spans="1:8" ht="24.75" customHeight="1">
      <c r="A23" s="548"/>
      <c r="B23" s="170" t="s">
        <v>143</v>
      </c>
      <c r="C23" s="171">
        <f>예산!G245/1000000</f>
        <v>7.3</v>
      </c>
      <c r="D23" s="198">
        <f t="shared" si="3"/>
        <v>0.23866144467160838</v>
      </c>
      <c r="E23" s="170">
        <v>0</v>
      </c>
      <c r="F23" s="172">
        <v>38</v>
      </c>
      <c r="G23" s="172"/>
      <c r="H23" s="172">
        <v>38</v>
      </c>
    </row>
    <row r="24" spans="1:8" ht="24.75" customHeight="1">
      <c r="A24" s="559" t="s">
        <v>21</v>
      </c>
      <c r="B24" s="459"/>
      <c r="C24" s="165">
        <f t="shared" ref="C24:F24" si="4">SUM(C9:C23)</f>
        <v>2509.6273840000008</v>
      </c>
      <c r="D24" s="199">
        <f t="shared" si="4"/>
        <v>82.048122883954704</v>
      </c>
      <c r="E24" s="164">
        <f t="shared" si="4"/>
        <v>481.65999999999997</v>
      </c>
      <c r="F24" s="167">
        <f t="shared" si="4"/>
        <v>76.88</v>
      </c>
      <c r="G24" s="167"/>
      <c r="H24" s="167">
        <f>SUM(H9:H23)</f>
        <v>76.88</v>
      </c>
    </row>
    <row r="25" spans="1:8" ht="24.75" customHeight="1">
      <c r="A25" s="560" t="s">
        <v>315</v>
      </c>
      <c r="B25" s="459"/>
      <c r="C25" s="171">
        <f>예산!C248/1000000</f>
        <v>155.6</v>
      </c>
      <c r="D25" s="198">
        <f>(C25/$C$27)*100</f>
        <v>5.0870850398496259</v>
      </c>
      <c r="E25" s="170">
        <v>0</v>
      </c>
      <c r="F25" s="172">
        <v>8.6199999999999992</v>
      </c>
      <c r="G25" s="172"/>
      <c r="H25" s="172">
        <v>8.6199999999999992</v>
      </c>
    </row>
    <row r="26" spans="1:8" ht="24.75" customHeight="1">
      <c r="A26" s="559" t="s">
        <v>21</v>
      </c>
      <c r="B26" s="459"/>
      <c r="C26" s="165">
        <f t="shared" ref="C26:D26" si="5">SUM(C25)</f>
        <v>155.6</v>
      </c>
      <c r="D26" s="199">
        <f t="shared" si="5"/>
        <v>5.0870850398496259</v>
      </c>
      <c r="E26" s="164">
        <v>0</v>
      </c>
      <c r="F26" s="167">
        <v>8.6199999999999992</v>
      </c>
      <c r="G26" s="167"/>
      <c r="H26" s="167">
        <v>8.6199999999999992</v>
      </c>
    </row>
    <row r="27" spans="1:8" ht="24.75" customHeight="1">
      <c r="A27" s="561" t="s">
        <v>316</v>
      </c>
      <c r="B27" s="562"/>
      <c r="C27" s="179">
        <f t="shared" ref="C27:D27" si="6">SUM(C6,C8,C24,C26)</f>
        <v>3058.7261424000008</v>
      </c>
      <c r="D27" s="205">
        <f t="shared" si="6"/>
        <v>99.999999999999972</v>
      </c>
      <c r="E27" s="178">
        <f>SUM(E24,E26,E8,E6)</f>
        <v>485.68999999999994</v>
      </c>
      <c r="F27" s="181">
        <f>SUM(F26,F24,F6,F8)</f>
        <v>95.5</v>
      </c>
      <c r="G27" s="206"/>
      <c r="H27" s="181">
        <f>SUM(H26,H24,H6,H8)</f>
        <v>95.5</v>
      </c>
    </row>
    <row r="28" spans="1:8" ht="16.5" customHeight="1">
      <c r="A28" s="184" t="s">
        <v>317</v>
      </c>
      <c r="B28" s="17"/>
      <c r="D28" s="17"/>
      <c r="E28" s="17"/>
    </row>
    <row r="29" spans="1:8" ht="16.5" customHeight="1">
      <c r="B29" s="17"/>
      <c r="D29" s="17"/>
      <c r="E29" s="17"/>
    </row>
    <row r="30" spans="1:8" ht="16.5" customHeight="1">
      <c r="A30" s="558" t="s">
        <v>8</v>
      </c>
      <c r="B30" s="459"/>
      <c r="C30" s="207" t="s">
        <v>334</v>
      </c>
      <c r="D30" s="207" t="s">
        <v>335</v>
      </c>
    </row>
    <row r="31" spans="1:8" ht="16.5" customHeight="1">
      <c r="A31" s="207" t="s">
        <v>26</v>
      </c>
      <c r="B31" s="208"/>
      <c r="C31" s="209">
        <v>5000000</v>
      </c>
      <c r="D31" s="210">
        <v>7000000</v>
      </c>
      <c r="E31" s="63">
        <f>SUM(C31:D31)</f>
        <v>12000000</v>
      </c>
      <c r="G31" s="532">
        <f>SUM(E31:E37)</f>
        <v>88875000</v>
      </c>
    </row>
    <row r="32" spans="1:8" ht="54.75" customHeight="1">
      <c r="A32" s="563" t="s">
        <v>31</v>
      </c>
      <c r="B32" s="564"/>
      <c r="C32" s="565">
        <v>2000000</v>
      </c>
      <c r="D32" s="565">
        <v>0</v>
      </c>
      <c r="E32" s="566">
        <f>SUM(C32:D33)</f>
        <v>2000000</v>
      </c>
      <c r="G32" s="451"/>
    </row>
    <row r="33" spans="1:7" ht="16.5" customHeight="1">
      <c r="A33" s="446"/>
      <c r="B33" s="446"/>
      <c r="C33" s="446"/>
      <c r="D33" s="446"/>
      <c r="E33" s="453"/>
      <c r="G33" s="451"/>
    </row>
    <row r="34" spans="1:7" ht="16.5" customHeight="1">
      <c r="A34" s="563" t="s">
        <v>84</v>
      </c>
      <c r="B34" s="208" t="s">
        <v>143</v>
      </c>
      <c r="C34" s="210">
        <v>40000000</v>
      </c>
      <c r="D34" s="210">
        <v>0</v>
      </c>
      <c r="E34" s="63">
        <f t="shared" ref="E34:E38" si="7">SUM(C34:D34)</f>
        <v>40000000</v>
      </c>
      <c r="F34" s="532">
        <f>SUM(E34:E37)</f>
        <v>74875000</v>
      </c>
      <c r="G34" s="451"/>
    </row>
    <row r="35" spans="1:7" ht="16.5" customHeight="1">
      <c r="A35" s="444"/>
      <c r="B35" s="208" t="s">
        <v>94</v>
      </c>
      <c r="C35" s="210">
        <v>4500000</v>
      </c>
      <c r="D35" s="210">
        <v>7875000</v>
      </c>
      <c r="E35" s="63">
        <f t="shared" si="7"/>
        <v>12375000</v>
      </c>
      <c r="F35" s="451"/>
      <c r="G35" s="451"/>
    </row>
    <row r="36" spans="1:7" ht="16.5" customHeight="1">
      <c r="A36" s="444"/>
      <c r="B36" s="208" t="s">
        <v>211</v>
      </c>
      <c r="C36" s="210">
        <v>1000000</v>
      </c>
      <c r="D36" s="210">
        <v>17000000</v>
      </c>
      <c r="E36" s="63">
        <f t="shared" si="7"/>
        <v>18000000</v>
      </c>
      <c r="F36" s="451"/>
      <c r="G36" s="451"/>
    </row>
    <row r="37" spans="1:7" ht="16.5" customHeight="1">
      <c r="A37" s="446"/>
      <c r="B37" s="208" t="s">
        <v>179</v>
      </c>
      <c r="C37" s="210">
        <v>4500000</v>
      </c>
      <c r="D37" s="210">
        <v>0</v>
      </c>
      <c r="E37" s="63">
        <f t="shared" si="7"/>
        <v>4500000</v>
      </c>
      <c r="F37" s="451"/>
      <c r="G37" s="451"/>
    </row>
    <row r="38" spans="1:7" ht="16.5" customHeight="1">
      <c r="A38" s="558" t="s">
        <v>315</v>
      </c>
      <c r="B38" s="459"/>
      <c r="C38" s="210">
        <v>3000000</v>
      </c>
      <c r="D38" s="210">
        <v>5625000</v>
      </c>
      <c r="E38" s="63">
        <f t="shared" si="7"/>
        <v>8625000</v>
      </c>
    </row>
    <row r="39" spans="1:7" ht="16.5" customHeight="1">
      <c r="B39" s="17"/>
      <c r="D39" s="17"/>
      <c r="E39" s="17"/>
    </row>
    <row r="40" spans="1:7" ht="16.5" customHeight="1">
      <c r="B40" s="17"/>
      <c r="D40" s="17"/>
      <c r="E40" s="17"/>
    </row>
    <row r="41" spans="1:7" ht="16.5" customHeight="1">
      <c r="B41" s="17"/>
      <c r="D41" s="17"/>
      <c r="E41" s="17"/>
    </row>
    <row r="42" spans="1:7" ht="16.5" customHeight="1">
      <c r="B42" s="17"/>
      <c r="D42" s="17"/>
      <c r="E42" s="17"/>
    </row>
    <row r="43" spans="1:7" ht="16.5" customHeight="1">
      <c r="B43" s="17"/>
      <c r="D43" s="17"/>
      <c r="E43" s="17"/>
    </row>
    <row r="44" spans="1:7" ht="16.5" customHeight="1">
      <c r="B44" s="17"/>
      <c r="D44" s="17"/>
      <c r="E44" s="17"/>
    </row>
    <row r="45" spans="1:7" ht="16.5" customHeight="1">
      <c r="B45" s="17"/>
      <c r="D45" s="17"/>
      <c r="E45" s="17"/>
    </row>
    <row r="46" spans="1:7" ht="16.5" customHeight="1">
      <c r="B46" s="17"/>
      <c r="D46" s="17"/>
      <c r="E46" s="17"/>
    </row>
    <row r="47" spans="1:7" ht="16.5" customHeight="1">
      <c r="B47" s="17"/>
      <c r="D47" s="17"/>
      <c r="E47" s="17"/>
    </row>
    <row r="48" spans="1:7" ht="16.5" customHeight="1">
      <c r="B48" s="17"/>
      <c r="D48" s="17"/>
      <c r="E48" s="17"/>
    </row>
    <row r="49" spans="2:5" ht="16.5" customHeight="1">
      <c r="B49" s="17"/>
      <c r="D49" s="17"/>
      <c r="E49" s="17"/>
    </row>
    <row r="50" spans="2:5" ht="16.5" customHeight="1">
      <c r="B50" s="17"/>
      <c r="D50" s="17"/>
      <c r="E50" s="17"/>
    </row>
    <row r="51" spans="2:5" ht="16.5" customHeight="1">
      <c r="B51" s="17"/>
      <c r="D51" s="17"/>
      <c r="E51" s="17"/>
    </row>
    <row r="52" spans="2:5" ht="16.5" customHeight="1">
      <c r="B52" s="17"/>
      <c r="D52" s="17"/>
      <c r="E52" s="17"/>
    </row>
    <row r="53" spans="2:5" ht="16.5" customHeight="1">
      <c r="B53" s="17"/>
      <c r="D53" s="17"/>
      <c r="E53" s="17"/>
    </row>
    <row r="54" spans="2:5" ht="16.5" customHeight="1">
      <c r="B54" s="17"/>
      <c r="D54" s="17"/>
      <c r="E54" s="17"/>
    </row>
    <row r="55" spans="2:5" ht="16.5" customHeight="1">
      <c r="B55" s="17"/>
      <c r="D55" s="17"/>
      <c r="E55" s="17"/>
    </row>
    <row r="56" spans="2:5" ht="16.5" customHeight="1">
      <c r="B56" s="17"/>
      <c r="D56" s="17"/>
      <c r="E56" s="17"/>
    </row>
    <row r="57" spans="2:5" ht="16.5" customHeight="1">
      <c r="B57" s="17"/>
      <c r="D57" s="17"/>
      <c r="E57" s="17"/>
    </row>
    <row r="58" spans="2:5" ht="16.5" customHeight="1">
      <c r="B58" s="17"/>
      <c r="D58" s="17"/>
      <c r="E58" s="17"/>
    </row>
    <row r="59" spans="2:5" ht="16.5" customHeight="1">
      <c r="B59" s="17"/>
      <c r="D59" s="17"/>
      <c r="E59" s="17"/>
    </row>
    <row r="60" spans="2:5" ht="16.5" customHeight="1">
      <c r="B60" s="17"/>
      <c r="D60" s="17"/>
      <c r="E60" s="17"/>
    </row>
    <row r="61" spans="2:5" ht="16.5" customHeight="1">
      <c r="B61" s="17"/>
      <c r="D61" s="17"/>
      <c r="E61" s="17"/>
    </row>
    <row r="62" spans="2:5" ht="16.5" customHeight="1">
      <c r="B62" s="17"/>
      <c r="D62" s="17"/>
      <c r="E62" s="17"/>
    </row>
    <row r="63" spans="2:5" ht="16.5" customHeight="1">
      <c r="B63" s="17"/>
      <c r="D63" s="17"/>
      <c r="E63" s="17"/>
    </row>
    <row r="64" spans="2:5" ht="16.5" customHeight="1">
      <c r="B64" s="17"/>
      <c r="D64" s="17"/>
      <c r="E64" s="17"/>
    </row>
    <row r="65" spans="2:5" ht="16.5" customHeight="1">
      <c r="B65" s="17"/>
      <c r="D65" s="17"/>
      <c r="E65" s="17"/>
    </row>
    <row r="66" spans="2:5" ht="16.5" customHeight="1">
      <c r="B66" s="17"/>
      <c r="D66" s="17"/>
      <c r="E66" s="17"/>
    </row>
    <row r="67" spans="2:5" ht="16.5" customHeight="1">
      <c r="B67" s="17"/>
      <c r="D67" s="17"/>
      <c r="E67" s="17"/>
    </row>
    <row r="68" spans="2:5" ht="16.5" customHeight="1">
      <c r="B68" s="17"/>
      <c r="D68" s="17"/>
      <c r="E68" s="17"/>
    </row>
    <row r="69" spans="2:5" ht="16.5" customHeight="1">
      <c r="B69" s="17"/>
      <c r="D69" s="17"/>
      <c r="E69" s="17"/>
    </row>
    <row r="70" spans="2:5" ht="16.5" customHeight="1">
      <c r="B70" s="17"/>
      <c r="D70" s="17"/>
      <c r="E70" s="17"/>
    </row>
    <row r="71" spans="2:5" ht="16.5" customHeight="1">
      <c r="B71" s="17"/>
      <c r="D71" s="17"/>
      <c r="E71" s="17"/>
    </row>
    <row r="72" spans="2:5" ht="16.5" customHeight="1">
      <c r="B72" s="17"/>
      <c r="D72" s="17"/>
      <c r="E72" s="17"/>
    </row>
    <row r="73" spans="2:5" ht="16.5" customHeight="1">
      <c r="B73" s="17"/>
      <c r="D73" s="17"/>
      <c r="E73" s="17"/>
    </row>
    <row r="74" spans="2:5" ht="16.5" customHeight="1">
      <c r="B74" s="17"/>
      <c r="D74" s="17"/>
      <c r="E74" s="17"/>
    </row>
    <row r="75" spans="2:5" ht="16.5" customHeight="1">
      <c r="B75" s="17"/>
      <c r="D75" s="17"/>
      <c r="E75" s="17"/>
    </row>
    <row r="76" spans="2:5" ht="16.5" customHeight="1">
      <c r="B76" s="17"/>
      <c r="D76" s="17"/>
      <c r="E76" s="17"/>
    </row>
    <row r="77" spans="2:5" ht="16.5" customHeight="1">
      <c r="B77" s="17"/>
      <c r="D77" s="17"/>
      <c r="E77" s="17"/>
    </row>
    <row r="78" spans="2:5" ht="16.5" customHeight="1">
      <c r="B78" s="17"/>
      <c r="D78" s="17"/>
      <c r="E78" s="17"/>
    </row>
    <row r="79" spans="2:5" ht="16.5" customHeight="1">
      <c r="B79" s="17"/>
      <c r="D79" s="17"/>
      <c r="E79" s="17"/>
    </row>
    <row r="80" spans="2:5" ht="16.5" customHeight="1">
      <c r="B80" s="17"/>
      <c r="D80" s="17"/>
      <c r="E80" s="17"/>
    </row>
    <row r="81" spans="2:5" ht="16.5" customHeight="1">
      <c r="B81" s="17"/>
      <c r="D81" s="17"/>
      <c r="E81" s="17"/>
    </row>
    <row r="82" spans="2:5" ht="16.5" customHeight="1">
      <c r="B82" s="17"/>
      <c r="D82" s="17"/>
      <c r="E82" s="17"/>
    </row>
    <row r="83" spans="2:5" ht="16.5" customHeight="1">
      <c r="B83" s="17"/>
      <c r="D83" s="17"/>
      <c r="E83" s="17"/>
    </row>
    <row r="84" spans="2:5" ht="16.5" customHeight="1">
      <c r="B84" s="17"/>
      <c r="D84" s="17"/>
      <c r="E84" s="17"/>
    </row>
    <row r="85" spans="2:5" ht="16.5" customHeight="1">
      <c r="B85" s="17"/>
      <c r="D85" s="17"/>
      <c r="E85" s="17"/>
    </row>
    <row r="86" spans="2:5" ht="16.5" customHeight="1">
      <c r="B86" s="17"/>
      <c r="D86" s="17"/>
      <c r="E86" s="17"/>
    </row>
    <row r="87" spans="2:5" ht="16.5" customHeight="1">
      <c r="B87" s="17"/>
      <c r="D87" s="17"/>
      <c r="E87" s="17"/>
    </row>
    <row r="88" spans="2:5" ht="16.5" customHeight="1">
      <c r="B88" s="17"/>
      <c r="D88" s="17"/>
      <c r="E88" s="17"/>
    </row>
    <row r="89" spans="2:5" ht="16.5" customHeight="1">
      <c r="B89" s="17"/>
      <c r="D89" s="17"/>
      <c r="E89" s="17"/>
    </row>
    <row r="90" spans="2:5" ht="16.5" customHeight="1">
      <c r="B90" s="17"/>
      <c r="D90" s="17"/>
      <c r="E90" s="17"/>
    </row>
    <row r="91" spans="2:5" ht="16.5" customHeight="1">
      <c r="B91" s="17"/>
      <c r="D91" s="17"/>
      <c r="E91" s="17"/>
    </row>
    <row r="92" spans="2:5" ht="16.5" customHeight="1">
      <c r="B92" s="17"/>
      <c r="D92" s="17"/>
      <c r="E92" s="17"/>
    </row>
    <row r="93" spans="2:5" ht="16.5" customHeight="1">
      <c r="B93" s="17"/>
      <c r="D93" s="17"/>
      <c r="E93" s="17"/>
    </row>
    <row r="94" spans="2:5" ht="16.5" customHeight="1">
      <c r="B94" s="17"/>
      <c r="D94" s="17"/>
      <c r="E94" s="17"/>
    </row>
    <row r="95" spans="2:5" ht="16.5" customHeight="1">
      <c r="B95" s="17"/>
      <c r="D95" s="17"/>
      <c r="E95" s="17"/>
    </row>
    <row r="96" spans="2:5" ht="16.5" customHeight="1">
      <c r="B96" s="17"/>
      <c r="D96" s="17"/>
      <c r="E96" s="17"/>
    </row>
    <row r="97" spans="2:5" ht="16.5" customHeight="1">
      <c r="B97" s="17"/>
      <c r="D97" s="17"/>
      <c r="E97" s="17"/>
    </row>
    <row r="98" spans="2:5" ht="16.5" customHeight="1">
      <c r="B98" s="17"/>
      <c r="D98" s="17"/>
      <c r="E98" s="17"/>
    </row>
    <row r="99" spans="2:5" ht="16.5" customHeight="1">
      <c r="B99" s="17"/>
      <c r="D99" s="17"/>
      <c r="E99" s="17"/>
    </row>
    <row r="100" spans="2:5" ht="16.5" customHeight="1">
      <c r="B100" s="17"/>
      <c r="D100" s="17"/>
      <c r="E100" s="17"/>
    </row>
    <row r="101" spans="2:5" ht="16.5" customHeight="1">
      <c r="B101" s="17"/>
      <c r="D101" s="17"/>
      <c r="E101" s="17"/>
    </row>
    <row r="102" spans="2:5" ht="16.5" customHeight="1">
      <c r="B102" s="17"/>
      <c r="D102" s="17"/>
      <c r="E102" s="17"/>
    </row>
    <row r="103" spans="2:5" ht="16.5" customHeight="1">
      <c r="B103" s="17"/>
      <c r="D103" s="17"/>
      <c r="E103" s="17"/>
    </row>
    <row r="104" spans="2:5" ht="16.5" customHeight="1">
      <c r="B104" s="17"/>
      <c r="D104" s="17"/>
      <c r="E104" s="17"/>
    </row>
    <row r="105" spans="2:5" ht="16.5" customHeight="1">
      <c r="B105" s="17"/>
      <c r="D105" s="17"/>
      <c r="E105" s="17"/>
    </row>
    <row r="106" spans="2:5" ht="16.5" customHeight="1">
      <c r="B106" s="17"/>
      <c r="D106" s="17"/>
      <c r="E106" s="17"/>
    </row>
    <row r="107" spans="2:5" ht="16.5" customHeight="1">
      <c r="B107" s="17"/>
      <c r="D107" s="17"/>
      <c r="E107" s="17"/>
    </row>
    <row r="108" spans="2:5" ht="16.5" customHeight="1">
      <c r="B108" s="17"/>
      <c r="D108" s="17"/>
      <c r="E108" s="17"/>
    </row>
    <row r="109" spans="2:5" ht="16.5" customHeight="1">
      <c r="B109" s="17"/>
      <c r="D109" s="17"/>
      <c r="E109" s="17"/>
    </row>
    <row r="110" spans="2:5" ht="16.5" customHeight="1">
      <c r="B110" s="17"/>
      <c r="D110" s="17"/>
      <c r="E110" s="17"/>
    </row>
    <row r="111" spans="2:5" ht="16.5" customHeight="1">
      <c r="B111" s="17"/>
      <c r="D111" s="17"/>
      <c r="E111" s="17"/>
    </row>
    <row r="112" spans="2:5" ht="16.5" customHeight="1">
      <c r="B112" s="17"/>
      <c r="D112" s="17"/>
      <c r="E112" s="17"/>
    </row>
    <row r="113" spans="2:5" ht="16.5" customHeight="1">
      <c r="B113" s="17"/>
      <c r="D113" s="17"/>
      <c r="E113" s="17"/>
    </row>
    <row r="114" spans="2:5" ht="16.5" customHeight="1">
      <c r="B114" s="17"/>
      <c r="D114" s="17"/>
      <c r="E114" s="17"/>
    </row>
    <row r="115" spans="2:5" ht="16.5" customHeight="1">
      <c r="B115" s="17"/>
      <c r="D115" s="17"/>
      <c r="E115" s="17"/>
    </row>
    <row r="116" spans="2:5" ht="16.5" customHeight="1">
      <c r="B116" s="17"/>
      <c r="D116" s="17"/>
      <c r="E116" s="17"/>
    </row>
    <row r="117" spans="2:5" ht="16.5" customHeight="1">
      <c r="B117" s="17"/>
      <c r="D117" s="17"/>
      <c r="E117" s="17"/>
    </row>
    <row r="118" spans="2:5" ht="16.5" customHeight="1">
      <c r="B118" s="17"/>
      <c r="D118" s="17"/>
      <c r="E118" s="17"/>
    </row>
    <row r="119" spans="2:5" ht="16.5" customHeight="1">
      <c r="B119" s="17"/>
      <c r="D119" s="17"/>
      <c r="E119" s="17"/>
    </row>
    <row r="120" spans="2:5" ht="16.5" customHeight="1">
      <c r="B120" s="17"/>
      <c r="D120" s="17"/>
      <c r="E120" s="17"/>
    </row>
    <row r="121" spans="2:5" ht="16.5" customHeight="1">
      <c r="B121" s="17"/>
      <c r="D121" s="17"/>
      <c r="E121" s="17"/>
    </row>
    <row r="122" spans="2:5" ht="16.5" customHeight="1">
      <c r="B122" s="17"/>
      <c r="D122" s="17"/>
      <c r="E122" s="17"/>
    </row>
    <row r="123" spans="2:5" ht="16.5" customHeight="1">
      <c r="B123" s="17"/>
      <c r="D123" s="17"/>
      <c r="E123" s="17"/>
    </row>
    <row r="124" spans="2:5" ht="16.5" customHeight="1">
      <c r="B124" s="17"/>
      <c r="D124" s="17"/>
      <c r="E124" s="17"/>
    </row>
    <row r="125" spans="2:5" ht="16.5" customHeight="1">
      <c r="B125" s="17"/>
      <c r="D125" s="17"/>
      <c r="E125" s="17"/>
    </row>
    <row r="126" spans="2:5" ht="16.5" customHeight="1">
      <c r="B126" s="17"/>
      <c r="D126" s="17"/>
      <c r="E126" s="17"/>
    </row>
    <row r="127" spans="2:5" ht="16.5" customHeight="1">
      <c r="B127" s="17"/>
      <c r="D127" s="17"/>
      <c r="E127" s="17"/>
    </row>
    <row r="128" spans="2:5" ht="16.5" customHeight="1">
      <c r="B128" s="17"/>
      <c r="D128" s="17"/>
      <c r="E128" s="17"/>
    </row>
    <row r="129" spans="2:5" ht="16.5" customHeight="1">
      <c r="B129" s="17"/>
      <c r="D129" s="17"/>
      <c r="E129" s="17"/>
    </row>
    <row r="130" spans="2:5" ht="16.5" customHeight="1">
      <c r="B130" s="17"/>
      <c r="D130" s="17"/>
      <c r="E130" s="17"/>
    </row>
    <row r="131" spans="2:5" ht="16.5" customHeight="1">
      <c r="B131" s="17"/>
      <c r="D131" s="17"/>
      <c r="E131" s="17"/>
    </row>
    <row r="132" spans="2:5" ht="16.5" customHeight="1">
      <c r="B132" s="17"/>
      <c r="D132" s="17"/>
      <c r="E132" s="17"/>
    </row>
    <row r="133" spans="2:5" ht="16.5" customHeight="1">
      <c r="B133" s="17"/>
      <c r="D133" s="17"/>
      <c r="E133" s="17"/>
    </row>
    <row r="134" spans="2:5" ht="16.5" customHeight="1">
      <c r="B134" s="17"/>
      <c r="D134" s="17"/>
      <c r="E134" s="17"/>
    </row>
    <row r="135" spans="2:5" ht="16.5" customHeight="1">
      <c r="B135" s="17"/>
      <c r="D135" s="17"/>
      <c r="E135" s="17"/>
    </row>
    <row r="136" spans="2:5" ht="16.5" customHeight="1">
      <c r="B136" s="17"/>
      <c r="D136" s="17"/>
      <c r="E136" s="17"/>
    </row>
    <row r="137" spans="2:5" ht="16.5" customHeight="1">
      <c r="B137" s="17"/>
      <c r="D137" s="17"/>
      <c r="E137" s="17"/>
    </row>
    <row r="138" spans="2:5" ht="16.5" customHeight="1">
      <c r="B138" s="17"/>
      <c r="D138" s="17"/>
      <c r="E138" s="17"/>
    </row>
    <row r="139" spans="2:5" ht="16.5" customHeight="1">
      <c r="B139" s="17"/>
      <c r="D139" s="17"/>
      <c r="E139" s="17"/>
    </row>
    <row r="140" spans="2:5" ht="16.5" customHeight="1">
      <c r="B140" s="17"/>
      <c r="D140" s="17"/>
      <c r="E140" s="17"/>
    </row>
    <row r="141" spans="2:5" ht="16.5" customHeight="1">
      <c r="B141" s="17"/>
      <c r="D141" s="17"/>
      <c r="E141" s="17"/>
    </row>
    <row r="142" spans="2:5" ht="16.5" customHeight="1">
      <c r="B142" s="17"/>
      <c r="D142" s="17"/>
      <c r="E142" s="17"/>
    </row>
    <row r="143" spans="2:5" ht="16.5" customHeight="1">
      <c r="B143" s="17"/>
      <c r="D143" s="17"/>
      <c r="E143" s="17"/>
    </row>
    <row r="144" spans="2:5" ht="16.5" customHeight="1">
      <c r="B144" s="17"/>
      <c r="D144" s="17"/>
      <c r="E144" s="17"/>
    </row>
    <row r="145" spans="2:5" ht="16.5" customHeight="1">
      <c r="B145" s="17"/>
      <c r="D145" s="17"/>
      <c r="E145" s="17"/>
    </row>
    <row r="146" spans="2:5" ht="16.5" customHeight="1">
      <c r="B146" s="17"/>
      <c r="D146" s="17"/>
      <c r="E146" s="17"/>
    </row>
    <row r="147" spans="2:5" ht="16.5" customHeight="1">
      <c r="B147" s="17"/>
      <c r="D147" s="17"/>
      <c r="E147" s="17"/>
    </row>
    <row r="148" spans="2:5" ht="16.5" customHeight="1">
      <c r="B148" s="17"/>
      <c r="D148" s="17"/>
      <c r="E148" s="17"/>
    </row>
    <row r="149" spans="2:5" ht="16.5" customHeight="1">
      <c r="B149" s="17"/>
      <c r="D149" s="17"/>
      <c r="E149" s="17"/>
    </row>
    <row r="150" spans="2:5" ht="16.5" customHeight="1">
      <c r="B150" s="17"/>
      <c r="D150" s="17"/>
      <c r="E150" s="17"/>
    </row>
    <row r="151" spans="2:5" ht="16.5" customHeight="1">
      <c r="B151" s="17"/>
      <c r="D151" s="17"/>
      <c r="E151" s="17"/>
    </row>
    <row r="152" spans="2:5" ht="16.5" customHeight="1">
      <c r="B152" s="17"/>
      <c r="D152" s="17"/>
      <c r="E152" s="17"/>
    </row>
    <row r="153" spans="2:5" ht="16.5" customHeight="1">
      <c r="B153" s="17"/>
      <c r="D153" s="17"/>
      <c r="E153" s="17"/>
    </row>
    <row r="154" spans="2:5" ht="16.5" customHeight="1">
      <c r="B154" s="17"/>
      <c r="D154" s="17"/>
      <c r="E154" s="17"/>
    </row>
    <row r="155" spans="2:5" ht="16.5" customHeight="1">
      <c r="B155" s="17"/>
      <c r="D155" s="17"/>
      <c r="E155" s="17"/>
    </row>
    <row r="156" spans="2:5" ht="16.5" customHeight="1">
      <c r="B156" s="17"/>
      <c r="D156" s="17"/>
      <c r="E156" s="17"/>
    </row>
    <row r="157" spans="2:5" ht="16.5" customHeight="1">
      <c r="B157" s="17"/>
      <c r="D157" s="17"/>
      <c r="E157" s="17"/>
    </row>
    <row r="158" spans="2:5" ht="16.5" customHeight="1">
      <c r="B158" s="17"/>
      <c r="D158" s="17"/>
      <c r="E158" s="17"/>
    </row>
    <row r="159" spans="2:5" ht="16.5" customHeight="1">
      <c r="B159" s="17"/>
      <c r="D159" s="17"/>
      <c r="E159" s="17"/>
    </row>
    <row r="160" spans="2:5" ht="16.5" customHeight="1">
      <c r="B160" s="17"/>
      <c r="D160" s="17"/>
      <c r="E160" s="17"/>
    </row>
    <row r="161" spans="2:5" ht="16.5" customHeight="1">
      <c r="B161" s="17"/>
      <c r="D161" s="17"/>
      <c r="E161" s="17"/>
    </row>
    <row r="162" spans="2:5" ht="16.5" customHeight="1">
      <c r="B162" s="17"/>
      <c r="D162" s="17"/>
      <c r="E162" s="17"/>
    </row>
    <row r="163" spans="2:5" ht="16.5" customHeight="1">
      <c r="B163" s="17"/>
      <c r="D163" s="17"/>
      <c r="E163" s="17"/>
    </row>
    <row r="164" spans="2:5" ht="16.5" customHeight="1">
      <c r="B164" s="17"/>
      <c r="D164" s="17"/>
      <c r="E164" s="17"/>
    </row>
    <row r="165" spans="2:5" ht="16.5" customHeight="1">
      <c r="B165" s="17"/>
      <c r="D165" s="17"/>
      <c r="E165" s="17"/>
    </row>
    <row r="166" spans="2:5" ht="16.5" customHeight="1">
      <c r="B166" s="17"/>
      <c r="D166" s="17"/>
      <c r="E166" s="17"/>
    </row>
    <row r="167" spans="2:5" ht="16.5" customHeight="1">
      <c r="B167" s="17"/>
      <c r="D167" s="17"/>
      <c r="E167" s="17"/>
    </row>
    <row r="168" spans="2:5" ht="16.5" customHeight="1">
      <c r="B168" s="17"/>
      <c r="D168" s="17"/>
      <c r="E168" s="17"/>
    </row>
    <row r="169" spans="2:5" ht="16.5" customHeight="1">
      <c r="B169" s="17"/>
      <c r="D169" s="17"/>
      <c r="E169" s="17"/>
    </row>
    <row r="170" spans="2:5" ht="16.5" customHeight="1">
      <c r="B170" s="17"/>
      <c r="D170" s="17"/>
      <c r="E170" s="17"/>
    </row>
    <row r="171" spans="2:5" ht="16.5" customHeight="1">
      <c r="B171" s="17"/>
      <c r="D171" s="17"/>
      <c r="E171" s="17"/>
    </row>
    <row r="172" spans="2:5" ht="16.5" customHeight="1">
      <c r="B172" s="17"/>
      <c r="D172" s="17"/>
      <c r="E172" s="17"/>
    </row>
    <row r="173" spans="2:5" ht="16.5" customHeight="1">
      <c r="B173" s="17"/>
      <c r="D173" s="17"/>
      <c r="E173" s="17"/>
    </row>
    <row r="174" spans="2:5" ht="16.5" customHeight="1">
      <c r="B174" s="17"/>
      <c r="D174" s="17"/>
      <c r="E174" s="17"/>
    </row>
    <row r="175" spans="2:5" ht="16.5" customHeight="1">
      <c r="B175" s="17"/>
      <c r="D175" s="17"/>
      <c r="E175" s="17"/>
    </row>
    <row r="176" spans="2:5" ht="16.5" customHeight="1">
      <c r="B176" s="17"/>
      <c r="D176" s="17"/>
      <c r="E176" s="17"/>
    </row>
    <row r="177" spans="2:5" ht="16.5" customHeight="1">
      <c r="B177" s="17"/>
      <c r="D177" s="17"/>
      <c r="E177" s="17"/>
    </row>
    <row r="178" spans="2:5" ht="16.5" customHeight="1">
      <c r="B178" s="17"/>
      <c r="D178" s="17"/>
      <c r="E178" s="17"/>
    </row>
    <row r="179" spans="2:5" ht="16.5" customHeight="1">
      <c r="B179" s="17"/>
      <c r="D179" s="17"/>
      <c r="E179" s="17"/>
    </row>
    <row r="180" spans="2:5" ht="16.5" customHeight="1">
      <c r="B180" s="17"/>
      <c r="D180" s="17"/>
      <c r="E180" s="17"/>
    </row>
    <row r="181" spans="2:5" ht="16.5" customHeight="1">
      <c r="B181" s="17"/>
      <c r="D181" s="17"/>
      <c r="E181" s="17"/>
    </row>
    <row r="182" spans="2:5" ht="16.5" customHeight="1">
      <c r="B182" s="17"/>
      <c r="D182" s="17"/>
      <c r="E182" s="17"/>
    </row>
    <row r="183" spans="2:5" ht="16.5" customHeight="1">
      <c r="B183" s="17"/>
      <c r="D183" s="17"/>
      <c r="E183" s="17"/>
    </row>
    <row r="184" spans="2:5" ht="16.5" customHeight="1">
      <c r="B184" s="17"/>
      <c r="D184" s="17"/>
      <c r="E184" s="17"/>
    </row>
    <row r="185" spans="2:5" ht="16.5" customHeight="1">
      <c r="B185" s="17"/>
      <c r="D185" s="17"/>
      <c r="E185" s="17"/>
    </row>
    <row r="186" spans="2:5" ht="16.5" customHeight="1">
      <c r="B186" s="17"/>
      <c r="D186" s="17"/>
      <c r="E186" s="17"/>
    </row>
    <row r="187" spans="2:5" ht="16.5" customHeight="1">
      <c r="B187" s="17"/>
      <c r="D187" s="17"/>
      <c r="E187" s="17"/>
    </row>
    <row r="188" spans="2:5" ht="16.5" customHeight="1">
      <c r="B188" s="17"/>
      <c r="D188" s="17"/>
      <c r="E188" s="17"/>
    </row>
    <row r="189" spans="2:5" ht="16.5" customHeight="1">
      <c r="B189" s="17"/>
      <c r="D189" s="17"/>
      <c r="E189" s="17"/>
    </row>
    <row r="190" spans="2:5" ht="16.5" customHeight="1">
      <c r="B190" s="17"/>
      <c r="D190" s="17"/>
      <c r="E190" s="17"/>
    </row>
    <row r="191" spans="2:5" ht="16.5" customHeight="1">
      <c r="B191" s="17"/>
      <c r="D191" s="17"/>
      <c r="E191" s="17"/>
    </row>
    <row r="192" spans="2:5" ht="16.5" customHeight="1">
      <c r="B192" s="17"/>
      <c r="D192" s="17"/>
      <c r="E192" s="17"/>
    </row>
    <row r="193" spans="2:5" ht="16.5" customHeight="1">
      <c r="B193" s="17"/>
      <c r="D193" s="17"/>
      <c r="E193" s="17"/>
    </row>
    <row r="194" spans="2:5" ht="16.5" customHeight="1">
      <c r="B194" s="17"/>
      <c r="D194" s="17"/>
      <c r="E194" s="17"/>
    </row>
    <row r="195" spans="2:5" ht="16.5" customHeight="1">
      <c r="B195" s="17"/>
      <c r="D195" s="17"/>
      <c r="E195" s="17"/>
    </row>
    <row r="196" spans="2:5" ht="16.5" customHeight="1">
      <c r="B196" s="17"/>
      <c r="D196" s="17"/>
      <c r="E196" s="17"/>
    </row>
    <row r="197" spans="2:5" ht="16.5" customHeight="1">
      <c r="B197" s="17"/>
      <c r="D197" s="17"/>
      <c r="E197" s="17"/>
    </row>
    <row r="198" spans="2:5" ht="16.5" customHeight="1">
      <c r="B198" s="17"/>
      <c r="D198" s="17"/>
      <c r="E198" s="17"/>
    </row>
    <row r="199" spans="2:5" ht="16.5" customHeight="1">
      <c r="B199" s="17"/>
      <c r="D199" s="17"/>
      <c r="E199" s="17"/>
    </row>
    <row r="200" spans="2:5" ht="16.5" customHeight="1">
      <c r="B200" s="17"/>
      <c r="D200" s="17"/>
      <c r="E200" s="17"/>
    </row>
    <row r="201" spans="2:5" ht="16.5" customHeight="1">
      <c r="B201" s="17"/>
      <c r="D201" s="17"/>
      <c r="E201" s="17"/>
    </row>
    <row r="202" spans="2:5" ht="16.5" customHeight="1">
      <c r="B202" s="17"/>
      <c r="D202" s="17"/>
      <c r="E202" s="17"/>
    </row>
    <row r="203" spans="2:5" ht="16.5" customHeight="1">
      <c r="B203" s="17"/>
      <c r="D203" s="17"/>
      <c r="E203" s="17"/>
    </row>
    <row r="204" spans="2:5" ht="16.5" customHeight="1">
      <c r="B204" s="17"/>
      <c r="D204" s="17"/>
      <c r="E204" s="17"/>
    </row>
    <row r="205" spans="2:5" ht="16.5" customHeight="1">
      <c r="B205" s="17"/>
      <c r="D205" s="17"/>
      <c r="E205" s="17"/>
    </row>
    <row r="206" spans="2:5" ht="16.5" customHeight="1">
      <c r="B206" s="17"/>
      <c r="D206" s="17"/>
      <c r="E206" s="17"/>
    </row>
    <row r="207" spans="2:5" ht="16.5" customHeight="1">
      <c r="B207" s="17"/>
      <c r="D207" s="17"/>
      <c r="E207" s="17"/>
    </row>
    <row r="208" spans="2:5" ht="16.5" customHeight="1">
      <c r="B208" s="17"/>
      <c r="D208" s="17"/>
      <c r="E208" s="17"/>
    </row>
    <row r="209" spans="2:5" ht="16.5" customHeight="1">
      <c r="B209" s="17"/>
      <c r="D209" s="17"/>
      <c r="E209" s="17"/>
    </row>
    <row r="210" spans="2:5" ht="16.5" customHeight="1">
      <c r="B210" s="17"/>
      <c r="D210" s="17"/>
      <c r="E210" s="17"/>
    </row>
    <row r="211" spans="2:5" ht="16.5" customHeight="1">
      <c r="B211" s="17"/>
      <c r="D211" s="17"/>
      <c r="E211" s="17"/>
    </row>
    <row r="212" spans="2:5" ht="16.5" customHeight="1">
      <c r="B212" s="17"/>
      <c r="D212" s="17"/>
      <c r="E212" s="17"/>
    </row>
    <row r="213" spans="2:5" ht="16.5" customHeight="1">
      <c r="B213" s="17"/>
      <c r="D213" s="17"/>
      <c r="E213" s="17"/>
    </row>
    <row r="214" spans="2:5" ht="16.5" customHeight="1">
      <c r="B214" s="17"/>
      <c r="D214" s="17"/>
      <c r="E214" s="17"/>
    </row>
    <row r="215" spans="2:5" ht="16.5" customHeight="1">
      <c r="B215" s="17"/>
      <c r="D215" s="17"/>
      <c r="E215" s="17"/>
    </row>
    <row r="216" spans="2:5" ht="16.5" customHeight="1">
      <c r="B216" s="17"/>
      <c r="D216" s="17"/>
      <c r="E216" s="17"/>
    </row>
    <row r="217" spans="2:5" ht="16.5" customHeight="1">
      <c r="B217" s="17"/>
      <c r="D217" s="17"/>
      <c r="E217" s="17"/>
    </row>
    <row r="218" spans="2:5" ht="16.5" customHeight="1">
      <c r="B218" s="17"/>
      <c r="D218" s="17"/>
      <c r="E218" s="17"/>
    </row>
    <row r="219" spans="2:5" ht="16.5" customHeight="1">
      <c r="B219" s="17"/>
      <c r="D219" s="17"/>
      <c r="E219" s="17"/>
    </row>
    <row r="220" spans="2:5" ht="16.5" customHeight="1">
      <c r="B220" s="17"/>
      <c r="D220" s="17"/>
      <c r="E220" s="17"/>
    </row>
    <row r="221" spans="2:5" ht="16.5" customHeight="1">
      <c r="B221" s="17"/>
      <c r="D221" s="17"/>
      <c r="E221" s="17"/>
    </row>
    <row r="222" spans="2:5" ht="16.5" customHeight="1">
      <c r="B222" s="17"/>
      <c r="D222" s="17"/>
      <c r="E222" s="17"/>
    </row>
    <row r="223" spans="2:5" ht="16.5" customHeight="1">
      <c r="B223" s="17"/>
      <c r="D223" s="17"/>
      <c r="E223" s="17"/>
    </row>
    <row r="224" spans="2:5" ht="16.5" customHeight="1">
      <c r="B224" s="17"/>
      <c r="D224" s="17"/>
      <c r="E224" s="17"/>
    </row>
    <row r="225" spans="2:5" ht="16.5" customHeight="1">
      <c r="B225" s="17"/>
      <c r="D225" s="17"/>
      <c r="E225" s="17"/>
    </row>
    <row r="226" spans="2:5" ht="16.5" customHeight="1">
      <c r="B226" s="17"/>
      <c r="D226" s="17"/>
      <c r="E226" s="17"/>
    </row>
    <row r="227" spans="2:5" ht="16.5" customHeight="1">
      <c r="B227" s="17"/>
      <c r="D227" s="17"/>
      <c r="E227" s="17"/>
    </row>
    <row r="228" spans="2:5" ht="16.5" customHeight="1">
      <c r="B228" s="17"/>
      <c r="D228" s="17"/>
      <c r="E228" s="17"/>
    </row>
    <row r="229" spans="2:5" ht="16.5" customHeight="1">
      <c r="B229" s="17"/>
      <c r="D229" s="17"/>
      <c r="E229" s="17"/>
    </row>
    <row r="230" spans="2:5" ht="16.5" customHeight="1">
      <c r="B230" s="17"/>
      <c r="D230" s="17"/>
      <c r="E230" s="17"/>
    </row>
    <row r="231" spans="2:5" ht="16.5" customHeight="1">
      <c r="B231" s="17"/>
      <c r="D231" s="17"/>
      <c r="E231" s="17"/>
    </row>
    <row r="232" spans="2:5" ht="16.5" customHeight="1">
      <c r="B232" s="17"/>
      <c r="D232" s="17"/>
      <c r="E232" s="17"/>
    </row>
    <row r="233" spans="2:5" ht="16.5" customHeight="1">
      <c r="B233" s="17"/>
      <c r="D233" s="17"/>
      <c r="E233" s="17"/>
    </row>
    <row r="234" spans="2:5" ht="16.5" customHeight="1">
      <c r="B234" s="17"/>
      <c r="D234" s="17"/>
      <c r="E234" s="17"/>
    </row>
    <row r="235" spans="2:5" ht="16.5" customHeight="1">
      <c r="B235" s="17"/>
      <c r="D235" s="17"/>
      <c r="E235" s="17"/>
    </row>
    <row r="236" spans="2:5" ht="16.5" customHeight="1">
      <c r="B236" s="17"/>
      <c r="D236" s="17"/>
      <c r="E236" s="17"/>
    </row>
    <row r="237" spans="2:5" ht="16.5" customHeight="1">
      <c r="B237" s="17"/>
      <c r="D237" s="17"/>
      <c r="E237" s="17"/>
    </row>
    <row r="238" spans="2:5" ht="16.5" customHeight="1">
      <c r="B238" s="17"/>
      <c r="D238" s="17"/>
      <c r="E238" s="17"/>
    </row>
    <row r="239" spans="2:5" ht="16.5" customHeight="1">
      <c r="B239" s="17"/>
      <c r="D239" s="17"/>
      <c r="E239" s="17"/>
    </row>
    <row r="240" spans="2:5" ht="16.5" customHeight="1">
      <c r="B240" s="17"/>
      <c r="D240" s="17"/>
      <c r="E240" s="17"/>
    </row>
    <row r="241" spans="2:5" ht="16.5" customHeight="1">
      <c r="B241" s="17"/>
      <c r="D241" s="17"/>
      <c r="E241" s="17"/>
    </row>
    <row r="242" spans="2:5" ht="16.5" customHeight="1">
      <c r="B242" s="17"/>
      <c r="D242" s="17"/>
      <c r="E242" s="17"/>
    </row>
    <row r="243" spans="2:5" ht="16.5" customHeight="1">
      <c r="B243" s="17"/>
      <c r="D243" s="17"/>
      <c r="E243" s="17"/>
    </row>
    <row r="244" spans="2:5" ht="16.5" customHeight="1">
      <c r="B244" s="17"/>
      <c r="D244" s="17"/>
      <c r="E244" s="17"/>
    </row>
    <row r="245" spans="2:5" ht="16.5" customHeight="1">
      <c r="B245" s="17"/>
      <c r="D245" s="17"/>
      <c r="E245" s="17"/>
    </row>
    <row r="246" spans="2:5" ht="16.5" customHeight="1">
      <c r="B246" s="17"/>
      <c r="D246" s="17"/>
      <c r="E246" s="17"/>
    </row>
    <row r="247" spans="2:5" ht="16.5" customHeight="1">
      <c r="B247" s="17"/>
      <c r="D247" s="17"/>
      <c r="E247" s="17"/>
    </row>
    <row r="248" spans="2:5" ht="16.5" customHeight="1">
      <c r="B248" s="17"/>
      <c r="D248" s="17"/>
      <c r="E248" s="17"/>
    </row>
    <row r="249" spans="2:5" ht="16.5" customHeight="1">
      <c r="B249" s="17"/>
      <c r="D249" s="17"/>
      <c r="E249" s="17"/>
    </row>
    <row r="250" spans="2:5" ht="16.5" customHeight="1">
      <c r="B250" s="17"/>
      <c r="D250" s="17"/>
      <c r="E250" s="17"/>
    </row>
    <row r="251" spans="2:5" ht="16.5" customHeight="1">
      <c r="B251" s="17"/>
      <c r="D251" s="17"/>
      <c r="E251" s="17"/>
    </row>
    <row r="252" spans="2:5" ht="16.5" customHeight="1">
      <c r="B252" s="17"/>
      <c r="D252" s="17"/>
      <c r="E252" s="17"/>
    </row>
    <row r="253" spans="2:5" ht="16.5" customHeight="1">
      <c r="B253" s="17"/>
      <c r="D253" s="17"/>
      <c r="E253" s="17"/>
    </row>
    <row r="254" spans="2:5" ht="16.5" customHeight="1">
      <c r="B254" s="17"/>
      <c r="D254" s="17"/>
      <c r="E254" s="17"/>
    </row>
    <row r="255" spans="2:5" ht="16.5" customHeight="1">
      <c r="B255" s="17"/>
      <c r="D255" s="17"/>
      <c r="E255" s="17"/>
    </row>
    <row r="256" spans="2:5" ht="16.5" customHeight="1">
      <c r="B256" s="17"/>
      <c r="D256" s="17"/>
      <c r="E256" s="17"/>
    </row>
    <row r="257" spans="2:5" ht="16.5" customHeight="1">
      <c r="B257" s="17"/>
      <c r="D257" s="17"/>
      <c r="E257" s="17"/>
    </row>
    <row r="258" spans="2:5" ht="16.5" customHeight="1">
      <c r="B258" s="17"/>
      <c r="D258" s="17"/>
      <c r="E258" s="17"/>
    </row>
    <row r="259" spans="2:5" ht="16.5" customHeight="1">
      <c r="B259" s="17"/>
      <c r="D259" s="17"/>
      <c r="E259" s="17"/>
    </row>
    <row r="260" spans="2:5" ht="16.5" customHeight="1">
      <c r="B260" s="17"/>
      <c r="D260" s="17"/>
      <c r="E260" s="17"/>
    </row>
    <row r="261" spans="2:5" ht="16.5" customHeight="1">
      <c r="B261" s="17"/>
      <c r="D261" s="17"/>
      <c r="E261" s="17"/>
    </row>
    <row r="262" spans="2:5" ht="16.5" customHeight="1">
      <c r="B262" s="17"/>
      <c r="D262" s="17"/>
      <c r="E262" s="17"/>
    </row>
    <row r="263" spans="2:5" ht="16.5" customHeight="1">
      <c r="B263" s="17"/>
      <c r="D263" s="17"/>
      <c r="E263" s="17"/>
    </row>
    <row r="264" spans="2:5" ht="16.5" customHeight="1">
      <c r="B264" s="17"/>
      <c r="D264" s="17"/>
      <c r="E264" s="17"/>
    </row>
    <row r="265" spans="2:5" ht="16.5" customHeight="1">
      <c r="B265" s="17"/>
      <c r="D265" s="17"/>
      <c r="E265" s="17"/>
    </row>
    <row r="266" spans="2:5" ht="16.5" customHeight="1">
      <c r="B266" s="17"/>
      <c r="D266" s="17"/>
      <c r="E266" s="17"/>
    </row>
    <row r="267" spans="2:5" ht="16.5" customHeight="1">
      <c r="B267" s="17"/>
      <c r="D267" s="17"/>
      <c r="E267" s="17"/>
    </row>
    <row r="268" spans="2:5" ht="16.5" customHeight="1">
      <c r="B268" s="17"/>
      <c r="D268" s="17"/>
      <c r="E268" s="17"/>
    </row>
    <row r="269" spans="2:5" ht="16.5" customHeight="1">
      <c r="B269" s="17"/>
      <c r="D269" s="17"/>
      <c r="E269" s="17"/>
    </row>
    <row r="270" spans="2:5" ht="16.5" customHeight="1">
      <c r="B270" s="17"/>
      <c r="D270" s="17"/>
      <c r="E270" s="17"/>
    </row>
    <row r="271" spans="2:5" ht="16.5" customHeight="1">
      <c r="B271" s="17"/>
      <c r="D271" s="17"/>
      <c r="E271" s="17"/>
    </row>
    <row r="272" spans="2:5" ht="16.5" customHeight="1">
      <c r="B272" s="17"/>
      <c r="D272" s="17"/>
      <c r="E272" s="17"/>
    </row>
    <row r="273" spans="2:5" ht="16.5" customHeight="1">
      <c r="B273" s="17"/>
      <c r="D273" s="17"/>
      <c r="E273" s="17"/>
    </row>
    <row r="274" spans="2:5" ht="16.5" customHeight="1">
      <c r="B274" s="17"/>
      <c r="D274" s="17"/>
      <c r="E274" s="17"/>
    </row>
    <row r="275" spans="2:5" ht="16.5" customHeight="1">
      <c r="B275" s="17"/>
      <c r="D275" s="17"/>
      <c r="E275" s="17"/>
    </row>
    <row r="276" spans="2:5" ht="16.5" customHeight="1">
      <c r="B276" s="17"/>
      <c r="D276" s="17"/>
      <c r="E276" s="17"/>
    </row>
    <row r="277" spans="2:5" ht="16.5" customHeight="1">
      <c r="B277" s="17"/>
      <c r="D277" s="17"/>
      <c r="E277" s="17"/>
    </row>
    <row r="278" spans="2:5" ht="16.5" customHeight="1">
      <c r="B278" s="17"/>
      <c r="D278" s="17"/>
      <c r="E278" s="17"/>
    </row>
    <row r="279" spans="2:5" ht="16.5" customHeight="1">
      <c r="B279" s="17"/>
      <c r="D279" s="17"/>
      <c r="E279" s="17"/>
    </row>
    <row r="280" spans="2:5" ht="16.5" customHeight="1">
      <c r="B280" s="17"/>
      <c r="D280" s="17"/>
      <c r="E280" s="17"/>
    </row>
    <row r="281" spans="2:5" ht="16.5" customHeight="1">
      <c r="B281" s="17"/>
      <c r="D281" s="17"/>
      <c r="E281" s="17"/>
    </row>
    <row r="282" spans="2:5" ht="16.5" customHeight="1">
      <c r="B282" s="17"/>
      <c r="D282" s="17"/>
      <c r="E282" s="17"/>
    </row>
    <row r="283" spans="2:5" ht="16.5" customHeight="1">
      <c r="B283" s="17"/>
      <c r="D283" s="17"/>
      <c r="E283" s="17"/>
    </row>
    <row r="284" spans="2:5" ht="16.5" customHeight="1">
      <c r="B284" s="17"/>
      <c r="D284" s="17"/>
      <c r="E284" s="17"/>
    </row>
    <row r="285" spans="2:5" ht="16.5" customHeight="1">
      <c r="B285" s="17"/>
      <c r="D285" s="17"/>
      <c r="E285" s="17"/>
    </row>
    <row r="286" spans="2:5" ht="16.5" customHeight="1">
      <c r="B286" s="17"/>
      <c r="D286" s="17"/>
      <c r="E286" s="17"/>
    </row>
    <row r="287" spans="2:5" ht="16.5" customHeight="1">
      <c r="B287" s="17"/>
      <c r="D287" s="17"/>
      <c r="E287" s="17"/>
    </row>
    <row r="288" spans="2:5" ht="16.5" customHeight="1">
      <c r="B288" s="17"/>
      <c r="D288" s="17"/>
      <c r="E288" s="17"/>
    </row>
    <row r="289" spans="2:5" ht="16.5" customHeight="1">
      <c r="B289" s="17"/>
      <c r="D289" s="17"/>
      <c r="E289" s="17"/>
    </row>
    <row r="290" spans="2:5" ht="16.5" customHeight="1">
      <c r="B290" s="17"/>
      <c r="D290" s="17"/>
      <c r="E290" s="17"/>
    </row>
    <row r="291" spans="2:5" ht="16.5" customHeight="1">
      <c r="B291" s="17"/>
      <c r="D291" s="17"/>
      <c r="E291" s="17"/>
    </row>
    <row r="292" spans="2:5" ht="16.5" customHeight="1">
      <c r="B292" s="17"/>
      <c r="D292" s="17"/>
      <c r="E292" s="17"/>
    </row>
    <row r="293" spans="2:5" ht="16.5" customHeight="1">
      <c r="B293" s="17"/>
      <c r="D293" s="17"/>
      <c r="E293" s="17"/>
    </row>
    <row r="294" spans="2:5" ht="16.5" customHeight="1">
      <c r="B294" s="17"/>
      <c r="D294" s="17"/>
      <c r="E294" s="17"/>
    </row>
    <row r="295" spans="2:5" ht="16.5" customHeight="1">
      <c r="B295" s="17"/>
      <c r="D295" s="17"/>
      <c r="E295" s="17"/>
    </row>
    <row r="296" spans="2:5" ht="16.5" customHeight="1">
      <c r="B296" s="17"/>
      <c r="D296" s="17"/>
      <c r="E296" s="17"/>
    </row>
    <row r="297" spans="2:5" ht="16.5" customHeight="1">
      <c r="B297" s="17"/>
      <c r="D297" s="17"/>
      <c r="E297" s="17"/>
    </row>
    <row r="298" spans="2:5" ht="16.5" customHeight="1">
      <c r="B298" s="17"/>
      <c r="D298" s="17"/>
      <c r="E298" s="17"/>
    </row>
    <row r="299" spans="2:5" ht="16.5" customHeight="1">
      <c r="B299" s="17"/>
      <c r="D299" s="17"/>
      <c r="E299" s="17"/>
    </row>
    <row r="300" spans="2:5" ht="16.5" customHeight="1">
      <c r="B300" s="17"/>
      <c r="D300" s="17"/>
      <c r="E300" s="17"/>
    </row>
    <row r="301" spans="2:5" ht="16.5" customHeight="1">
      <c r="B301" s="17"/>
      <c r="D301" s="17"/>
      <c r="E301" s="17"/>
    </row>
    <row r="302" spans="2:5" ht="16.5" customHeight="1">
      <c r="B302" s="17"/>
      <c r="D302" s="17"/>
      <c r="E302" s="17"/>
    </row>
    <row r="303" spans="2:5" ht="16.5" customHeight="1">
      <c r="B303" s="17"/>
      <c r="D303" s="17"/>
      <c r="E303" s="17"/>
    </row>
    <row r="304" spans="2:5" ht="16.5" customHeight="1">
      <c r="B304" s="17"/>
      <c r="D304" s="17"/>
      <c r="E304" s="17"/>
    </row>
    <row r="305" spans="2:5" ht="16.5" customHeight="1">
      <c r="B305" s="17"/>
      <c r="D305" s="17"/>
      <c r="E305" s="17"/>
    </row>
    <row r="306" spans="2:5" ht="16.5" customHeight="1">
      <c r="B306" s="17"/>
      <c r="D306" s="17"/>
      <c r="E306" s="17"/>
    </row>
    <row r="307" spans="2:5" ht="16.5" customHeight="1">
      <c r="B307" s="17"/>
      <c r="D307" s="17"/>
      <c r="E307" s="17"/>
    </row>
    <row r="308" spans="2:5" ht="16.5" customHeight="1">
      <c r="B308" s="17"/>
      <c r="D308" s="17"/>
      <c r="E308" s="17"/>
    </row>
    <row r="309" spans="2:5" ht="16.5" customHeight="1">
      <c r="B309" s="17"/>
      <c r="D309" s="17"/>
      <c r="E309" s="17"/>
    </row>
    <row r="310" spans="2:5" ht="16.5" customHeight="1">
      <c r="B310" s="17"/>
      <c r="D310" s="17"/>
      <c r="E310" s="17"/>
    </row>
    <row r="311" spans="2:5" ht="16.5" customHeight="1">
      <c r="B311" s="17"/>
      <c r="D311" s="17"/>
      <c r="E311" s="17"/>
    </row>
    <row r="312" spans="2:5" ht="16.5" customHeight="1">
      <c r="B312" s="17"/>
      <c r="D312" s="17"/>
      <c r="E312" s="17"/>
    </row>
    <row r="313" spans="2:5" ht="16.5" customHeight="1">
      <c r="B313" s="17"/>
      <c r="D313" s="17"/>
      <c r="E313" s="17"/>
    </row>
    <row r="314" spans="2:5" ht="16.5" customHeight="1">
      <c r="B314" s="17"/>
      <c r="D314" s="17"/>
      <c r="E314" s="17"/>
    </row>
    <row r="315" spans="2:5" ht="16.5" customHeight="1">
      <c r="B315" s="17"/>
      <c r="D315" s="17"/>
      <c r="E315" s="17"/>
    </row>
    <row r="316" spans="2:5" ht="16.5" customHeight="1">
      <c r="B316" s="17"/>
      <c r="D316" s="17"/>
      <c r="E316" s="17"/>
    </row>
    <row r="317" spans="2:5" ht="16.5" customHeight="1">
      <c r="B317" s="17"/>
      <c r="D317" s="17"/>
      <c r="E317" s="17"/>
    </row>
    <row r="318" spans="2:5" ht="16.5" customHeight="1">
      <c r="B318" s="17"/>
      <c r="D318" s="17"/>
      <c r="E318" s="17"/>
    </row>
    <row r="319" spans="2:5" ht="16.5" customHeight="1">
      <c r="B319" s="17"/>
      <c r="D319" s="17"/>
      <c r="E319" s="17"/>
    </row>
    <row r="320" spans="2:5" ht="16.5" customHeight="1">
      <c r="B320" s="17"/>
      <c r="D320" s="17"/>
      <c r="E320" s="17"/>
    </row>
    <row r="321" spans="2:5" ht="16.5" customHeight="1">
      <c r="B321" s="17"/>
      <c r="D321" s="17"/>
      <c r="E321" s="17"/>
    </row>
    <row r="322" spans="2:5" ht="16.5" customHeight="1">
      <c r="B322" s="17"/>
      <c r="D322" s="17"/>
      <c r="E322" s="17"/>
    </row>
    <row r="323" spans="2:5" ht="16.5" customHeight="1">
      <c r="B323" s="17"/>
      <c r="D323" s="17"/>
      <c r="E323" s="17"/>
    </row>
    <row r="324" spans="2:5" ht="16.5" customHeight="1">
      <c r="B324" s="17"/>
      <c r="D324" s="17"/>
      <c r="E324" s="17"/>
    </row>
    <row r="325" spans="2:5" ht="16.5" customHeight="1">
      <c r="B325" s="17"/>
      <c r="D325" s="17"/>
      <c r="E325" s="17"/>
    </row>
    <row r="326" spans="2:5" ht="16.5" customHeight="1">
      <c r="B326" s="17"/>
      <c r="D326" s="17"/>
      <c r="E326" s="17"/>
    </row>
    <row r="327" spans="2:5" ht="16.5" customHeight="1">
      <c r="B327" s="17"/>
      <c r="D327" s="17"/>
      <c r="E327" s="17"/>
    </row>
    <row r="328" spans="2:5" ht="16.5" customHeight="1">
      <c r="B328" s="17"/>
      <c r="D328" s="17"/>
      <c r="E328" s="17"/>
    </row>
    <row r="329" spans="2:5" ht="16.5" customHeight="1">
      <c r="B329" s="17"/>
      <c r="D329" s="17"/>
      <c r="E329" s="17"/>
    </row>
    <row r="330" spans="2:5" ht="16.5" customHeight="1">
      <c r="B330" s="17"/>
      <c r="D330" s="17"/>
      <c r="E330" s="17"/>
    </row>
    <row r="331" spans="2:5" ht="16.5" customHeight="1">
      <c r="B331" s="17"/>
      <c r="D331" s="17"/>
      <c r="E331" s="17"/>
    </row>
    <row r="332" spans="2:5" ht="16.5" customHeight="1">
      <c r="B332" s="17"/>
      <c r="D332" s="17"/>
      <c r="E332" s="17"/>
    </row>
    <row r="333" spans="2:5" ht="16.5" customHeight="1">
      <c r="B333" s="17"/>
      <c r="D333" s="17"/>
      <c r="E333" s="17"/>
    </row>
    <row r="334" spans="2:5" ht="16.5" customHeight="1">
      <c r="B334" s="17"/>
      <c r="D334" s="17"/>
      <c r="E334" s="17"/>
    </row>
    <row r="335" spans="2:5" ht="16.5" customHeight="1">
      <c r="B335" s="17"/>
      <c r="D335" s="17"/>
      <c r="E335" s="17"/>
    </row>
    <row r="336" spans="2:5" ht="16.5" customHeight="1">
      <c r="B336" s="17"/>
      <c r="D336" s="17"/>
      <c r="E336" s="17"/>
    </row>
    <row r="337" spans="2:5" ht="16.5" customHeight="1">
      <c r="B337" s="17"/>
      <c r="D337" s="17"/>
      <c r="E337" s="17"/>
    </row>
    <row r="338" spans="2:5" ht="16.5" customHeight="1">
      <c r="B338" s="17"/>
      <c r="D338" s="17"/>
      <c r="E338" s="17"/>
    </row>
    <row r="339" spans="2:5" ht="16.5" customHeight="1">
      <c r="B339" s="17"/>
      <c r="D339" s="17"/>
      <c r="E339" s="17"/>
    </row>
    <row r="340" spans="2:5" ht="16.5" customHeight="1">
      <c r="B340" s="17"/>
      <c r="D340" s="17"/>
      <c r="E340" s="17"/>
    </row>
    <row r="341" spans="2:5" ht="16.5" customHeight="1">
      <c r="B341" s="17"/>
      <c r="D341" s="17"/>
      <c r="E341" s="17"/>
    </row>
    <row r="342" spans="2:5" ht="16.5" customHeight="1">
      <c r="B342" s="17"/>
      <c r="D342" s="17"/>
      <c r="E342" s="17"/>
    </row>
    <row r="343" spans="2:5" ht="16.5" customHeight="1">
      <c r="B343" s="17"/>
      <c r="D343" s="17"/>
      <c r="E343" s="17"/>
    </row>
    <row r="344" spans="2:5" ht="16.5" customHeight="1">
      <c r="B344" s="17"/>
      <c r="D344" s="17"/>
      <c r="E344" s="17"/>
    </row>
    <row r="345" spans="2:5" ht="16.5" customHeight="1">
      <c r="B345" s="17"/>
      <c r="D345" s="17"/>
      <c r="E345" s="17"/>
    </row>
    <row r="346" spans="2:5" ht="16.5" customHeight="1">
      <c r="B346" s="17"/>
      <c r="D346" s="17"/>
      <c r="E346" s="17"/>
    </row>
    <row r="347" spans="2:5" ht="16.5" customHeight="1">
      <c r="B347" s="17"/>
      <c r="D347" s="17"/>
      <c r="E347" s="17"/>
    </row>
    <row r="348" spans="2:5" ht="16.5" customHeight="1">
      <c r="B348" s="17"/>
      <c r="D348" s="17"/>
      <c r="E348" s="17"/>
    </row>
    <row r="349" spans="2:5" ht="16.5" customHeight="1">
      <c r="B349" s="17"/>
      <c r="D349" s="17"/>
      <c r="E349" s="17"/>
    </row>
    <row r="350" spans="2:5" ht="16.5" customHeight="1">
      <c r="B350" s="17"/>
      <c r="D350" s="17"/>
      <c r="E350" s="17"/>
    </row>
    <row r="351" spans="2:5" ht="16.5" customHeight="1">
      <c r="B351" s="17"/>
      <c r="D351" s="17"/>
      <c r="E351" s="17"/>
    </row>
    <row r="352" spans="2:5" ht="16.5" customHeight="1">
      <c r="B352" s="17"/>
      <c r="D352" s="17"/>
      <c r="E352" s="17"/>
    </row>
    <row r="353" spans="2:5" ht="16.5" customHeight="1">
      <c r="B353" s="17"/>
      <c r="D353" s="17"/>
      <c r="E353" s="17"/>
    </row>
    <row r="354" spans="2:5" ht="16.5" customHeight="1">
      <c r="B354" s="17"/>
      <c r="D354" s="17"/>
      <c r="E354" s="17"/>
    </row>
    <row r="355" spans="2:5" ht="16.5" customHeight="1">
      <c r="B355" s="17"/>
      <c r="D355" s="17"/>
      <c r="E355" s="17"/>
    </row>
    <row r="356" spans="2:5" ht="16.5" customHeight="1">
      <c r="B356" s="17"/>
      <c r="D356" s="17"/>
      <c r="E356" s="17"/>
    </row>
    <row r="357" spans="2:5" ht="16.5" customHeight="1">
      <c r="B357" s="17"/>
      <c r="D357" s="17"/>
      <c r="E357" s="17"/>
    </row>
    <row r="358" spans="2:5" ht="16.5" customHeight="1">
      <c r="B358" s="17"/>
      <c r="D358" s="17"/>
      <c r="E358" s="17"/>
    </row>
    <row r="359" spans="2:5" ht="16.5" customHeight="1">
      <c r="B359" s="17"/>
      <c r="D359" s="17"/>
      <c r="E359" s="17"/>
    </row>
    <row r="360" spans="2:5" ht="16.5" customHeight="1">
      <c r="B360" s="17"/>
      <c r="D360" s="17"/>
      <c r="E360" s="17"/>
    </row>
    <row r="361" spans="2:5" ht="16.5" customHeight="1">
      <c r="B361" s="17"/>
      <c r="D361" s="17"/>
      <c r="E361" s="17"/>
    </row>
    <row r="362" spans="2:5" ht="16.5" customHeight="1">
      <c r="B362" s="17"/>
      <c r="D362" s="17"/>
      <c r="E362" s="17"/>
    </row>
    <row r="363" spans="2:5" ht="16.5" customHeight="1">
      <c r="B363" s="17"/>
      <c r="D363" s="17"/>
      <c r="E363" s="17"/>
    </row>
    <row r="364" spans="2:5" ht="16.5" customHeight="1">
      <c r="B364" s="17"/>
      <c r="D364" s="17"/>
      <c r="E364" s="17"/>
    </row>
    <row r="365" spans="2:5" ht="16.5" customHeight="1">
      <c r="B365" s="17"/>
      <c r="D365" s="17"/>
      <c r="E365" s="17"/>
    </row>
    <row r="366" spans="2:5" ht="16.5" customHeight="1">
      <c r="B366" s="17"/>
      <c r="D366" s="17"/>
      <c r="E366" s="17"/>
    </row>
    <row r="367" spans="2:5" ht="16.5" customHeight="1">
      <c r="B367" s="17"/>
      <c r="D367" s="17"/>
      <c r="E367" s="17"/>
    </row>
    <row r="368" spans="2:5" ht="16.5" customHeight="1">
      <c r="B368" s="17"/>
      <c r="D368" s="17"/>
      <c r="E368" s="17"/>
    </row>
    <row r="369" spans="2:5" ht="16.5" customHeight="1">
      <c r="B369" s="17"/>
      <c r="D369" s="17"/>
      <c r="E369" s="17"/>
    </row>
    <row r="370" spans="2:5" ht="16.5" customHeight="1">
      <c r="B370" s="17"/>
      <c r="D370" s="17"/>
      <c r="E370" s="17"/>
    </row>
    <row r="371" spans="2:5" ht="16.5" customHeight="1">
      <c r="B371" s="17"/>
      <c r="D371" s="17"/>
      <c r="E371" s="17"/>
    </row>
    <row r="372" spans="2:5" ht="16.5" customHeight="1">
      <c r="B372" s="17"/>
      <c r="D372" s="17"/>
      <c r="E372" s="17"/>
    </row>
    <row r="373" spans="2:5" ht="16.5" customHeight="1">
      <c r="B373" s="17"/>
      <c r="D373" s="17"/>
      <c r="E373" s="17"/>
    </row>
    <row r="374" spans="2:5" ht="16.5" customHeight="1">
      <c r="B374" s="17"/>
      <c r="D374" s="17"/>
      <c r="E374" s="17"/>
    </row>
    <row r="375" spans="2:5" ht="16.5" customHeight="1">
      <c r="B375" s="17"/>
      <c r="D375" s="17"/>
      <c r="E375" s="17"/>
    </row>
    <row r="376" spans="2:5" ht="16.5" customHeight="1">
      <c r="B376" s="17"/>
      <c r="D376" s="17"/>
      <c r="E376" s="17"/>
    </row>
    <row r="377" spans="2:5" ht="16.5" customHeight="1">
      <c r="B377" s="17"/>
      <c r="D377" s="17"/>
      <c r="E377" s="17"/>
    </row>
    <row r="378" spans="2:5" ht="16.5" customHeight="1">
      <c r="B378" s="17"/>
      <c r="D378" s="17"/>
      <c r="E378" s="17"/>
    </row>
    <row r="379" spans="2:5" ht="16.5" customHeight="1">
      <c r="B379" s="17"/>
      <c r="D379" s="17"/>
      <c r="E379" s="17"/>
    </row>
    <row r="380" spans="2:5" ht="16.5" customHeight="1">
      <c r="B380" s="17"/>
      <c r="D380" s="17"/>
      <c r="E380" s="17"/>
    </row>
    <row r="381" spans="2:5" ht="16.5" customHeight="1">
      <c r="B381" s="17"/>
      <c r="D381" s="17"/>
      <c r="E381" s="17"/>
    </row>
    <row r="382" spans="2:5" ht="16.5" customHeight="1">
      <c r="B382" s="17"/>
      <c r="D382" s="17"/>
      <c r="E382" s="17"/>
    </row>
    <row r="383" spans="2:5" ht="16.5" customHeight="1">
      <c r="B383" s="17"/>
      <c r="D383" s="17"/>
      <c r="E383" s="17"/>
    </row>
    <row r="384" spans="2:5" ht="16.5" customHeight="1">
      <c r="B384" s="17"/>
      <c r="D384" s="17"/>
      <c r="E384" s="17"/>
    </row>
    <row r="385" spans="2:5" ht="16.5" customHeight="1">
      <c r="B385" s="17"/>
      <c r="D385" s="17"/>
      <c r="E385" s="17"/>
    </row>
    <row r="386" spans="2:5" ht="16.5" customHeight="1">
      <c r="B386" s="17"/>
      <c r="D386" s="17"/>
      <c r="E386" s="17"/>
    </row>
    <row r="387" spans="2:5" ht="16.5" customHeight="1">
      <c r="B387" s="17"/>
      <c r="D387" s="17"/>
      <c r="E387" s="17"/>
    </row>
    <row r="388" spans="2:5" ht="16.5" customHeight="1">
      <c r="B388" s="17"/>
      <c r="D388" s="17"/>
      <c r="E388" s="17"/>
    </row>
    <row r="389" spans="2:5" ht="16.5" customHeight="1">
      <c r="B389" s="17"/>
      <c r="D389" s="17"/>
      <c r="E389" s="17"/>
    </row>
    <row r="390" spans="2:5" ht="16.5" customHeight="1">
      <c r="B390" s="17"/>
      <c r="D390" s="17"/>
      <c r="E390" s="17"/>
    </row>
    <row r="391" spans="2:5" ht="16.5" customHeight="1">
      <c r="B391" s="17"/>
      <c r="D391" s="17"/>
      <c r="E391" s="17"/>
    </row>
    <row r="392" spans="2:5" ht="16.5" customHeight="1">
      <c r="B392" s="17"/>
      <c r="D392" s="17"/>
      <c r="E392" s="17"/>
    </row>
    <row r="393" spans="2:5" ht="16.5" customHeight="1">
      <c r="B393" s="17"/>
      <c r="D393" s="17"/>
      <c r="E393" s="17"/>
    </row>
    <row r="394" spans="2:5" ht="16.5" customHeight="1">
      <c r="B394" s="17"/>
      <c r="D394" s="17"/>
      <c r="E394" s="17"/>
    </row>
    <row r="395" spans="2:5" ht="16.5" customHeight="1">
      <c r="B395" s="17"/>
      <c r="D395" s="17"/>
      <c r="E395" s="17"/>
    </row>
    <row r="396" spans="2:5" ht="16.5" customHeight="1">
      <c r="B396" s="17"/>
      <c r="D396" s="17"/>
      <c r="E396" s="17"/>
    </row>
    <row r="397" spans="2:5" ht="16.5" customHeight="1">
      <c r="B397" s="17"/>
      <c r="D397" s="17"/>
      <c r="E397" s="17"/>
    </row>
    <row r="398" spans="2:5" ht="16.5" customHeight="1">
      <c r="B398" s="17"/>
      <c r="D398" s="17"/>
      <c r="E398" s="17"/>
    </row>
    <row r="399" spans="2:5" ht="16.5" customHeight="1">
      <c r="B399" s="17"/>
      <c r="D399" s="17"/>
      <c r="E399" s="17"/>
    </row>
    <row r="400" spans="2:5" ht="16.5" customHeight="1">
      <c r="B400" s="17"/>
      <c r="D400" s="17"/>
      <c r="E400" s="17"/>
    </row>
    <row r="401" spans="2:5" ht="16.5" customHeight="1">
      <c r="B401" s="17"/>
      <c r="D401" s="17"/>
      <c r="E401" s="17"/>
    </row>
    <row r="402" spans="2:5" ht="16.5" customHeight="1">
      <c r="B402" s="17"/>
      <c r="D402" s="17"/>
      <c r="E402" s="17"/>
    </row>
    <row r="403" spans="2:5" ht="16.5" customHeight="1">
      <c r="B403" s="17"/>
      <c r="D403" s="17"/>
      <c r="E403" s="17"/>
    </row>
    <row r="404" spans="2:5" ht="16.5" customHeight="1">
      <c r="B404" s="17"/>
      <c r="D404" s="17"/>
      <c r="E404" s="17"/>
    </row>
    <row r="405" spans="2:5" ht="16.5" customHeight="1">
      <c r="B405" s="17"/>
      <c r="D405" s="17"/>
      <c r="E405" s="17"/>
    </row>
    <row r="406" spans="2:5" ht="16.5" customHeight="1">
      <c r="B406" s="17"/>
      <c r="D406" s="17"/>
      <c r="E406" s="17"/>
    </row>
    <row r="407" spans="2:5" ht="16.5" customHeight="1">
      <c r="B407" s="17"/>
      <c r="D407" s="17"/>
      <c r="E407" s="17"/>
    </row>
    <row r="408" spans="2:5" ht="16.5" customHeight="1">
      <c r="B408" s="17"/>
      <c r="D408" s="17"/>
      <c r="E408" s="17"/>
    </row>
    <row r="409" spans="2:5" ht="16.5" customHeight="1">
      <c r="B409" s="17"/>
      <c r="D409" s="17"/>
      <c r="E409" s="17"/>
    </row>
    <row r="410" spans="2:5" ht="16.5" customHeight="1">
      <c r="B410" s="17"/>
      <c r="D410" s="17"/>
      <c r="E410" s="17"/>
    </row>
    <row r="411" spans="2:5" ht="16.5" customHeight="1">
      <c r="B411" s="17"/>
      <c r="D411" s="17"/>
      <c r="E411" s="17"/>
    </row>
    <row r="412" spans="2:5" ht="16.5" customHeight="1">
      <c r="B412" s="17"/>
      <c r="D412" s="17"/>
      <c r="E412" s="17"/>
    </row>
    <row r="413" spans="2:5" ht="16.5" customHeight="1">
      <c r="B413" s="17"/>
      <c r="D413" s="17"/>
      <c r="E413" s="17"/>
    </row>
    <row r="414" spans="2:5" ht="16.5" customHeight="1">
      <c r="B414" s="17"/>
      <c r="D414" s="17"/>
      <c r="E414" s="17"/>
    </row>
    <row r="415" spans="2:5" ht="16.5" customHeight="1">
      <c r="B415" s="17"/>
      <c r="D415" s="17"/>
      <c r="E415" s="17"/>
    </row>
    <row r="416" spans="2:5" ht="16.5" customHeight="1">
      <c r="B416" s="17"/>
      <c r="D416" s="17"/>
      <c r="E416" s="17"/>
    </row>
    <row r="417" spans="2:5" ht="16.5" customHeight="1">
      <c r="B417" s="17"/>
      <c r="D417" s="17"/>
      <c r="E417" s="17"/>
    </row>
    <row r="418" spans="2:5" ht="16.5" customHeight="1">
      <c r="B418" s="17"/>
      <c r="D418" s="17"/>
      <c r="E418" s="17"/>
    </row>
    <row r="419" spans="2:5" ht="16.5" customHeight="1">
      <c r="B419" s="17"/>
      <c r="D419" s="17"/>
      <c r="E419" s="17"/>
    </row>
    <row r="420" spans="2:5" ht="16.5" customHeight="1">
      <c r="B420" s="17"/>
      <c r="D420" s="17"/>
      <c r="E420" s="17"/>
    </row>
    <row r="421" spans="2:5" ht="16.5" customHeight="1">
      <c r="B421" s="17"/>
      <c r="D421" s="17"/>
      <c r="E421" s="17"/>
    </row>
    <row r="422" spans="2:5" ht="16.5" customHeight="1">
      <c r="B422" s="17"/>
      <c r="D422" s="17"/>
      <c r="E422" s="17"/>
    </row>
    <row r="423" spans="2:5" ht="16.5" customHeight="1">
      <c r="B423" s="17"/>
      <c r="D423" s="17"/>
      <c r="E423" s="17"/>
    </row>
    <row r="424" spans="2:5" ht="16.5" customHeight="1">
      <c r="B424" s="17"/>
      <c r="D424" s="17"/>
      <c r="E424" s="17"/>
    </row>
    <row r="425" spans="2:5" ht="16.5" customHeight="1">
      <c r="B425" s="17"/>
      <c r="D425" s="17"/>
      <c r="E425" s="17"/>
    </row>
    <row r="426" spans="2:5" ht="16.5" customHeight="1">
      <c r="B426" s="17"/>
      <c r="D426" s="17"/>
      <c r="E426" s="17"/>
    </row>
    <row r="427" spans="2:5" ht="16.5" customHeight="1">
      <c r="B427" s="17"/>
      <c r="D427" s="17"/>
      <c r="E427" s="17"/>
    </row>
    <row r="428" spans="2:5" ht="16.5" customHeight="1">
      <c r="B428" s="17"/>
      <c r="D428" s="17"/>
      <c r="E428" s="17"/>
    </row>
    <row r="429" spans="2:5" ht="16.5" customHeight="1">
      <c r="B429" s="17"/>
      <c r="D429" s="17"/>
      <c r="E429" s="17"/>
    </row>
    <row r="430" spans="2:5" ht="16.5" customHeight="1">
      <c r="B430" s="17"/>
      <c r="D430" s="17"/>
      <c r="E430" s="17"/>
    </row>
    <row r="431" spans="2:5" ht="16.5" customHeight="1">
      <c r="B431" s="17"/>
      <c r="D431" s="17"/>
      <c r="E431" s="17"/>
    </row>
    <row r="432" spans="2:5" ht="16.5" customHeight="1">
      <c r="B432" s="17"/>
      <c r="D432" s="17"/>
      <c r="E432" s="17"/>
    </row>
    <row r="433" spans="2:5" ht="16.5" customHeight="1">
      <c r="B433" s="17"/>
      <c r="D433" s="17"/>
      <c r="E433" s="17"/>
    </row>
    <row r="434" spans="2:5" ht="16.5" customHeight="1">
      <c r="B434" s="17"/>
      <c r="D434" s="17"/>
      <c r="E434" s="17"/>
    </row>
    <row r="435" spans="2:5" ht="16.5" customHeight="1">
      <c r="B435" s="17"/>
      <c r="D435" s="17"/>
      <c r="E435" s="17"/>
    </row>
    <row r="436" spans="2:5" ht="16.5" customHeight="1">
      <c r="B436" s="17"/>
      <c r="D436" s="17"/>
      <c r="E436" s="17"/>
    </row>
    <row r="437" spans="2:5" ht="16.5" customHeight="1">
      <c r="B437" s="17"/>
      <c r="D437" s="17"/>
      <c r="E437" s="17"/>
    </row>
    <row r="438" spans="2:5" ht="16.5" customHeight="1">
      <c r="B438" s="17"/>
      <c r="D438" s="17"/>
      <c r="E438" s="17"/>
    </row>
    <row r="439" spans="2:5" ht="16.5" customHeight="1">
      <c r="B439" s="17"/>
      <c r="D439" s="17"/>
      <c r="E439" s="17"/>
    </row>
    <row r="440" spans="2:5" ht="16.5" customHeight="1">
      <c r="B440" s="17"/>
      <c r="D440" s="17"/>
      <c r="E440" s="17"/>
    </row>
    <row r="441" spans="2:5" ht="16.5" customHeight="1">
      <c r="B441" s="17"/>
      <c r="D441" s="17"/>
      <c r="E441" s="17"/>
    </row>
    <row r="442" spans="2:5" ht="16.5" customHeight="1">
      <c r="B442" s="17"/>
      <c r="D442" s="17"/>
      <c r="E442" s="17"/>
    </row>
    <row r="443" spans="2:5" ht="16.5" customHeight="1">
      <c r="B443" s="17"/>
      <c r="D443" s="17"/>
      <c r="E443" s="17"/>
    </row>
    <row r="444" spans="2:5" ht="16.5" customHeight="1">
      <c r="B444" s="17"/>
      <c r="D444" s="17"/>
      <c r="E444" s="17"/>
    </row>
    <row r="445" spans="2:5" ht="16.5" customHeight="1">
      <c r="B445" s="17"/>
      <c r="D445" s="17"/>
      <c r="E445" s="17"/>
    </row>
    <row r="446" spans="2:5" ht="16.5" customHeight="1">
      <c r="B446" s="17"/>
      <c r="D446" s="17"/>
      <c r="E446" s="17"/>
    </row>
    <row r="447" spans="2:5" ht="16.5" customHeight="1">
      <c r="B447" s="17"/>
      <c r="D447" s="17"/>
      <c r="E447" s="17"/>
    </row>
    <row r="448" spans="2:5" ht="16.5" customHeight="1">
      <c r="B448" s="17"/>
      <c r="D448" s="17"/>
      <c r="E448" s="17"/>
    </row>
    <row r="449" spans="2:5" ht="16.5" customHeight="1">
      <c r="B449" s="17"/>
      <c r="D449" s="17"/>
      <c r="E449" s="17"/>
    </row>
    <row r="450" spans="2:5" ht="16.5" customHeight="1">
      <c r="B450" s="17"/>
      <c r="D450" s="17"/>
      <c r="E450" s="17"/>
    </row>
    <row r="451" spans="2:5" ht="16.5" customHeight="1">
      <c r="B451" s="17"/>
      <c r="D451" s="17"/>
      <c r="E451" s="17"/>
    </row>
    <row r="452" spans="2:5" ht="16.5" customHeight="1">
      <c r="B452" s="17"/>
      <c r="D452" s="17"/>
      <c r="E452" s="17"/>
    </row>
    <row r="453" spans="2:5" ht="16.5" customHeight="1">
      <c r="B453" s="17"/>
      <c r="D453" s="17"/>
      <c r="E453" s="17"/>
    </row>
    <row r="454" spans="2:5" ht="16.5" customHeight="1">
      <c r="B454" s="17"/>
      <c r="D454" s="17"/>
      <c r="E454" s="17"/>
    </row>
    <row r="455" spans="2:5" ht="16.5" customHeight="1">
      <c r="B455" s="17"/>
      <c r="D455" s="17"/>
      <c r="E455" s="17"/>
    </row>
    <row r="456" spans="2:5" ht="16.5" customHeight="1">
      <c r="B456" s="17"/>
      <c r="D456" s="17"/>
      <c r="E456" s="17"/>
    </row>
    <row r="457" spans="2:5" ht="16.5" customHeight="1">
      <c r="B457" s="17"/>
      <c r="D457" s="17"/>
      <c r="E457" s="17"/>
    </row>
    <row r="458" spans="2:5" ht="16.5" customHeight="1">
      <c r="B458" s="17"/>
      <c r="D458" s="17"/>
      <c r="E458" s="17"/>
    </row>
    <row r="459" spans="2:5" ht="16.5" customHeight="1">
      <c r="B459" s="17"/>
      <c r="D459" s="17"/>
      <c r="E459" s="17"/>
    </row>
    <row r="460" spans="2:5" ht="16.5" customHeight="1">
      <c r="B460" s="17"/>
      <c r="D460" s="17"/>
      <c r="E460" s="17"/>
    </row>
    <row r="461" spans="2:5" ht="16.5" customHeight="1">
      <c r="B461" s="17"/>
      <c r="D461" s="17"/>
      <c r="E461" s="17"/>
    </row>
    <row r="462" spans="2:5" ht="16.5" customHeight="1">
      <c r="B462" s="17"/>
      <c r="D462" s="17"/>
      <c r="E462" s="17"/>
    </row>
    <row r="463" spans="2:5" ht="16.5" customHeight="1">
      <c r="B463" s="17"/>
      <c r="D463" s="17"/>
      <c r="E463" s="17"/>
    </row>
    <row r="464" spans="2:5" ht="16.5" customHeight="1">
      <c r="B464" s="17"/>
      <c r="D464" s="17"/>
      <c r="E464" s="17"/>
    </row>
    <row r="465" spans="2:5" ht="16.5" customHeight="1">
      <c r="B465" s="17"/>
      <c r="D465" s="17"/>
      <c r="E465" s="17"/>
    </row>
    <row r="466" spans="2:5" ht="16.5" customHeight="1">
      <c r="B466" s="17"/>
      <c r="D466" s="17"/>
      <c r="E466" s="17"/>
    </row>
    <row r="467" spans="2:5" ht="16.5" customHeight="1">
      <c r="B467" s="17"/>
      <c r="D467" s="17"/>
      <c r="E467" s="17"/>
    </row>
    <row r="468" spans="2:5" ht="16.5" customHeight="1">
      <c r="B468" s="17"/>
      <c r="D468" s="17"/>
      <c r="E468" s="17"/>
    </row>
    <row r="469" spans="2:5" ht="16.5" customHeight="1">
      <c r="B469" s="17"/>
      <c r="D469" s="17"/>
      <c r="E469" s="17"/>
    </row>
    <row r="470" spans="2:5" ht="16.5" customHeight="1">
      <c r="B470" s="17"/>
      <c r="D470" s="17"/>
      <c r="E470" s="17"/>
    </row>
    <row r="471" spans="2:5" ht="16.5" customHeight="1">
      <c r="B471" s="17"/>
      <c r="D471" s="17"/>
      <c r="E471" s="17"/>
    </row>
    <row r="472" spans="2:5" ht="16.5" customHeight="1">
      <c r="B472" s="17"/>
      <c r="D472" s="17"/>
      <c r="E472" s="17"/>
    </row>
    <row r="473" spans="2:5" ht="16.5" customHeight="1">
      <c r="B473" s="17"/>
      <c r="D473" s="17"/>
      <c r="E473" s="17"/>
    </row>
    <row r="474" spans="2:5" ht="16.5" customHeight="1">
      <c r="B474" s="17"/>
      <c r="D474" s="17"/>
      <c r="E474" s="17"/>
    </row>
    <row r="475" spans="2:5" ht="16.5" customHeight="1">
      <c r="B475" s="17"/>
      <c r="D475" s="17"/>
      <c r="E475" s="17"/>
    </row>
    <row r="476" spans="2:5" ht="16.5" customHeight="1">
      <c r="B476" s="17"/>
      <c r="D476" s="17"/>
      <c r="E476" s="17"/>
    </row>
    <row r="477" spans="2:5" ht="16.5" customHeight="1">
      <c r="B477" s="17"/>
      <c r="D477" s="17"/>
      <c r="E477" s="17"/>
    </row>
    <row r="478" spans="2:5" ht="16.5" customHeight="1">
      <c r="B478" s="17"/>
      <c r="D478" s="17"/>
      <c r="E478" s="17"/>
    </row>
    <row r="479" spans="2:5" ht="16.5" customHeight="1">
      <c r="B479" s="17"/>
      <c r="D479" s="17"/>
      <c r="E479" s="17"/>
    </row>
    <row r="480" spans="2:5" ht="16.5" customHeight="1">
      <c r="B480" s="17"/>
      <c r="D480" s="17"/>
      <c r="E480" s="17"/>
    </row>
    <row r="481" spans="2:5" ht="16.5" customHeight="1">
      <c r="B481" s="17"/>
      <c r="D481" s="17"/>
      <c r="E481" s="17"/>
    </row>
    <row r="482" spans="2:5" ht="16.5" customHeight="1">
      <c r="B482" s="17"/>
      <c r="D482" s="17"/>
      <c r="E482" s="17"/>
    </row>
    <row r="483" spans="2:5" ht="16.5" customHeight="1">
      <c r="B483" s="17"/>
      <c r="D483" s="17"/>
      <c r="E483" s="17"/>
    </row>
    <row r="484" spans="2:5" ht="16.5" customHeight="1">
      <c r="B484" s="17"/>
      <c r="D484" s="17"/>
      <c r="E484" s="17"/>
    </row>
    <row r="485" spans="2:5" ht="16.5" customHeight="1">
      <c r="B485" s="17"/>
      <c r="D485" s="17"/>
      <c r="E485" s="17"/>
    </row>
    <row r="486" spans="2:5" ht="16.5" customHeight="1">
      <c r="B486" s="17"/>
      <c r="D486" s="17"/>
      <c r="E486" s="17"/>
    </row>
    <row r="487" spans="2:5" ht="16.5" customHeight="1">
      <c r="B487" s="17"/>
      <c r="D487" s="17"/>
      <c r="E487" s="17"/>
    </row>
    <row r="488" spans="2:5" ht="16.5" customHeight="1">
      <c r="B488" s="17"/>
      <c r="D488" s="17"/>
      <c r="E488" s="17"/>
    </row>
    <row r="489" spans="2:5" ht="16.5" customHeight="1">
      <c r="B489" s="17"/>
      <c r="D489" s="17"/>
      <c r="E489" s="17"/>
    </row>
    <row r="490" spans="2:5" ht="16.5" customHeight="1">
      <c r="B490" s="17"/>
      <c r="D490" s="17"/>
      <c r="E490" s="17"/>
    </row>
    <row r="491" spans="2:5" ht="16.5" customHeight="1">
      <c r="B491" s="17"/>
      <c r="D491" s="17"/>
      <c r="E491" s="17"/>
    </row>
    <row r="492" spans="2:5" ht="16.5" customHeight="1">
      <c r="B492" s="17"/>
      <c r="D492" s="17"/>
      <c r="E492" s="17"/>
    </row>
    <row r="493" spans="2:5" ht="16.5" customHeight="1">
      <c r="B493" s="17"/>
      <c r="D493" s="17"/>
      <c r="E493" s="17"/>
    </row>
    <row r="494" spans="2:5" ht="16.5" customHeight="1">
      <c r="B494" s="17"/>
      <c r="D494" s="17"/>
      <c r="E494" s="17"/>
    </row>
    <row r="495" spans="2:5" ht="16.5" customHeight="1">
      <c r="B495" s="17"/>
      <c r="D495" s="17"/>
      <c r="E495" s="17"/>
    </row>
    <row r="496" spans="2:5" ht="16.5" customHeight="1">
      <c r="B496" s="17"/>
      <c r="D496" s="17"/>
      <c r="E496" s="17"/>
    </row>
    <row r="497" spans="2:5" ht="16.5" customHeight="1">
      <c r="B497" s="17"/>
      <c r="D497" s="17"/>
      <c r="E497" s="17"/>
    </row>
    <row r="498" spans="2:5" ht="16.5" customHeight="1">
      <c r="B498" s="17"/>
      <c r="D498" s="17"/>
      <c r="E498" s="17"/>
    </row>
    <row r="499" spans="2:5" ht="16.5" customHeight="1">
      <c r="B499" s="17"/>
      <c r="D499" s="17"/>
      <c r="E499" s="17"/>
    </row>
    <row r="500" spans="2:5" ht="16.5" customHeight="1">
      <c r="B500" s="17"/>
      <c r="D500" s="17"/>
      <c r="E500" s="17"/>
    </row>
    <row r="501" spans="2:5" ht="16.5" customHeight="1">
      <c r="B501" s="17"/>
      <c r="D501" s="17"/>
      <c r="E501" s="17"/>
    </row>
    <row r="502" spans="2:5" ht="16.5" customHeight="1">
      <c r="B502" s="17"/>
      <c r="D502" s="17"/>
      <c r="E502" s="17"/>
    </row>
    <row r="503" spans="2:5" ht="16.5" customHeight="1">
      <c r="B503" s="17"/>
      <c r="D503" s="17"/>
      <c r="E503" s="17"/>
    </row>
    <row r="504" spans="2:5" ht="16.5" customHeight="1">
      <c r="B504" s="17"/>
      <c r="D504" s="17"/>
      <c r="E504" s="17"/>
    </row>
    <row r="505" spans="2:5" ht="16.5" customHeight="1">
      <c r="B505" s="17"/>
      <c r="D505" s="17"/>
      <c r="E505" s="17"/>
    </row>
    <row r="506" spans="2:5" ht="16.5" customHeight="1">
      <c r="B506" s="17"/>
      <c r="D506" s="17"/>
      <c r="E506" s="17"/>
    </row>
    <row r="507" spans="2:5" ht="16.5" customHeight="1">
      <c r="B507" s="17"/>
      <c r="D507" s="17"/>
      <c r="E507" s="17"/>
    </row>
    <row r="508" spans="2:5" ht="16.5" customHeight="1">
      <c r="B508" s="17"/>
      <c r="D508" s="17"/>
      <c r="E508" s="17"/>
    </row>
    <row r="509" spans="2:5" ht="16.5" customHeight="1">
      <c r="B509" s="17"/>
      <c r="D509" s="17"/>
      <c r="E509" s="17"/>
    </row>
    <row r="510" spans="2:5" ht="16.5" customHeight="1">
      <c r="B510" s="17"/>
      <c r="D510" s="17"/>
      <c r="E510" s="17"/>
    </row>
    <row r="511" spans="2:5" ht="16.5" customHeight="1">
      <c r="B511" s="17"/>
      <c r="D511" s="17"/>
      <c r="E511" s="17"/>
    </row>
    <row r="512" spans="2:5" ht="16.5" customHeight="1">
      <c r="B512" s="17"/>
      <c r="D512" s="17"/>
      <c r="E512" s="17"/>
    </row>
    <row r="513" spans="2:5" ht="16.5" customHeight="1">
      <c r="B513" s="17"/>
      <c r="D513" s="17"/>
      <c r="E513" s="17"/>
    </row>
    <row r="514" spans="2:5" ht="16.5" customHeight="1">
      <c r="B514" s="17"/>
      <c r="D514" s="17"/>
      <c r="E514" s="17"/>
    </row>
    <row r="515" spans="2:5" ht="16.5" customHeight="1">
      <c r="B515" s="17"/>
      <c r="D515" s="17"/>
      <c r="E515" s="17"/>
    </row>
    <row r="516" spans="2:5" ht="16.5" customHeight="1">
      <c r="B516" s="17"/>
      <c r="D516" s="17"/>
      <c r="E516" s="17"/>
    </row>
    <row r="517" spans="2:5" ht="16.5" customHeight="1">
      <c r="B517" s="17"/>
      <c r="D517" s="17"/>
      <c r="E517" s="17"/>
    </row>
    <row r="518" spans="2:5" ht="16.5" customHeight="1">
      <c r="B518" s="17"/>
      <c r="D518" s="17"/>
      <c r="E518" s="17"/>
    </row>
    <row r="519" spans="2:5" ht="16.5" customHeight="1">
      <c r="B519" s="17"/>
      <c r="D519" s="17"/>
      <c r="E519" s="17"/>
    </row>
    <row r="520" spans="2:5" ht="16.5" customHeight="1">
      <c r="B520" s="17"/>
      <c r="D520" s="17"/>
      <c r="E520" s="17"/>
    </row>
    <row r="521" spans="2:5" ht="16.5" customHeight="1">
      <c r="B521" s="17"/>
      <c r="D521" s="17"/>
      <c r="E521" s="17"/>
    </row>
    <row r="522" spans="2:5" ht="16.5" customHeight="1">
      <c r="B522" s="17"/>
      <c r="D522" s="17"/>
      <c r="E522" s="17"/>
    </row>
    <row r="523" spans="2:5" ht="16.5" customHeight="1">
      <c r="B523" s="17"/>
      <c r="D523" s="17"/>
      <c r="E523" s="17"/>
    </row>
    <row r="524" spans="2:5" ht="16.5" customHeight="1">
      <c r="B524" s="17"/>
      <c r="D524" s="17"/>
      <c r="E524" s="17"/>
    </row>
    <row r="525" spans="2:5" ht="16.5" customHeight="1">
      <c r="B525" s="17"/>
      <c r="D525" s="17"/>
      <c r="E525" s="17"/>
    </row>
    <row r="526" spans="2:5" ht="16.5" customHeight="1">
      <c r="B526" s="17"/>
      <c r="D526" s="17"/>
      <c r="E526" s="17"/>
    </row>
    <row r="527" spans="2:5" ht="16.5" customHeight="1">
      <c r="B527" s="17"/>
      <c r="D527" s="17"/>
      <c r="E527" s="17"/>
    </row>
    <row r="528" spans="2:5" ht="16.5" customHeight="1">
      <c r="B528" s="17"/>
      <c r="D528" s="17"/>
      <c r="E528" s="17"/>
    </row>
    <row r="529" spans="2:5" ht="16.5" customHeight="1">
      <c r="B529" s="17"/>
      <c r="D529" s="17"/>
      <c r="E529" s="17"/>
    </row>
    <row r="530" spans="2:5" ht="16.5" customHeight="1">
      <c r="B530" s="17"/>
      <c r="D530" s="17"/>
      <c r="E530" s="17"/>
    </row>
    <row r="531" spans="2:5" ht="16.5" customHeight="1">
      <c r="B531" s="17"/>
      <c r="D531" s="17"/>
      <c r="E531" s="17"/>
    </row>
    <row r="532" spans="2:5" ht="16.5" customHeight="1">
      <c r="B532" s="17"/>
      <c r="D532" s="17"/>
      <c r="E532" s="17"/>
    </row>
    <row r="533" spans="2:5" ht="16.5" customHeight="1">
      <c r="B533" s="17"/>
      <c r="D533" s="17"/>
      <c r="E533" s="17"/>
    </row>
    <row r="534" spans="2:5" ht="16.5" customHeight="1">
      <c r="B534" s="17"/>
      <c r="D534" s="17"/>
      <c r="E534" s="17"/>
    </row>
    <row r="535" spans="2:5" ht="16.5" customHeight="1">
      <c r="B535" s="17"/>
      <c r="D535" s="17"/>
      <c r="E535" s="17"/>
    </row>
    <row r="536" spans="2:5" ht="16.5" customHeight="1">
      <c r="B536" s="17"/>
      <c r="D536" s="17"/>
      <c r="E536" s="17"/>
    </row>
    <row r="537" spans="2:5" ht="16.5" customHeight="1">
      <c r="B537" s="17"/>
      <c r="D537" s="17"/>
      <c r="E537" s="17"/>
    </row>
    <row r="538" spans="2:5" ht="16.5" customHeight="1">
      <c r="B538" s="17"/>
      <c r="D538" s="17"/>
      <c r="E538" s="17"/>
    </row>
    <row r="539" spans="2:5" ht="16.5" customHeight="1">
      <c r="B539" s="17"/>
      <c r="D539" s="17"/>
      <c r="E539" s="17"/>
    </row>
    <row r="540" spans="2:5" ht="16.5" customHeight="1">
      <c r="B540" s="17"/>
      <c r="D540" s="17"/>
      <c r="E540" s="17"/>
    </row>
    <row r="541" spans="2:5" ht="16.5" customHeight="1">
      <c r="B541" s="17"/>
      <c r="D541" s="17"/>
      <c r="E541" s="17"/>
    </row>
    <row r="542" spans="2:5" ht="16.5" customHeight="1">
      <c r="B542" s="17"/>
      <c r="D542" s="17"/>
      <c r="E542" s="17"/>
    </row>
    <row r="543" spans="2:5" ht="16.5" customHeight="1">
      <c r="B543" s="17"/>
      <c r="D543" s="17"/>
      <c r="E543" s="17"/>
    </row>
    <row r="544" spans="2:5" ht="16.5" customHeight="1">
      <c r="B544" s="17"/>
      <c r="D544" s="17"/>
      <c r="E544" s="17"/>
    </row>
    <row r="545" spans="2:5" ht="16.5" customHeight="1">
      <c r="B545" s="17"/>
      <c r="D545" s="17"/>
      <c r="E545" s="17"/>
    </row>
    <row r="546" spans="2:5" ht="16.5" customHeight="1">
      <c r="B546" s="17"/>
      <c r="D546" s="17"/>
      <c r="E546" s="17"/>
    </row>
    <row r="547" spans="2:5" ht="16.5" customHeight="1">
      <c r="B547" s="17"/>
      <c r="D547" s="17"/>
      <c r="E547" s="17"/>
    </row>
    <row r="548" spans="2:5" ht="16.5" customHeight="1">
      <c r="B548" s="17"/>
      <c r="D548" s="17"/>
      <c r="E548" s="17"/>
    </row>
    <row r="549" spans="2:5" ht="16.5" customHeight="1">
      <c r="B549" s="17"/>
      <c r="D549" s="17"/>
      <c r="E549" s="17"/>
    </row>
    <row r="550" spans="2:5" ht="16.5" customHeight="1">
      <c r="B550" s="17"/>
      <c r="D550" s="17"/>
      <c r="E550" s="17"/>
    </row>
    <row r="551" spans="2:5" ht="16.5" customHeight="1">
      <c r="B551" s="17"/>
      <c r="D551" s="17"/>
      <c r="E551" s="17"/>
    </row>
    <row r="552" spans="2:5" ht="16.5" customHeight="1">
      <c r="B552" s="17"/>
      <c r="D552" s="17"/>
      <c r="E552" s="17"/>
    </row>
    <row r="553" spans="2:5" ht="16.5" customHeight="1">
      <c r="B553" s="17"/>
      <c r="D553" s="17"/>
      <c r="E553" s="17"/>
    </row>
    <row r="554" spans="2:5" ht="16.5" customHeight="1">
      <c r="B554" s="17"/>
      <c r="D554" s="17"/>
      <c r="E554" s="17"/>
    </row>
    <row r="555" spans="2:5" ht="16.5" customHeight="1">
      <c r="B555" s="17"/>
      <c r="D555" s="17"/>
      <c r="E555" s="17"/>
    </row>
    <row r="556" spans="2:5" ht="16.5" customHeight="1">
      <c r="B556" s="17"/>
      <c r="D556" s="17"/>
      <c r="E556" s="17"/>
    </row>
    <row r="557" spans="2:5" ht="16.5" customHeight="1">
      <c r="B557" s="17"/>
      <c r="D557" s="17"/>
      <c r="E557" s="17"/>
    </row>
    <row r="558" spans="2:5" ht="16.5" customHeight="1">
      <c r="B558" s="17"/>
      <c r="D558" s="17"/>
      <c r="E558" s="17"/>
    </row>
    <row r="559" spans="2:5" ht="16.5" customHeight="1">
      <c r="B559" s="17"/>
      <c r="D559" s="17"/>
      <c r="E559" s="17"/>
    </row>
    <row r="560" spans="2:5" ht="16.5" customHeight="1">
      <c r="B560" s="17"/>
      <c r="D560" s="17"/>
      <c r="E560" s="17"/>
    </row>
    <row r="561" spans="2:5" ht="16.5" customHeight="1">
      <c r="B561" s="17"/>
      <c r="D561" s="17"/>
      <c r="E561" s="17"/>
    </row>
    <row r="562" spans="2:5" ht="16.5" customHeight="1">
      <c r="B562" s="17"/>
      <c r="D562" s="17"/>
      <c r="E562" s="17"/>
    </row>
    <row r="563" spans="2:5" ht="16.5" customHeight="1">
      <c r="B563" s="17"/>
      <c r="D563" s="17"/>
      <c r="E563" s="17"/>
    </row>
    <row r="564" spans="2:5" ht="16.5" customHeight="1">
      <c r="B564" s="17"/>
      <c r="D564" s="17"/>
      <c r="E564" s="17"/>
    </row>
    <row r="565" spans="2:5" ht="16.5" customHeight="1">
      <c r="B565" s="17"/>
      <c r="D565" s="17"/>
      <c r="E565" s="17"/>
    </row>
    <row r="566" spans="2:5" ht="16.5" customHeight="1">
      <c r="B566" s="17"/>
      <c r="D566" s="17"/>
      <c r="E566" s="17"/>
    </row>
    <row r="567" spans="2:5" ht="16.5" customHeight="1">
      <c r="B567" s="17"/>
      <c r="D567" s="17"/>
      <c r="E567" s="17"/>
    </row>
    <row r="568" spans="2:5" ht="16.5" customHeight="1">
      <c r="B568" s="17"/>
      <c r="D568" s="17"/>
      <c r="E568" s="17"/>
    </row>
    <row r="569" spans="2:5" ht="16.5" customHeight="1">
      <c r="B569" s="17"/>
      <c r="D569" s="17"/>
      <c r="E569" s="17"/>
    </row>
    <row r="570" spans="2:5" ht="16.5" customHeight="1">
      <c r="B570" s="17"/>
      <c r="D570" s="17"/>
      <c r="E570" s="17"/>
    </row>
    <row r="571" spans="2:5" ht="16.5" customHeight="1">
      <c r="B571" s="17"/>
      <c r="D571" s="17"/>
      <c r="E571" s="17"/>
    </row>
    <row r="572" spans="2:5" ht="16.5" customHeight="1">
      <c r="B572" s="17"/>
      <c r="D572" s="17"/>
      <c r="E572" s="17"/>
    </row>
    <row r="573" spans="2:5" ht="16.5" customHeight="1">
      <c r="B573" s="17"/>
      <c r="D573" s="17"/>
      <c r="E573" s="17"/>
    </row>
    <row r="574" spans="2:5" ht="16.5" customHeight="1">
      <c r="B574" s="17"/>
      <c r="D574" s="17"/>
      <c r="E574" s="17"/>
    </row>
    <row r="575" spans="2:5" ht="16.5" customHeight="1">
      <c r="B575" s="17"/>
      <c r="D575" s="17"/>
      <c r="E575" s="17"/>
    </row>
    <row r="576" spans="2:5" ht="16.5" customHeight="1">
      <c r="B576" s="17"/>
      <c r="D576" s="17"/>
      <c r="E576" s="17"/>
    </row>
    <row r="577" spans="2:5" ht="16.5" customHeight="1">
      <c r="B577" s="17"/>
      <c r="D577" s="17"/>
      <c r="E577" s="17"/>
    </row>
    <row r="578" spans="2:5" ht="16.5" customHeight="1">
      <c r="B578" s="17"/>
      <c r="D578" s="17"/>
      <c r="E578" s="17"/>
    </row>
    <row r="579" spans="2:5" ht="16.5" customHeight="1">
      <c r="B579" s="17"/>
      <c r="D579" s="17"/>
      <c r="E579" s="17"/>
    </row>
    <row r="580" spans="2:5" ht="16.5" customHeight="1">
      <c r="B580" s="17"/>
      <c r="D580" s="17"/>
      <c r="E580" s="17"/>
    </row>
    <row r="581" spans="2:5" ht="16.5" customHeight="1">
      <c r="B581" s="17"/>
      <c r="D581" s="17"/>
      <c r="E581" s="17"/>
    </row>
    <row r="582" spans="2:5" ht="16.5" customHeight="1">
      <c r="B582" s="17"/>
      <c r="D582" s="17"/>
      <c r="E582" s="17"/>
    </row>
    <row r="583" spans="2:5" ht="16.5" customHeight="1">
      <c r="B583" s="17"/>
      <c r="D583" s="17"/>
      <c r="E583" s="17"/>
    </row>
    <row r="584" spans="2:5" ht="16.5" customHeight="1">
      <c r="B584" s="17"/>
      <c r="D584" s="17"/>
      <c r="E584" s="17"/>
    </row>
    <row r="585" spans="2:5" ht="16.5" customHeight="1">
      <c r="B585" s="17"/>
      <c r="D585" s="17"/>
      <c r="E585" s="17"/>
    </row>
    <row r="586" spans="2:5" ht="16.5" customHeight="1">
      <c r="B586" s="17"/>
      <c r="D586" s="17"/>
      <c r="E586" s="17"/>
    </row>
    <row r="587" spans="2:5" ht="16.5" customHeight="1">
      <c r="B587" s="17"/>
      <c r="D587" s="17"/>
      <c r="E587" s="17"/>
    </row>
    <row r="588" spans="2:5" ht="16.5" customHeight="1">
      <c r="B588" s="17"/>
      <c r="D588" s="17"/>
      <c r="E588" s="17"/>
    </row>
    <row r="589" spans="2:5" ht="16.5" customHeight="1">
      <c r="B589" s="17"/>
      <c r="D589" s="17"/>
      <c r="E589" s="17"/>
    </row>
    <row r="590" spans="2:5" ht="16.5" customHeight="1">
      <c r="B590" s="17"/>
      <c r="D590" s="17"/>
      <c r="E590" s="17"/>
    </row>
    <row r="591" spans="2:5" ht="16.5" customHeight="1">
      <c r="B591" s="17"/>
      <c r="D591" s="17"/>
      <c r="E591" s="17"/>
    </row>
    <row r="592" spans="2:5" ht="16.5" customHeight="1">
      <c r="B592" s="17"/>
      <c r="D592" s="17"/>
      <c r="E592" s="17"/>
    </row>
    <row r="593" spans="2:5" ht="16.5" customHeight="1">
      <c r="B593" s="17"/>
      <c r="D593" s="17"/>
      <c r="E593" s="17"/>
    </row>
    <row r="594" spans="2:5" ht="16.5" customHeight="1">
      <c r="B594" s="17"/>
      <c r="D594" s="17"/>
      <c r="E594" s="17"/>
    </row>
    <row r="595" spans="2:5" ht="16.5" customHeight="1">
      <c r="B595" s="17"/>
      <c r="D595" s="17"/>
      <c r="E595" s="17"/>
    </row>
    <row r="596" spans="2:5" ht="16.5" customHeight="1">
      <c r="B596" s="17"/>
      <c r="D596" s="17"/>
      <c r="E596" s="17"/>
    </row>
    <row r="597" spans="2:5" ht="16.5" customHeight="1">
      <c r="B597" s="17"/>
      <c r="D597" s="17"/>
      <c r="E597" s="17"/>
    </row>
    <row r="598" spans="2:5" ht="16.5" customHeight="1">
      <c r="B598" s="17"/>
      <c r="D598" s="17"/>
      <c r="E598" s="17"/>
    </row>
    <row r="599" spans="2:5" ht="16.5" customHeight="1">
      <c r="B599" s="17"/>
      <c r="D599" s="17"/>
      <c r="E599" s="17"/>
    </row>
    <row r="600" spans="2:5" ht="16.5" customHeight="1">
      <c r="B600" s="17"/>
      <c r="D600" s="17"/>
      <c r="E600" s="17"/>
    </row>
    <row r="601" spans="2:5" ht="16.5" customHeight="1">
      <c r="B601" s="17"/>
      <c r="D601" s="17"/>
      <c r="E601" s="17"/>
    </row>
    <row r="602" spans="2:5" ht="16.5" customHeight="1">
      <c r="B602" s="17"/>
      <c r="D602" s="17"/>
      <c r="E602" s="17"/>
    </row>
    <row r="603" spans="2:5" ht="16.5" customHeight="1">
      <c r="B603" s="17"/>
      <c r="D603" s="17"/>
      <c r="E603" s="17"/>
    </row>
    <row r="604" spans="2:5" ht="16.5" customHeight="1">
      <c r="B604" s="17"/>
      <c r="D604" s="17"/>
      <c r="E604" s="17"/>
    </row>
    <row r="605" spans="2:5" ht="16.5" customHeight="1">
      <c r="B605" s="17"/>
      <c r="D605" s="17"/>
      <c r="E605" s="17"/>
    </row>
    <row r="606" spans="2:5" ht="16.5" customHeight="1">
      <c r="B606" s="17"/>
      <c r="D606" s="17"/>
      <c r="E606" s="17"/>
    </row>
    <row r="607" spans="2:5" ht="16.5" customHeight="1">
      <c r="B607" s="17"/>
      <c r="D607" s="17"/>
      <c r="E607" s="17"/>
    </row>
    <row r="608" spans="2:5" ht="16.5" customHeight="1">
      <c r="B608" s="17"/>
      <c r="D608" s="17"/>
      <c r="E608" s="17"/>
    </row>
    <row r="609" spans="2:5" ht="16.5" customHeight="1">
      <c r="B609" s="17"/>
      <c r="D609" s="17"/>
      <c r="E609" s="17"/>
    </row>
    <row r="610" spans="2:5" ht="16.5" customHeight="1">
      <c r="B610" s="17"/>
      <c r="D610" s="17"/>
      <c r="E610" s="17"/>
    </row>
    <row r="611" spans="2:5" ht="16.5" customHeight="1">
      <c r="B611" s="17"/>
      <c r="D611" s="17"/>
      <c r="E611" s="17"/>
    </row>
    <row r="612" spans="2:5" ht="16.5" customHeight="1">
      <c r="B612" s="17"/>
      <c r="D612" s="17"/>
      <c r="E612" s="17"/>
    </row>
    <row r="613" spans="2:5" ht="16.5" customHeight="1">
      <c r="B613" s="17"/>
      <c r="D613" s="17"/>
      <c r="E613" s="17"/>
    </row>
    <row r="614" spans="2:5" ht="16.5" customHeight="1">
      <c r="B614" s="17"/>
      <c r="D614" s="17"/>
      <c r="E614" s="17"/>
    </row>
    <row r="615" spans="2:5" ht="16.5" customHeight="1">
      <c r="B615" s="17"/>
      <c r="D615" s="17"/>
      <c r="E615" s="17"/>
    </row>
    <row r="616" spans="2:5" ht="16.5" customHeight="1">
      <c r="B616" s="17"/>
      <c r="D616" s="17"/>
      <c r="E616" s="17"/>
    </row>
    <row r="617" spans="2:5" ht="16.5" customHeight="1">
      <c r="B617" s="17"/>
      <c r="D617" s="17"/>
      <c r="E617" s="17"/>
    </row>
    <row r="618" spans="2:5" ht="16.5" customHeight="1">
      <c r="B618" s="17"/>
      <c r="D618" s="17"/>
      <c r="E618" s="17"/>
    </row>
    <row r="619" spans="2:5" ht="16.5" customHeight="1">
      <c r="B619" s="17"/>
      <c r="D619" s="17"/>
      <c r="E619" s="17"/>
    </row>
    <row r="620" spans="2:5" ht="16.5" customHeight="1">
      <c r="B620" s="17"/>
      <c r="D620" s="17"/>
      <c r="E620" s="17"/>
    </row>
    <row r="621" spans="2:5" ht="16.5" customHeight="1">
      <c r="B621" s="17"/>
      <c r="D621" s="17"/>
      <c r="E621" s="17"/>
    </row>
    <row r="622" spans="2:5" ht="16.5" customHeight="1">
      <c r="B622" s="17"/>
      <c r="D622" s="17"/>
      <c r="E622" s="17"/>
    </row>
    <row r="623" spans="2:5" ht="16.5" customHeight="1">
      <c r="B623" s="17"/>
      <c r="D623" s="17"/>
      <c r="E623" s="17"/>
    </row>
    <row r="624" spans="2:5" ht="16.5" customHeight="1">
      <c r="B624" s="17"/>
      <c r="D624" s="17"/>
      <c r="E624" s="17"/>
    </row>
    <row r="625" spans="2:5" ht="16.5" customHeight="1">
      <c r="B625" s="17"/>
      <c r="D625" s="17"/>
      <c r="E625" s="17"/>
    </row>
    <row r="626" spans="2:5" ht="16.5" customHeight="1">
      <c r="B626" s="17"/>
      <c r="D626" s="17"/>
      <c r="E626" s="17"/>
    </row>
    <row r="627" spans="2:5" ht="16.5" customHeight="1">
      <c r="B627" s="17"/>
      <c r="D627" s="17"/>
      <c r="E627" s="17"/>
    </row>
    <row r="628" spans="2:5" ht="16.5" customHeight="1">
      <c r="B628" s="17"/>
      <c r="D628" s="17"/>
      <c r="E628" s="17"/>
    </row>
    <row r="629" spans="2:5" ht="16.5" customHeight="1">
      <c r="B629" s="17"/>
      <c r="D629" s="17"/>
      <c r="E629" s="17"/>
    </row>
    <row r="630" spans="2:5" ht="16.5" customHeight="1">
      <c r="B630" s="17"/>
      <c r="D630" s="17"/>
      <c r="E630" s="17"/>
    </row>
    <row r="631" spans="2:5" ht="16.5" customHeight="1">
      <c r="B631" s="17"/>
      <c r="D631" s="17"/>
      <c r="E631" s="17"/>
    </row>
    <row r="632" spans="2:5" ht="16.5" customHeight="1">
      <c r="B632" s="17"/>
      <c r="D632" s="17"/>
      <c r="E632" s="17"/>
    </row>
    <row r="633" spans="2:5" ht="16.5" customHeight="1">
      <c r="B633" s="17"/>
      <c r="D633" s="17"/>
      <c r="E633" s="17"/>
    </row>
    <row r="634" spans="2:5" ht="16.5" customHeight="1">
      <c r="B634" s="17"/>
      <c r="D634" s="17"/>
      <c r="E634" s="17"/>
    </row>
    <row r="635" spans="2:5" ht="16.5" customHeight="1">
      <c r="B635" s="17"/>
      <c r="D635" s="17"/>
      <c r="E635" s="17"/>
    </row>
    <row r="636" spans="2:5" ht="16.5" customHeight="1">
      <c r="B636" s="17"/>
      <c r="D636" s="17"/>
      <c r="E636" s="17"/>
    </row>
    <row r="637" spans="2:5" ht="16.5" customHeight="1">
      <c r="B637" s="17"/>
      <c r="D637" s="17"/>
      <c r="E637" s="17"/>
    </row>
    <row r="638" spans="2:5" ht="16.5" customHeight="1">
      <c r="B638" s="17"/>
      <c r="D638" s="17"/>
      <c r="E638" s="17"/>
    </row>
    <row r="639" spans="2:5" ht="16.5" customHeight="1">
      <c r="B639" s="17"/>
      <c r="D639" s="17"/>
      <c r="E639" s="17"/>
    </row>
    <row r="640" spans="2:5" ht="16.5" customHeight="1">
      <c r="B640" s="17"/>
      <c r="D640" s="17"/>
      <c r="E640" s="17"/>
    </row>
    <row r="641" spans="2:5" ht="16.5" customHeight="1">
      <c r="B641" s="17"/>
      <c r="D641" s="17"/>
      <c r="E641" s="17"/>
    </row>
    <row r="642" spans="2:5" ht="16.5" customHeight="1">
      <c r="B642" s="17"/>
      <c r="D642" s="17"/>
      <c r="E642" s="17"/>
    </row>
    <row r="643" spans="2:5" ht="16.5" customHeight="1">
      <c r="B643" s="17"/>
      <c r="D643" s="17"/>
      <c r="E643" s="17"/>
    </row>
    <row r="644" spans="2:5" ht="16.5" customHeight="1">
      <c r="B644" s="17"/>
      <c r="D644" s="17"/>
      <c r="E644" s="17"/>
    </row>
    <row r="645" spans="2:5" ht="16.5" customHeight="1">
      <c r="B645" s="17"/>
      <c r="D645" s="17"/>
      <c r="E645" s="17"/>
    </row>
    <row r="646" spans="2:5" ht="16.5" customHeight="1">
      <c r="B646" s="17"/>
      <c r="D646" s="17"/>
      <c r="E646" s="17"/>
    </row>
    <row r="647" spans="2:5" ht="16.5" customHeight="1">
      <c r="B647" s="17"/>
      <c r="D647" s="17"/>
      <c r="E647" s="17"/>
    </row>
    <row r="648" spans="2:5" ht="16.5" customHeight="1">
      <c r="B648" s="17"/>
      <c r="D648" s="17"/>
      <c r="E648" s="17"/>
    </row>
    <row r="649" spans="2:5" ht="16.5" customHeight="1">
      <c r="B649" s="17"/>
      <c r="D649" s="17"/>
      <c r="E649" s="17"/>
    </row>
    <row r="650" spans="2:5" ht="16.5" customHeight="1">
      <c r="B650" s="17"/>
      <c r="D650" s="17"/>
      <c r="E650" s="17"/>
    </row>
    <row r="651" spans="2:5" ht="16.5" customHeight="1">
      <c r="B651" s="17"/>
      <c r="D651" s="17"/>
      <c r="E651" s="17"/>
    </row>
    <row r="652" spans="2:5" ht="16.5" customHeight="1">
      <c r="B652" s="17"/>
      <c r="D652" s="17"/>
      <c r="E652" s="17"/>
    </row>
    <row r="653" spans="2:5" ht="16.5" customHeight="1">
      <c r="B653" s="17"/>
      <c r="D653" s="17"/>
      <c r="E653" s="17"/>
    </row>
    <row r="654" spans="2:5" ht="16.5" customHeight="1">
      <c r="B654" s="17"/>
      <c r="D654" s="17"/>
      <c r="E654" s="17"/>
    </row>
    <row r="655" spans="2:5" ht="16.5" customHeight="1">
      <c r="B655" s="17"/>
      <c r="D655" s="17"/>
      <c r="E655" s="17"/>
    </row>
    <row r="656" spans="2:5" ht="16.5" customHeight="1">
      <c r="B656" s="17"/>
      <c r="D656" s="17"/>
      <c r="E656" s="17"/>
    </row>
    <row r="657" spans="2:5" ht="16.5" customHeight="1">
      <c r="B657" s="17"/>
      <c r="D657" s="17"/>
      <c r="E657" s="17"/>
    </row>
    <row r="658" spans="2:5" ht="16.5" customHeight="1">
      <c r="B658" s="17"/>
      <c r="D658" s="17"/>
      <c r="E658" s="17"/>
    </row>
    <row r="659" spans="2:5" ht="16.5" customHeight="1">
      <c r="B659" s="17"/>
      <c r="D659" s="17"/>
      <c r="E659" s="17"/>
    </row>
    <row r="660" spans="2:5" ht="16.5" customHeight="1">
      <c r="B660" s="17"/>
      <c r="D660" s="17"/>
      <c r="E660" s="17"/>
    </row>
    <row r="661" spans="2:5" ht="16.5" customHeight="1">
      <c r="B661" s="17"/>
      <c r="D661" s="17"/>
      <c r="E661" s="17"/>
    </row>
    <row r="662" spans="2:5" ht="16.5" customHeight="1">
      <c r="B662" s="17"/>
      <c r="D662" s="17"/>
      <c r="E662" s="17"/>
    </row>
    <row r="663" spans="2:5" ht="16.5" customHeight="1">
      <c r="B663" s="17"/>
      <c r="D663" s="17"/>
      <c r="E663" s="17"/>
    </row>
    <row r="664" spans="2:5" ht="16.5" customHeight="1">
      <c r="B664" s="17"/>
      <c r="D664" s="17"/>
      <c r="E664" s="17"/>
    </row>
    <row r="665" spans="2:5" ht="16.5" customHeight="1">
      <c r="B665" s="17"/>
      <c r="D665" s="17"/>
      <c r="E665" s="17"/>
    </row>
    <row r="666" spans="2:5" ht="16.5" customHeight="1">
      <c r="B666" s="17"/>
      <c r="D666" s="17"/>
      <c r="E666" s="17"/>
    </row>
    <row r="667" spans="2:5" ht="16.5" customHeight="1">
      <c r="B667" s="17"/>
      <c r="D667" s="17"/>
      <c r="E667" s="17"/>
    </row>
    <row r="668" spans="2:5" ht="16.5" customHeight="1">
      <c r="B668" s="17"/>
      <c r="D668" s="17"/>
      <c r="E668" s="17"/>
    </row>
    <row r="669" spans="2:5" ht="16.5" customHeight="1">
      <c r="B669" s="17"/>
      <c r="D669" s="17"/>
      <c r="E669" s="17"/>
    </row>
    <row r="670" spans="2:5" ht="16.5" customHeight="1">
      <c r="B670" s="17"/>
      <c r="D670" s="17"/>
      <c r="E670" s="17"/>
    </row>
    <row r="671" spans="2:5" ht="16.5" customHeight="1">
      <c r="B671" s="17"/>
      <c r="D671" s="17"/>
      <c r="E671" s="17"/>
    </row>
    <row r="672" spans="2:5" ht="16.5" customHeight="1">
      <c r="B672" s="17"/>
      <c r="D672" s="17"/>
      <c r="E672" s="17"/>
    </row>
    <row r="673" spans="2:5" ht="16.5" customHeight="1">
      <c r="B673" s="17"/>
      <c r="D673" s="17"/>
      <c r="E673" s="17"/>
    </row>
    <row r="674" spans="2:5" ht="16.5" customHeight="1">
      <c r="B674" s="17"/>
      <c r="D674" s="17"/>
      <c r="E674" s="17"/>
    </row>
    <row r="675" spans="2:5" ht="16.5" customHeight="1">
      <c r="B675" s="17"/>
      <c r="D675" s="17"/>
      <c r="E675" s="17"/>
    </row>
    <row r="676" spans="2:5" ht="16.5" customHeight="1">
      <c r="B676" s="17"/>
      <c r="D676" s="17"/>
      <c r="E676" s="17"/>
    </row>
    <row r="677" spans="2:5" ht="16.5" customHeight="1">
      <c r="B677" s="17"/>
      <c r="D677" s="17"/>
      <c r="E677" s="17"/>
    </row>
    <row r="678" spans="2:5" ht="16.5" customHeight="1">
      <c r="B678" s="17"/>
      <c r="D678" s="17"/>
      <c r="E678" s="17"/>
    </row>
    <row r="679" spans="2:5" ht="16.5" customHeight="1">
      <c r="B679" s="17"/>
      <c r="D679" s="17"/>
      <c r="E679" s="17"/>
    </row>
    <row r="680" spans="2:5" ht="16.5" customHeight="1">
      <c r="B680" s="17"/>
      <c r="D680" s="17"/>
      <c r="E680" s="17"/>
    </row>
    <row r="681" spans="2:5" ht="16.5" customHeight="1">
      <c r="B681" s="17"/>
      <c r="D681" s="17"/>
      <c r="E681" s="17"/>
    </row>
    <row r="682" spans="2:5" ht="16.5" customHeight="1">
      <c r="B682" s="17"/>
      <c r="D682" s="17"/>
      <c r="E682" s="17"/>
    </row>
    <row r="683" spans="2:5" ht="16.5" customHeight="1">
      <c r="B683" s="17"/>
      <c r="D683" s="17"/>
      <c r="E683" s="17"/>
    </row>
    <row r="684" spans="2:5" ht="16.5" customHeight="1">
      <c r="B684" s="17"/>
      <c r="D684" s="17"/>
      <c r="E684" s="17"/>
    </row>
    <row r="685" spans="2:5" ht="16.5" customHeight="1">
      <c r="B685" s="17"/>
      <c r="D685" s="17"/>
      <c r="E685" s="17"/>
    </row>
    <row r="686" spans="2:5" ht="16.5" customHeight="1">
      <c r="B686" s="17"/>
      <c r="D686" s="17"/>
      <c r="E686" s="17"/>
    </row>
    <row r="687" spans="2:5" ht="16.5" customHeight="1">
      <c r="B687" s="17"/>
      <c r="D687" s="17"/>
      <c r="E687" s="17"/>
    </row>
    <row r="688" spans="2:5" ht="16.5" customHeight="1">
      <c r="B688" s="17"/>
      <c r="D688" s="17"/>
      <c r="E688" s="17"/>
    </row>
    <row r="689" spans="2:5" ht="16.5" customHeight="1">
      <c r="B689" s="17"/>
      <c r="D689" s="17"/>
      <c r="E689" s="17"/>
    </row>
    <row r="690" spans="2:5" ht="16.5" customHeight="1">
      <c r="B690" s="17"/>
      <c r="D690" s="17"/>
      <c r="E690" s="17"/>
    </row>
    <row r="691" spans="2:5" ht="16.5" customHeight="1">
      <c r="B691" s="17"/>
      <c r="D691" s="17"/>
      <c r="E691" s="17"/>
    </row>
    <row r="692" spans="2:5" ht="16.5" customHeight="1">
      <c r="B692" s="17"/>
      <c r="D692" s="17"/>
      <c r="E692" s="17"/>
    </row>
    <row r="693" spans="2:5" ht="16.5" customHeight="1">
      <c r="B693" s="17"/>
      <c r="D693" s="17"/>
      <c r="E693" s="17"/>
    </row>
    <row r="694" spans="2:5" ht="16.5" customHeight="1">
      <c r="B694" s="17"/>
      <c r="D694" s="17"/>
      <c r="E694" s="17"/>
    </row>
    <row r="695" spans="2:5" ht="16.5" customHeight="1">
      <c r="B695" s="17"/>
      <c r="D695" s="17"/>
      <c r="E695" s="17"/>
    </row>
    <row r="696" spans="2:5" ht="16.5" customHeight="1">
      <c r="B696" s="17"/>
      <c r="D696" s="17"/>
      <c r="E696" s="17"/>
    </row>
    <row r="697" spans="2:5" ht="16.5" customHeight="1">
      <c r="B697" s="17"/>
      <c r="D697" s="17"/>
      <c r="E697" s="17"/>
    </row>
    <row r="698" spans="2:5" ht="16.5" customHeight="1">
      <c r="B698" s="17"/>
      <c r="D698" s="17"/>
      <c r="E698" s="17"/>
    </row>
    <row r="699" spans="2:5" ht="16.5" customHeight="1">
      <c r="B699" s="17"/>
      <c r="D699" s="17"/>
      <c r="E699" s="17"/>
    </row>
    <row r="700" spans="2:5" ht="16.5" customHeight="1">
      <c r="B700" s="17"/>
      <c r="D700" s="17"/>
      <c r="E700" s="17"/>
    </row>
    <row r="701" spans="2:5" ht="16.5" customHeight="1">
      <c r="B701" s="17"/>
      <c r="D701" s="17"/>
      <c r="E701" s="17"/>
    </row>
    <row r="702" spans="2:5" ht="16.5" customHeight="1">
      <c r="B702" s="17"/>
      <c r="D702" s="17"/>
      <c r="E702" s="17"/>
    </row>
    <row r="703" spans="2:5" ht="16.5" customHeight="1">
      <c r="B703" s="17"/>
      <c r="D703" s="17"/>
      <c r="E703" s="17"/>
    </row>
    <row r="704" spans="2:5" ht="16.5" customHeight="1">
      <c r="B704" s="17"/>
      <c r="D704" s="17"/>
      <c r="E704" s="17"/>
    </row>
    <row r="705" spans="2:5" ht="16.5" customHeight="1">
      <c r="B705" s="17"/>
      <c r="D705" s="17"/>
      <c r="E705" s="17"/>
    </row>
    <row r="706" spans="2:5" ht="16.5" customHeight="1">
      <c r="B706" s="17"/>
      <c r="D706" s="17"/>
      <c r="E706" s="17"/>
    </row>
    <row r="707" spans="2:5" ht="16.5" customHeight="1">
      <c r="B707" s="17"/>
      <c r="D707" s="17"/>
      <c r="E707" s="17"/>
    </row>
    <row r="708" spans="2:5" ht="16.5" customHeight="1">
      <c r="B708" s="17"/>
      <c r="D708" s="17"/>
      <c r="E708" s="17"/>
    </row>
    <row r="709" spans="2:5" ht="16.5" customHeight="1">
      <c r="B709" s="17"/>
      <c r="D709" s="17"/>
      <c r="E709" s="17"/>
    </row>
    <row r="710" spans="2:5" ht="16.5" customHeight="1">
      <c r="B710" s="17"/>
      <c r="D710" s="17"/>
      <c r="E710" s="17"/>
    </row>
    <row r="711" spans="2:5" ht="16.5" customHeight="1">
      <c r="B711" s="17"/>
      <c r="D711" s="17"/>
      <c r="E711" s="17"/>
    </row>
    <row r="712" spans="2:5" ht="16.5" customHeight="1">
      <c r="B712" s="17"/>
      <c r="D712" s="17"/>
      <c r="E712" s="17"/>
    </row>
    <row r="713" spans="2:5" ht="16.5" customHeight="1">
      <c r="B713" s="17"/>
      <c r="D713" s="17"/>
      <c r="E713" s="17"/>
    </row>
    <row r="714" spans="2:5" ht="16.5" customHeight="1">
      <c r="B714" s="17"/>
      <c r="D714" s="17"/>
      <c r="E714" s="17"/>
    </row>
    <row r="715" spans="2:5" ht="16.5" customHeight="1">
      <c r="B715" s="17"/>
      <c r="D715" s="17"/>
      <c r="E715" s="17"/>
    </row>
    <row r="716" spans="2:5" ht="16.5" customHeight="1">
      <c r="B716" s="17"/>
      <c r="D716" s="17"/>
      <c r="E716" s="17"/>
    </row>
    <row r="717" spans="2:5" ht="16.5" customHeight="1">
      <c r="B717" s="17"/>
      <c r="D717" s="17"/>
      <c r="E717" s="17"/>
    </row>
    <row r="718" spans="2:5" ht="16.5" customHeight="1">
      <c r="B718" s="17"/>
      <c r="D718" s="17"/>
      <c r="E718" s="17"/>
    </row>
    <row r="719" spans="2:5" ht="16.5" customHeight="1">
      <c r="B719" s="17"/>
      <c r="D719" s="17"/>
      <c r="E719" s="17"/>
    </row>
    <row r="720" spans="2:5" ht="16.5" customHeight="1">
      <c r="B720" s="17"/>
      <c r="D720" s="17"/>
      <c r="E720" s="17"/>
    </row>
    <row r="721" spans="2:5" ht="16.5" customHeight="1">
      <c r="B721" s="17"/>
      <c r="D721" s="17"/>
      <c r="E721" s="17"/>
    </row>
    <row r="722" spans="2:5" ht="16.5" customHeight="1">
      <c r="B722" s="17"/>
      <c r="D722" s="17"/>
      <c r="E722" s="17"/>
    </row>
    <row r="723" spans="2:5" ht="16.5" customHeight="1">
      <c r="B723" s="17"/>
      <c r="D723" s="17"/>
      <c r="E723" s="17"/>
    </row>
    <row r="724" spans="2:5" ht="16.5" customHeight="1">
      <c r="B724" s="17"/>
      <c r="D724" s="17"/>
      <c r="E724" s="17"/>
    </row>
    <row r="725" spans="2:5" ht="16.5" customHeight="1">
      <c r="B725" s="17"/>
      <c r="D725" s="17"/>
      <c r="E725" s="17"/>
    </row>
    <row r="726" spans="2:5" ht="16.5" customHeight="1">
      <c r="B726" s="17"/>
      <c r="D726" s="17"/>
      <c r="E726" s="17"/>
    </row>
    <row r="727" spans="2:5" ht="16.5" customHeight="1">
      <c r="B727" s="17"/>
      <c r="D727" s="17"/>
      <c r="E727" s="17"/>
    </row>
    <row r="728" spans="2:5" ht="16.5" customHeight="1">
      <c r="B728" s="17"/>
      <c r="D728" s="17"/>
      <c r="E728" s="17"/>
    </row>
    <row r="729" spans="2:5" ht="16.5" customHeight="1">
      <c r="B729" s="17"/>
      <c r="D729" s="17"/>
      <c r="E729" s="17"/>
    </row>
    <row r="730" spans="2:5" ht="16.5" customHeight="1">
      <c r="B730" s="17"/>
      <c r="D730" s="17"/>
      <c r="E730" s="17"/>
    </row>
    <row r="731" spans="2:5" ht="16.5" customHeight="1">
      <c r="B731" s="17"/>
      <c r="D731" s="17"/>
      <c r="E731" s="17"/>
    </row>
    <row r="732" spans="2:5" ht="16.5" customHeight="1">
      <c r="B732" s="17"/>
      <c r="D732" s="17"/>
      <c r="E732" s="17"/>
    </row>
    <row r="733" spans="2:5" ht="16.5" customHeight="1">
      <c r="B733" s="17"/>
      <c r="D733" s="17"/>
      <c r="E733" s="17"/>
    </row>
    <row r="734" spans="2:5" ht="16.5" customHeight="1">
      <c r="B734" s="17"/>
      <c r="D734" s="17"/>
      <c r="E734" s="17"/>
    </row>
    <row r="735" spans="2:5" ht="16.5" customHeight="1">
      <c r="B735" s="17"/>
      <c r="D735" s="17"/>
      <c r="E735" s="17"/>
    </row>
    <row r="736" spans="2:5" ht="16.5" customHeight="1">
      <c r="B736" s="17"/>
      <c r="D736" s="17"/>
      <c r="E736" s="17"/>
    </row>
    <row r="737" spans="2:5" ht="16.5" customHeight="1">
      <c r="B737" s="17"/>
      <c r="D737" s="17"/>
      <c r="E737" s="17"/>
    </row>
    <row r="738" spans="2:5" ht="16.5" customHeight="1">
      <c r="B738" s="17"/>
      <c r="D738" s="17"/>
      <c r="E738" s="17"/>
    </row>
    <row r="739" spans="2:5" ht="16.5" customHeight="1">
      <c r="B739" s="17"/>
      <c r="D739" s="17"/>
      <c r="E739" s="17"/>
    </row>
    <row r="740" spans="2:5" ht="16.5" customHeight="1">
      <c r="B740" s="17"/>
      <c r="D740" s="17"/>
      <c r="E740" s="17"/>
    </row>
    <row r="741" spans="2:5" ht="16.5" customHeight="1">
      <c r="B741" s="17"/>
      <c r="D741" s="17"/>
      <c r="E741" s="17"/>
    </row>
    <row r="742" spans="2:5" ht="16.5" customHeight="1">
      <c r="B742" s="17"/>
      <c r="D742" s="17"/>
      <c r="E742" s="17"/>
    </row>
    <row r="743" spans="2:5" ht="16.5" customHeight="1">
      <c r="B743" s="17"/>
      <c r="D743" s="17"/>
      <c r="E743" s="17"/>
    </row>
    <row r="744" spans="2:5" ht="16.5" customHeight="1">
      <c r="B744" s="17"/>
      <c r="D744" s="17"/>
      <c r="E744" s="17"/>
    </row>
    <row r="745" spans="2:5" ht="16.5" customHeight="1">
      <c r="B745" s="17"/>
      <c r="D745" s="17"/>
      <c r="E745" s="17"/>
    </row>
    <row r="746" spans="2:5" ht="16.5" customHeight="1">
      <c r="B746" s="17"/>
      <c r="D746" s="17"/>
      <c r="E746" s="17"/>
    </row>
    <row r="747" spans="2:5" ht="16.5" customHeight="1">
      <c r="B747" s="17"/>
      <c r="D747" s="17"/>
      <c r="E747" s="17"/>
    </row>
    <row r="748" spans="2:5" ht="16.5" customHeight="1">
      <c r="B748" s="17"/>
      <c r="D748" s="17"/>
      <c r="E748" s="17"/>
    </row>
    <row r="749" spans="2:5" ht="16.5" customHeight="1">
      <c r="B749" s="17"/>
      <c r="D749" s="17"/>
      <c r="E749" s="17"/>
    </row>
    <row r="750" spans="2:5" ht="16.5" customHeight="1">
      <c r="B750" s="17"/>
      <c r="D750" s="17"/>
      <c r="E750" s="17"/>
    </row>
    <row r="751" spans="2:5" ht="16.5" customHeight="1">
      <c r="B751" s="17"/>
      <c r="D751" s="17"/>
      <c r="E751" s="17"/>
    </row>
    <row r="752" spans="2:5" ht="16.5" customHeight="1">
      <c r="B752" s="17"/>
      <c r="D752" s="17"/>
      <c r="E752" s="17"/>
    </row>
    <row r="753" spans="2:5" ht="16.5" customHeight="1">
      <c r="B753" s="17"/>
      <c r="D753" s="17"/>
      <c r="E753" s="17"/>
    </row>
    <row r="754" spans="2:5" ht="16.5" customHeight="1">
      <c r="B754" s="17"/>
      <c r="D754" s="17"/>
      <c r="E754" s="17"/>
    </row>
    <row r="755" spans="2:5" ht="16.5" customHeight="1">
      <c r="B755" s="17"/>
      <c r="D755" s="17"/>
      <c r="E755" s="17"/>
    </row>
    <row r="756" spans="2:5" ht="16.5" customHeight="1">
      <c r="B756" s="17"/>
      <c r="D756" s="17"/>
      <c r="E756" s="17"/>
    </row>
    <row r="757" spans="2:5" ht="16.5" customHeight="1">
      <c r="B757" s="17"/>
      <c r="D757" s="17"/>
      <c r="E757" s="17"/>
    </row>
    <row r="758" spans="2:5" ht="16.5" customHeight="1">
      <c r="B758" s="17"/>
      <c r="D758" s="17"/>
      <c r="E758" s="17"/>
    </row>
    <row r="759" spans="2:5" ht="16.5" customHeight="1">
      <c r="B759" s="17"/>
      <c r="D759" s="17"/>
      <c r="E759" s="17"/>
    </row>
    <row r="760" spans="2:5" ht="16.5" customHeight="1">
      <c r="B760" s="17"/>
      <c r="D760" s="17"/>
      <c r="E760" s="17"/>
    </row>
    <row r="761" spans="2:5" ht="16.5" customHeight="1">
      <c r="B761" s="17"/>
      <c r="D761" s="17"/>
      <c r="E761" s="17"/>
    </row>
    <row r="762" spans="2:5" ht="16.5" customHeight="1">
      <c r="B762" s="17"/>
      <c r="D762" s="17"/>
      <c r="E762" s="17"/>
    </row>
    <row r="763" spans="2:5" ht="16.5" customHeight="1">
      <c r="B763" s="17"/>
      <c r="D763" s="17"/>
      <c r="E763" s="17"/>
    </row>
    <row r="764" spans="2:5" ht="16.5" customHeight="1">
      <c r="B764" s="17"/>
      <c r="D764" s="17"/>
      <c r="E764" s="17"/>
    </row>
    <row r="765" spans="2:5" ht="16.5" customHeight="1">
      <c r="B765" s="17"/>
      <c r="D765" s="17"/>
      <c r="E765" s="17"/>
    </row>
    <row r="766" spans="2:5" ht="16.5" customHeight="1">
      <c r="B766" s="17"/>
      <c r="D766" s="17"/>
      <c r="E766" s="17"/>
    </row>
    <row r="767" spans="2:5" ht="16.5" customHeight="1">
      <c r="B767" s="17"/>
      <c r="D767" s="17"/>
      <c r="E767" s="17"/>
    </row>
    <row r="768" spans="2:5" ht="16.5" customHeight="1">
      <c r="B768" s="17"/>
      <c r="D768" s="17"/>
      <c r="E768" s="17"/>
    </row>
    <row r="769" spans="2:5" ht="16.5" customHeight="1">
      <c r="B769" s="17"/>
      <c r="D769" s="17"/>
      <c r="E769" s="17"/>
    </row>
    <row r="770" spans="2:5" ht="16.5" customHeight="1">
      <c r="B770" s="17"/>
      <c r="D770" s="17"/>
      <c r="E770" s="17"/>
    </row>
    <row r="771" spans="2:5" ht="16.5" customHeight="1">
      <c r="B771" s="17"/>
      <c r="D771" s="17"/>
      <c r="E771" s="17"/>
    </row>
    <row r="772" spans="2:5" ht="16.5" customHeight="1">
      <c r="B772" s="17"/>
      <c r="D772" s="17"/>
      <c r="E772" s="17"/>
    </row>
    <row r="773" spans="2:5" ht="16.5" customHeight="1">
      <c r="B773" s="17"/>
      <c r="D773" s="17"/>
      <c r="E773" s="17"/>
    </row>
    <row r="774" spans="2:5" ht="16.5" customHeight="1">
      <c r="B774" s="17"/>
      <c r="D774" s="17"/>
      <c r="E774" s="17"/>
    </row>
    <row r="775" spans="2:5" ht="16.5" customHeight="1">
      <c r="B775" s="17"/>
      <c r="D775" s="17"/>
      <c r="E775" s="17"/>
    </row>
    <row r="776" spans="2:5" ht="16.5" customHeight="1">
      <c r="B776" s="17"/>
      <c r="D776" s="17"/>
      <c r="E776" s="17"/>
    </row>
    <row r="777" spans="2:5" ht="16.5" customHeight="1">
      <c r="B777" s="17"/>
      <c r="D777" s="17"/>
      <c r="E777" s="17"/>
    </row>
    <row r="778" spans="2:5" ht="16.5" customHeight="1">
      <c r="B778" s="17"/>
      <c r="D778" s="17"/>
      <c r="E778" s="17"/>
    </row>
    <row r="779" spans="2:5" ht="16.5" customHeight="1">
      <c r="B779" s="17"/>
      <c r="D779" s="17"/>
      <c r="E779" s="17"/>
    </row>
    <row r="780" spans="2:5" ht="16.5" customHeight="1">
      <c r="B780" s="17"/>
      <c r="D780" s="17"/>
      <c r="E780" s="17"/>
    </row>
    <row r="781" spans="2:5" ht="16.5" customHeight="1">
      <c r="B781" s="17"/>
      <c r="D781" s="17"/>
      <c r="E781" s="17"/>
    </row>
    <row r="782" spans="2:5" ht="16.5" customHeight="1">
      <c r="B782" s="17"/>
      <c r="D782" s="17"/>
      <c r="E782" s="17"/>
    </row>
    <row r="783" spans="2:5" ht="16.5" customHeight="1">
      <c r="B783" s="17"/>
      <c r="D783" s="17"/>
      <c r="E783" s="17"/>
    </row>
    <row r="784" spans="2:5" ht="16.5" customHeight="1">
      <c r="B784" s="17"/>
      <c r="D784" s="17"/>
      <c r="E784" s="17"/>
    </row>
    <row r="785" spans="2:5" ht="16.5" customHeight="1">
      <c r="B785" s="17"/>
      <c r="D785" s="17"/>
      <c r="E785" s="17"/>
    </row>
    <row r="786" spans="2:5" ht="16.5" customHeight="1">
      <c r="B786" s="17"/>
      <c r="D786" s="17"/>
      <c r="E786" s="17"/>
    </row>
    <row r="787" spans="2:5" ht="16.5" customHeight="1">
      <c r="B787" s="17"/>
      <c r="D787" s="17"/>
      <c r="E787" s="17"/>
    </row>
    <row r="788" spans="2:5" ht="16.5" customHeight="1">
      <c r="B788" s="17"/>
      <c r="D788" s="17"/>
      <c r="E788" s="17"/>
    </row>
    <row r="789" spans="2:5" ht="16.5" customHeight="1">
      <c r="B789" s="17"/>
      <c r="D789" s="17"/>
      <c r="E789" s="17"/>
    </row>
    <row r="790" spans="2:5" ht="16.5" customHeight="1">
      <c r="B790" s="17"/>
      <c r="D790" s="17"/>
      <c r="E790" s="17"/>
    </row>
    <row r="791" spans="2:5" ht="16.5" customHeight="1">
      <c r="B791" s="17"/>
      <c r="D791" s="17"/>
      <c r="E791" s="17"/>
    </row>
    <row r="792" spans="2:5" ht="16.5" customHeight="1">
      <c r="B792" s="17"/>
      <c r="D792" s="17"/>
      <c r="E792" s="17"/>
    </row>
    <row r="793" spans="2:5" ht="16.5" customHeight="1">
      <c r="B793" s="17"/>
      <c r="D793" s="17"/>
      <c r="E793" s="17"/>
    </row>
    <row r="794" spans="2:5" ht="16.5" customHeight="1">
      <c r="B794" s="17"/>
      <c r="D794" s="17"/>
      <c r="E794" s="17"/>
    </row>
    <row r="795" spans="2:5" ht="16.5" customHeight="1">
      <c r="B795" s="17"/>
      <c r="D795" s="17"/>
      <c r="E795" s="17"/>
    </row>
    <row r="796" spans="2:5" ht="16.5" customHeight="1">
      <c r="B796" s="17"/>
      <c r="D796" s="17"/>
      <c r="E796" s="17"/>
    </row>
    <row r="797" spans="2:5" ht="16.5" customHeight="1">
      <c r="B797" s="17"/>
      <c r="D797" s="17"/>
      <c r="E797" s="17"/>
    </row>
    <row r="798" spans="2:5" ht="16.5" customHeight="1">
      <c r="B798" s="17"/>
      <c r="D798" s="17"/>
      <c r="E798" s="17"/>
    </row>
    <row r="799" spans="2:5" ht="16.5" customHeight="1">
      <c r="B799" s="17"/>
      <c r="D799" s="17"/>
      <c r="E799" s="17"/>
    </row>
    <row r="800" spans="2:5" ht="16.5" customHeight="1">
      <c r="B800" s="17"/>
      <c r="D800" s="17"/>
      <c r="E800" s="17"/>
    </row>
    <row r="801" spans="2:5" ht="16.5" customHeight="1">
      <c r="B801" s="17"/>
      <c r="D801" s="17"/>
      <c r="E801" s="17"/>
    </row>
    <row r="802" spans="2:5" ht="16.5" customHeight="1">
      <c r="B802" s="17"/>
      <c r="D802" s="17"/>
      <c r="E802" s="17"/>
    </row>
    <row r="803" spans="2:5" ht="16.5" customHeight="1">
      <c r="B803" s="17"/>
      <c r="D803" s="17"/>
      <c r="E803" s="17"/>
    </row>
    <row r="804" spans="2:5" ht="16.5" customHeight="1">
      <c r="B804" s="17"/>
      <c r="D804" s="17"/>
      <c r="E804" s="17"/>
    </row>
    <row r="805" spans="2:5" ht="16.5" customHeight="1">
      <c r="B805" s="17"/>
      <c r="D805" s="17"/>
      <c r="E805" s="17"/>
    </row>
    <row r="806" spans="2:5" ht="16.5" customHeight="1">
      <c r="B806" s="17"/>
      <c r="D806" s="17"/>
      <c r="E806" s="17"/>
    </row>
    <row r="807" spans="2:5" ht="16.5" customHeight="1">
      <c r="B807" s="17"/>
      <c r="D807" s="17"/>
      <c r="E807" s="17"/>
    </row>
    <row r="808" spans="2:5" ht="16.5" customHeight="1">
      <c r="B808" s="17"/>
      <c r="D808" s="17"/>
      <c r="E808" s="17"/>
    </row>
    <row r="809" spans="2:5" ht="16.5" customHeight="1">
      <c r="B809" s="17"/>
      <c r="D809" s="17"/>
      <c r="E809" s="17"/>
    </row>
    <row r="810" spans="2:5" ht="16.5" customHeight="1">
      <c r="B810" s="17"/>
      <c r="D810" s="17"/>
      <c r="E810" s="17"/>
    </row>
    <row r="811" spans="2:5" ht="16.5" customHeight="1">
      <c r="B811" s="17"/>
      <c r="D811" s="17"/>
      <c r="E811" s="17"/>
    </row>
    <row r="812" spans="2:5" ht="16.5" customHeight="1">
      <c r="B812" s="17"/>
      <c r="D812" s="17"/>
      <c r="E812" s="17"/>
    </row>
    <row r="813" spans="2:5" ht="16.5" customHeight="1">
      <c r="B813" s="17"/>
      <c r="D813" s="17"/>
      <c r="E813" s="17"/>
    </row>
    <row r="814" spans="2:5" ht="16.5" customHeight="1">
      <c r="B814" s="17"/>
      <c r="D814" s="17"/>
      <c r="E814" s="17"/>
    </row>
    <row r="815" spans="2:5" ht="16.5" customHeight="1">
      <c r="B815" s="17"/>
      <c r="D815" s="17"/>
      <c r="E815" s="17"/>
    </row>
    <row r="816" spans="2:5" ht="16.5" customHeight="1">
      <c r="B816" s="17"/>
      <c r="D816" s="17"/>
      <c r="E816" s="17"/>
    </row>
    <row r="817" spans="2:5" ht="16.5" customHeight="1">
      <c r="B817" s="17"/>
      <c r="D817" s="17"/>
      <c r="E817" s="17"/>
    </row>
    <row r="818" spans="2:5" ht="16.5" customHeight="1">
      <c r="B818" s="17"/>
      <c r="D818" s="17"/>
      <c r="E818" s="17"/>
    </row>
    <row r="819" spans="2:5" ht="16.5" customHeight="1">
      <c r="B819" s="17"/>
      <c r="D819" s="17"/>
      <c r="E819" s="17"/>
    </row>
    <row r="820" spans="2:5" ht="16.5" customHeight="1">
      <c r="B820" s="17"/>
      <c r="D820" s="17"/>
      <c r="E820" s="17"/>
    </row>
    <row r="821" spans="2:5" ht="16.5" customHeight="1">
      <c r="B821" s="17"/>
      <c r="D821" s="17"/>
      <c r="E821" s="17"/>
    </row>
    <row r="822" spans="2:5" ht="16.5" customHeight="1">
      <c r="B822" s="17"/>
      <c r="D822" s="17"/>
      <c r="E822" s="17"/>
    </row>
    <row r="823" spans="2:5" ht="16.5" customHeight="1">
      <c r="B823" s="17"/>
      <c r="D823" s="17"/>
      <c r="E823" s="17"/>
    </row>
    <row r="824" spans="2:5" ht="16.5" customHeight="1">
      <c r="B824" s="17"/>
      <c r="D824" s="17"/>
      <c r="E824" s="17"/>
    </row>
    <row r="825" spans="2:5" ht="16.5" customHeight="1">
      <c r="B825" s="17"/>
      <c r="D825" s="17"/>
      <c r="E825" s="17"/>
    </row>
    <row r="826" spans="2:5" ht="16.5" customHeight="1">
      <c r="B826" s="17"/>
      <c r="D826" s="17"/>
      <c r="E826" s="17"/>
    </row>
    <row r="827" spans="2:5" ht="16.5" customHeight="1">
      <c r="B827" s="17"/>
      <c r="D827" s="17"/>
      <c r="E827" s="17"/>
    </row>
    <row r="828" spans="2:5" ht="16.5" customHeight="1">
      <c r="B828" s="17"/>
      <c r="D828" s="17"/>
      <c r="E828" s="17"/>
    </row>
    <row r="829" spans="2:5" ht="16.5" customHeight="1">
      <c r="B829" s="17"/>
      <c r="D829" s="17"/>
      <c r="E829" s="17"/>
    </row>
    <row r="830" spans="2:5" ht="16.5" customHeight="1">
      <c r="B830" s="17"/>
      <c r="D830" s="17"/>
      <c r="E830" s="17"/>
    </row>
    <row r="831" spans="2:5" ht="16.5" customHeight="1">
      <c r="B831" s="17"/>
      <c r="D831" s="17"/>
      <c r="E831" s="17"/>
    </row>
    <row r="832" spans="2:5" ht="16.5" customHeight="1">
      <c r="B832" s="17"/>
      <c r="D832" s="17"/>
      <c r="E832" s="17"/>
    </row>
    <row r="833" spans="2:5" ht="16.5" customHeight="1">
      <c r="B833" s="17"/>
      <c r="D833" s="17"/>
      <c r="E833" s="17"/>
    </row>
    <row r="834" spans="2:5" ht="16.5" customHeight="1">
      <c r="B834" s="17"/>
      <c r="D834" s="17"/>
      <c r="E834" s="17"/>
    </row>
    <row r="835" spans="2:5" ht="16.5" customHeight="1">
      <c r="B835" s="17"/>
      <c r="D835" s="17"/>
      <c r="E835" s="17"/>
    </row>
    <row r="836" spans="2:5" ht="16.5" customHeight="1">
      <c r="B836" s="17"/>
      <c r="D836" s="17"/>
      <c r="E836" s="17"/>
    </row>
    <row r="837" spans="2:5" ht="16.5" customHeight="1">
      <c r="B837" s="17"/>
      <c r="D837" s="17"/>
      <c r="E837" s="17"/>
    </row>
    <row r="838" spans="2:5" ht="16.5" customHeight="1">
      <c r="B838" s="17"/>
      <c r="D838" s="17"/>
      <c r="E838" s="17"/>
    </row>
    <row r="839" spans="2:5" ht="16.5" customHeight="1">
      <c r="B839" s="17"/>
      <c r="D839" s="17"/>
      <c r="E839" s="17"/>
    </row>
    <row r="840" spans="2:5" ht="16.5" customHeight="1">
      <c r="B840" s="17"/>
      <c r="D840" s="17"/>
      <c r="E840" s="17"/>
    </row>
    <row r="841" spans="2:5" ht="16.5" customHeight="1">
      <c r="B841" s="17"/>
      <c r="D841" s="17"/>
      <c r="E841" s="17"/>
    </row>
    <row r="842" spans="2:5" ht="16.5" customHeight="1">
      <c r="B842" s="17"/>
      <c r="D842" s="17"/>
      <c r="E842" s="17"/>
    </row>
    <row r="843" spans="2:5" ht="16.5" customHeight="1">
      <c r="B843" s="17"/>
      <c r="D843" s="17"/>
      <c r="E843" s="17"/>
    </row>
    <row r="844" spans="2:5" ht="16.5" customHeight="1">
      <c r="B844" s="17"/>
      <c r="D844" s="17"/>
      <c r="E844" s="17"/>
    </row>
    <row r="845" spans="2:5" ht="16.5" customHeight="1">
      <c r="B845" s="17"/>
      <c r="D845" s="17"/>
      <c r="E845" s="17"/>
    </row>
    <row r="846" spans="2:5" ht="16.5" customHeight="1">
      <c r="B846" s="17"/>
      <c r="D846" s="17"/>
      <c r="E846" s="17"/>
    </row>
    <row r="847" spans="2:5" ht="16.5" customHeight="1">
      <c r="B847" s="17"/>
      <c r="D847" s="17"/>
      <c r="E847" s="17"/>
    </row>
    <row r="848" spans="2:5" ht="16.5" customHeight="1">
      <c r="B848" s="17"/>
      <c r="D848" s="17"/>
      <c r="E848" s="17"/>
    </row>
    <row r="849" spans="2:5" ht="16.5" customHeight="1">
      <c r="B849" s="17"/>
      <c r="D849" s="17"/>
      <c r="E849" s="17"/>
    </row>
    <row r="850" spans="2:5" ht="16.5" customHeight="1">
      <c r="B850" s="17"/>
      <c r="D850" s="17"/>
      <c r="E850" s="17"/>
    </row>
    <row r="851" spans="2:5" ht="16.5" customHeight="1">
      <c r="B851" s="17"/>
      <c r="D851" s="17"/>
      <c r="E851" s="17"/>
    </row>
    <row r="852" spans="2:5" ht="16.5" customHeight="1">
      <c r="B852" s="17"/>
      <c r="D852" s="17"/>
      <c r="E852" s="17"/>
    </row>
    <row r="853" spans="2:5" ht="16.5" customHeight="1">
      <c r="B853" s="17"/>
      <c r="D853" s="17"/>
      <c r="E853" s="17"/>
    </row>
    <row r="854" spans="2:5" ht="16.5" customHeight="1">
      <c r="B854" s="17"/>
      <c r="D854" s="17"/>
      <c r="E854" s="17"/>
    </row>
    <row r="855" spans="2:5" ht="16.5" customHeight="1">
      <c r="B855" s="17"/>
      <c r="D855" s="17"/>
      <c r="E855" s="17"/>
    </row>
    <row r="856" spans="2:5" ht="16.5" customHeight="1">
      <c r="B856" s="17"/>
      <c r="D856" s="17"/>
      <c r="E856" s="17"/>
    </row>
    <row r="857" spans="2:5" ht="16.5" customHeight="1">
      <c r="B857" s="17"/>
      <c r="D857" s="17"/>
      <c r="E857" s="17"/>
    </row>
    <row r="858" spans="2:5" ht="16.5" customHeight="1">
      <c r="B858" s="17"/>
      <c r="D858" s="17"/>
      <c r="E858" s="17"/>
    </row>
    <row r="859" spans="2:5" ht="16.5" customHeight="1">
      <c r="B859" s="17"/>
      <c r="D859" s="17"/>
      <c r="E859" s="17"/>
    </row>
    <row r="860" spans="2:5" ht="16.5" customHeight="1">
      <c r="B860" s="17"/>
      <c r="D860" s="17"/>
      <c r="E860" s="17"/>
    </row>
    <row r="861" spans="2:5" ht="16.5" customHeight="1">
      <c r="B861" s="17"/>
      <c r="D861" s="17"/>
      <c r="E861" s="17"/>
    </row>
    <row r="862" spans="2:5" ht="16.5" customHeight="1">
      <c r="B862" s="17"/>
      <c r="D862" s="17"/>
      <c r="E862" s="17"/>
    </row>
    <row r="863" spans="2:5" ht="16.5" customHeight="1">
      <c r="B863" s="17"/>
      <c r="D863" s="17"/>
      <c r="E863" s="17"/>
    </row>
    <row r="864" spans="2:5" ht="16.5" customHeight="1">
      <c r="B864" s="17"/>
      <c r="D864" s="17"/>
      <c r="E864" s="17"/>
    </row>
    <row r="865" spans="2:5" ht="16.5" customHeight="1">
      <c r="B865" s="17"/>
      <c r="D865" s="17"/>
      <c r="E865" s="17"/>
    </row>
    <row r="866" spans="2:5" ht="16.5" customHeight="1">
      <c r="B866" s="17"/>
      <c r="D866" s="17"/>
      <c r="E866" s="17"/>
    </row>
    <row r="867" spans="2:5" ht="16.5" customHeight="1">
      <c r="B867" s="17"/>
      <c r="D867" s="17"/>
      <c r="E867" s="17"/>
    </row>
    <row r="868" spans="2:5" ht="16.5" customHeight="1">
      <c r="B868" s="17"/>
      <c r="D868" s="17"/>
      <c r="E868" s="17"/>
    </row>
    <row r="869" spans="2:5" ht="16.5" customHeight="1">
      <c r="B869" s="17"/>
      <c r="D869" s="17"/>
      <c r="E869" s="17"/>
    </row>
    <row r="870" spans="2:5" ht="16.5" customHeight="1">
      <c r="B870" s="17"/>
      <c r="D870" s="17"/>
      <c r="E870" s="17"/>
    </row>
    <row r="871" spans="2:5" ht="16.5" customHeight="1">
      <c r="B871" s="17"/>
      <c r="D871" s="17"/>
      <c r="E871" s="17"/>
    </row>
    <row r="872" spans="2:5" ht="16.5" customHeight="1">
      <c r="B872" s="17"/>
      <c r="D872" s="17"/>
      <c r="E872" s="17"/>
    </row>
    <row r="873" spans="2:5" ht="16.5" customHeight="1">
      <c r="B873" s="17"/>
      <c r="D873" s="17"/>
      <c r="E873" s="17"/>
    </row>
    <row r="874" spans="2:5" ht="16.5" customHeight="1">
      <c r="B874" s="17"/>
      <c r="D874" s="17"/>
      <c r="E874" s="17"/>
    </row>
    <row r="875" spans="2:5" ht="16.5" customHeight="1">
      <c r="B875" s="17"/>
      <c r="D875" s="17"/>
      <c r="E875" s="17"/>
    </row>
    <row r="876" spans="2:5" ht="16.5" customHeight="1">
      <c r="B876" s="17"/>
      <c r="D876" s="17"/>
      <c r="E876" s="17"/>
    </row>
    <row r="877" spans="2:5" ht="16.5" customHeight="1">
      <c r="B877" s="17"/>
      <c r="D877" s="17"/>
      <c r="E877" s="17"/>
    </row>
    <row r="878" spans="2:5" ht="16.5" customHeight="1">
      <c r="B878" s="17"/>
      <c r="D878" s="17"/>
      <c r="E878" s="17"/>
    </row>
    <row r="879" spans="2:5" ht="16.5" customHeight="1">
      <c r="B879" s="17"/>
      <c r="D879" s="17"/>
      <c r="E879" s="17"/>
    </row>
    <row r="880" spans="2:5" ht="16.5" customHeight="1">
      <c r="B880" s="17"/>
      <c r="D880" s="17"/>
      <c r="E880" s="17"/>
    </row>
    <row r="881" spans="2:5" ht="16.5" customHeight="1">
      <c r="B881" s="17"/>
      <c r="D881" s="17"/>
      <c r="E881" s="17"/>
    </row>
    <row r="882" spans="2:5" ht="16.5" customHeight="1">
      <c r="B882" s="17"/>
      <c r="D882" s="17"/>
      <c r="E882" s="17"/>
    </row>
    <row r="883" spans="2:5" ht="16.5" customHeight="1">
      <c r="B883" s="17"/>
      <c r="D883" s="17"/>
      <c r="E883" s="17"/>
    </row>
    <row r="884" spans="2:5" ht="16.5" customHeight="1">
      <c r="B884" s="17"/>
      <c r="D884" s="17"/>
      <c r="E884" s="17"/>
    </row>
    <row r="885" spans="2:5" ht="16.5" customHeight="1">
      <c r="B885" s="17"/>
      <c r="D885" s="17"/>
      <c r="E885" s="17"/>
    </row>
    <row r="886" spans="2:5" ht="16.5" customHeight="1">
      <c r="B886" s="17"/>
      <c r="D886" s="17"/>
      <c r="E886" s="17"/>
    </row>
    <row r="887" spans="2:5" ht="16.5" customHeight="1">
      <c r="B887" s="17"/>
      <c r="D887" s="17"/>
      <c r="E887" s="17"/>
    </row>
    <row r="888" spans="2:5" ht="16.5" customHeight="1">
      <c r="B888" s="17"/>
      <c r="D888" s="17"/>
      <c r="E888" s="17"/>
    </row>
    <row r="889" spans="2:5" ht="16.5" customHeight="1">
      <c r="B889" s="17"/>
      <c r="D889" s="17"/>
      <c r="E889" s="17"/>
    </row>
    <row r="890" spans="2:5" ht="16.5" customHeight="1">
      <c r="B890" s="17"/>
      <c r="D890" s="17"/>
      <c r="E890" s="17"/>
    </row>
    <row r="891" spans="2:5" ht="16.5" customHeight="1">
      <c r="B891" s="17"/>
      <c r="D891" s="17"/>
      <c r="E891" s="17"/>
    </row>
    <row r="892" spans="2:5" ht="16.5" customHeight="1">
      <c r="B892" s="17"/>
      <c r="D892" s="17"/>
      <c r="E892" s="17"/>
    </row>
    <row r="893" spans="2:5" ht="16.5" customHeight="1">
      <c r="B893" s="17"/>
      <c r="D893" s="17"/>
      <c r="E893" s="17"/>
    </row>
    <row r="894" spans="2:5" ht="16.5" customHeight="1">
      <c r="B894" s="17"/>
      <c r="D894" s="17"/>
      <c r="E894" s="17"/>
    </row>
    <row r="895" spans="2:5" ht="16.5" customHeight="1">
      <c r="B895" s="17"/>
      <c r="D895" s="17"/>
      <c r="E895" s="17"/>
    </row>
    <row r="896" spans="2:5" ht="16.5" customHeight="1">
      <c r="B896" s="17"/>
      <c r="D896" s="17"/>
      <c r="E896" s="17"/>
    </row>
    <row r="897" spans="2:5" ht="16.5" customHeight="1">
      <c r="B897" s="17"/>
      <c r="D897" s="17"/>
      <c r="E897" s="17"/>
    </row>
    <row r="898" spans="2:5" ht="16.5" customHeight="1">
      <c r="B898" s="17"/>
      <c r="D898" s="17"/>
      <c r="E898" s="17"/>
    </row>
    <row r="899" spans="2:5" ht="16.5" customHeight="1">
      <c r="B899" s="17"/>
      <c r="D899" s="17"/>
      <c r="E899" s="17"/>
    </row>
    <row r="900" spans="2:5" ht="16.5" customHeight="1">
      <c r="B900" s="17"/>
      <c r="D900" s="17"/>
      <c r="E900" s="17"/>
    </row>
    <row r="901" spans="2:5" ht="16.5" customHeight="1">
      <c r="B901" s="17"/>
      <c r="D901" s="17"/>
      <c r="E901" s="17"/>
    </row>
    <row r="902" spans="2:5" ht="16.5" customHeight="1">
      <c r="B902" s="17"/>
      <c r="D902" s="17"/>
      <c r="E902" s="17"/>
    </row>
    <row r="903" spans="2:5" ht="16.5" customHeight="1">
      <c r="B903" s="17"/>
      <c r="D903" s="17"/>
      <c r="E903" s="17"/>
    </row>
    <row r="904" spans="2:5" ht="16.5" customHeight="1">
      <c r="B904" s="17"/>
      <c r="D904" s="17"/>
      <c r="E904" s="17"/>
    </row>
    <row r="905" spans="2:5" ht="16.5" customHeight="1">
      <c r="B905" s="17"/>
      <c r="D905" s="17"/>
      <c r="E905" s="17"/>
    </row>
    <row r="906" spans="2:5" ht="16.5" customHeight="1">
      <c r="B906" s="17"/>
      <c r="D906" s="17"/>
      <c r="E906" s="17"/>
    </row>
    <row r="907" spans="2:5" ht="16.5" customHeight="1">
      <c r="B907" s="17"/>
      <c r="D907" s="17"/>
      <c r="E907" s="17"/>
    </row>
    <row r="908" spans="2:5" ht="16.5" customHeight="1">
      <c r="B908" s="17"/>
      <c r="D908" s="17"/>
      <c r="E908" s="17"/>
    </row>
    <row r="909" spans="2:5" ht="16.5" customHeight="1">
      <c r="B909" s="17"/>
      <c r="D909" s="17"/>
      <c r="E909" s="17"/>
    </row>
    <row r="910" spans="2:5" ht="16.5" customHeight="1">
      <c r="B910" s="17"/>
      <c r="D910" s="17"/>
      <c r="E910" s="17"/>
    </row>
    <row r="911" spans="2:5" ht="16.5" customHeight="1">
      <c r="B911" s="17"/>
      <c r="D911" s="17"/>
      <c r="E911" s="17"/>
    </row>
    <row r="912" spans="2:5" ht="16.5" customHeight="1">
      <c r="B912" s="17"/>
      <c r="D912" s="17"/>
      <c r="E912" s="17"/>
    </row>
    <row r="913" spans="2:5" ht="16.5" customHeight="1">
      <c r="B913" s="17"/>
      <c r="D913" s="17"/>
      <c r="E913" s="17"/>
    </row>
    <row r="914" spans="2:5" ht="16.5" customHeight="1">
      <c r="B914" s="17"/>
      <c r="D914" s="17"/>
      <c r="E914" s="17"/>
    </row>
    <row r="915" spans="2:5" ht="16.5" customHeight="1">
      <c r="B915" s="17"/>
      <c r="D915" s="17"/>
      <c r="E915" s="17"/>
    </row>
    <row r="916" spans="2:5" ht="16.5" customHeight="1">
      <c r="B916" s="17"/>
      <c r="D916" s="17"/>
      <c r="E916" s="17"/>
    </row>
    <row r="917" spans="2:5" ht="16.5" customHeight="1">
      <c r="B917" s="17"/>
      <c r="D917" s="17"/>
      <c r="E917" s="17"/>
    </row>
    <row r="918" spans="2:5" ht="16.5" customHeight="1">
      <c r="B918" s="17"/>
      <c r="D918" s="17"/>
      <c r="E918" s="17"/>
    </row>
    <row r="919" spans="2:5" ht="16.5" customHeight="1">
      <c r="B919" s="17"/>
      <c r="D919" s="17"/>
      <c r="E919" s="17"/>
    </row>
    <row r="920" spans="2:5" ht="16.5" customHeight="1">
      <c r="B920" s="17"/>
      <c r="D920" s="17"/>
      <c r="E920" s="17"/>
    </row>
    <row r="921" spans="2:5" ht="16.5" customHeight="1">
      <c r="B921" s="17"/>
      <c r="D921" s="17"/>
      <c r="E921" s="17"/>
    </row>
    <row r="922" spans="2:5" ht="16.5" customHeight="1">
      <c r="B922" s="17"/>
      <c r="D922" s="17"/>
      <c r="E922" s="17"/>
    </row>
    <row r="923" spans="2:5" ht="16.5" customHeight="1">
      <c r="B923" s="17"/>
      <c r="D923" s="17"/>
      <c r="E923" s="17"/>
    </row>
    <row r="924" spans="2:5" ht="16.5" customHeight="1">
      <c r="B924" s="17"/>
      <c r="D924" s="17"/>
      <c r="E924" s="17"/>
    </row>
    <row r="925" spans="2:5" ht="16.5" customHeight="1">
      <c r="B925" s="17"/>
      <c r="D925" s="17"/>
      <c r="E925" s="17"/>
    </row>
    <row r="926" spans="2:5" ht="16.5" customHeight="1">
      <c r="B926" s="17"/>
      <c r="D926" s="17"/>
      <c r="E926" s="17"/>
    </row>
    <row r="927" spans="2:5" ht="16.5" customHeight="1">
      <c r="B927" s="17"/>
      <c r="D927" s="17"/>
      <c r="E927" s="17"/>
    </row>
    <row r="928" spans="2:5" ht="16.5" customHeight="1">
      <c r="B928" s="17"/>
      <c r="D928" s="17"/>
      <c r="E928" s="17"/>
    </row>
    <row r="929" spans="2:5" ht="16.5" customHeight="1">
      <c r="B929" s="17"/>
      <c r="D929" s="17"/>
      <c r="E929" s="17"/>
    </row>
    <row r="930" spans="2:5" ht="16.5" customHeight="1">
      <c r="B930" s="17"/>
      <c r="D930" s="17"/>
      <c r="E930" s="17"/>
    </row>
    <row r="931" spans="2:5" ht="16.5" customHeight="1">
      <c r="B931" s="17"/>
      <c r="D931" s="17"/>
      <c r="E931" s="17"/>
    </row>
    <row r="932" spans="2:5" ht="16.5" customHeight="1">
      <c r="B932" s="17"/>
      <c r="D932" s="17"/>
      <c r="E932" s="17"/>
    </row>
    <row r="933" spans="2:5" ht="16.5" customHeight="1">
      <c r="B933" s="17"/>
      <c r="D933" s="17"/>
      <c r="E933" s="17"/>
    </row>
    <row r="934" spans="2:5" ht="16.5" customHeight="1">
      <c r="B934" s="17"/>
      <c r="D934" s="17"/>
      <c r="E934" s="17"/>
    </row>
    <row r="935" spans="2:5" ht="16.5" customHeight="1">
      <c r="B935" s="17"/>
      <c r="D935" s="17"/>
      <c r="E935" s="17"/>
    </row>
    <row r="936" spans="2:5" ht="16.5" customHeight="1">
      <c r="B936" s="17"/>
      <c r="D936" s="17"/>
      <c r="E936" s="17"/>
    </row>
    <row r="937" spans="2:5" ht="16.5" customHeight="1">
      <c r="B937" s="17"/>
      <c r="D937" s="17"/>
      <c r="E937" s="17"/>
    </row>
    <row r="938" spans="2:5" ht="16.5" customHeight="1">
      <c r="B938" s="17"/>
      <c r="D938" s="17"/>
      <c r="E938" s="17"/>
    </row>
    <row r="939" spans="2:5" ht="16.5" customHeight="1">
      <c r="B939" s="17"/>
      <c r="D939" s="17"/>
      <c r="E939" s="17"/>
    </row>
    <row r="940" spans="2:5" ht="16.5" customHeight="1">
      <c r="B940" s="17"/>
      <c r="D940" s="17"/>
      <c r="E940" s="17"/>
    </row>
    <row r="941" spans="2:5" ht="16.5" customHeight="1">
      <c r="B941" s="17"/>
      <c r="D941" s="17"/>
      <c r="E941" s="17"/>
    </row>
    <row r="942" spans="2:5" ht="16.5" customHeight="1">
      <c r="B942" s="17"/>
      <c r="D942" s="17"/>
      <c r="E942" s="17"/>
    </row>
    <row r="943" spans="2:5" ht="16.5" customHeight="1">
      <c r="B943" s="17"/>
      <c r="D943" s="17"/>
      <c r="E943" s="17"/>
    </row>
    <row r="944" spans="2:5" ht="16.5" customHeight="1">
      <c r="B944" s="17"/>
      <c r="D944" s="17"/>
      <c r="E944" s="17"/>
    </row>
    <row r="945" spans="2:5" ht="16.5" customHeight="1">
      <c r="B945" s="17"/>
      <c r="D945" s="17"/>
      <c r="E945" s="17"/>
    </row>
    <row r="946" spans="2:5" ht="16.5" customHeight="1">
      <c r="B946" s="17"/>
      <c r="D946" s="17"/>
      <c r="E946" s="17"/>
    </row>
    <row r="947" spans="2:5" ht="16.5" customHeight="1">
      <c r="B947" s="17"/>
      <c r="D947" s="17"/>
      <c r="E947" s="17"/>
    </row>
    <row r="948" spans="2:5" ht="16.5" customHeight="1">
      <c r="B948" s="17"/>
      <c r="D948" s="17"/>
      <c r="E948" s="17"/>
    </row>
    <row r="949" spans="2:5" ht="16.5" customHeight="1">
      <c r="B949" s="17"/>
      <c r="D949" s="17"/>
      <c r="E949" s="17"/>
    </row>
    <row r="950" spans="2:5" ht="16.5" customHeight="1">
      <c r="B950" s="17"/>
      <c r="D950" s="17"/>
      <c r="E950" s="17"/>
    </row>
    <row r="951" spans="2:5" ht="16.5" customHeight="1">
      <c r="B951" s="17"/>
      <c r="D951" s="17"/>
      <c r="E951" s="17"/>
    </row>
    <row r="952" spans="2:5" ht="16.5" customHeight="1">
      <c r="B952" s="17"/>
      <c r="D952" s="17"/>
      <c r="E952" s="17"/>
    </row>
    <row r="953" spans="2:5" ht="16.5" customHeight="1">
      <c r="B953" s="17"/>
      <c r="D953" s="17"/>
      <c r="E953" s="17"/>
    </row>
    <row r="954" spans="2:5" ht="16.5" customHeight="1">
      <c r="B954" s="17"/>
      <c r="D954" s="17"/>
      <c r="E954" s="17"/>
    </row>
    <row r="955" spans="2:5" ht="16.5" customHeight="1">
      <c r="B955" s="17"/>
      <c r="D955" s="17"/>
      <c r="E955" s="17"/>
    </row>
    <row r="956" spans="2:5" ht="16.5" customHeight="1">
      <c r="B956" s="17"/>
      <c r="D956" s="17"/>
      <c r="E956" s="17"/>
    </row>
    <row r="957" spans="2:5" ht="16.5" customHeight="1">
      <c r="B957" s="17"/>
      <c r="D957" s="17"/>
      <c r="E957" s="17"/>
    </row>
    <row r="958" spans="2:5" ht="16.5" customHeight="1">
      <c r="B958" s="17"/>
      <c r="D958" s="17"/>
      <c r="E958" s="17"/>
    </row>
    <row r="959" spans="2:5" ht="16.5" customHeight="1">
      <c r="B959" s="17"/>
      <c r="D959" s="17"/>
      <c r="E959" s="17"/>
    </row>
    <row r="960" spans="2:5" ht="16.5" customHeight="1">
      <c r="B960" s="17"/>
      <c r="D960" s="17"/>
      <c r="E960" s="17"/>
    </row>
    <row r="961" spans="2:5" ht="16.5" customHeight="1">
      <c r="B961" s="17"/>
      <c r="D961" s="17"/>
      <c r="E961" s="17"/>
    </row>
    <row r="962" spans="2:5" ht="16.5" customHeight="1">
      <c r="B962" s="17"/>
      <c r="D962" s="17"/>
      <c r="E962" s="17"/>
    </row>
    <row r="963" spans="2:5" ht="16.5" customHeight="1">
      <c r="B963" s="17"/>
      <c r="D963" s="17"/>
      <c r="E963" s="17"/>
    </row>
    <row r="964" spans="2:5" ht="16.5" customHeight="1">
      <c r="B964" s="17"/>
      <c r="D964" s="17"/>
      <c r="E964" s="17"/>
    </row>
    <row r="965" spans="2:5" ht="16.5" customHeight="1">
      <c r="B965" s="17"/>
      <c r="D965" s="17"/>
      <c r="E965" s="17"/>
    </row>
    <row r="966" spans="2:5" ht="16.5" customHeight="1">
      <c r="B966" s="17"/>
      <c r="D966" s="17"/>
      <c r="E966" s="17"/>
    </row>
    <row r="967" spans="2:5" ht="16.5" customHeight="1">
      <c r="B967" s="17"/>
      <c r="D967" s="17"/>
      <c r="E967" s="17"/>
    </row>
    <row r="968" spans="2:5" ht="16.5" customHeight="1">
      <c r="B968" s="17"/>
      <c r="D968" s="17"/>
      <c r="E968" s="17"/>
    </row>
    <row r="969" spans="2:5" ht="16.5" customHeight="1">
      <c r="B969" s="17"/>
      <c r="D969" s="17"/>
      <c r="E969" s="17"/>
    </row>
    <row r="970" spans="2:5" ht="16.5" customHeight="1">
      <c r="B970" s="17"/>
      <c r="D970" s="17"/>
      <c r="E970" s="17"/>
    </row>
    <row r="971" spans="2:5" ht="16.5" customHeight="1">
      <c r="B971" s="17"/>
      <c r="D971" s="17"/>
      <c r="E971" s="17"/>
    </row>
    <row r="972" spans="2:5" ht="16.5" customHeight="1">
      <c r="B972" s="17"/>
      <c r="D972" s="17"/>
      <c r="E972" s="17"/>
    </row>
    <row r="973" spans="2:5" ht="16.5" customHeight="1">
      <c r="B973" s="17"/>
      <c r="D973" s="17"/>
      <c r="E973" s="17"/>
    </row>
    <row r="974" spans="2:5" ht="16.5" customHeight="1">
      <c r="B974" s="17"/>
      <c r="D974" s="17"/>
      <c r="E974" s="17"/>
    </row>
    <row r="975" spans="2:5" ht="16.5" customHeight="1">
      <c r="B975" s="17"/>
      <c r="D975" s="17"/>
      <c r="E975" s="17"/>
    </row>
    <row r="976" spans="2:5" ht="16.5" customHeight="1">
      <c r="B976" s="17"/>
      <c r="D976" s="17"/>
      <c r="E976" s="17"/>
    </row>
    <row r="977" spans="2:5" ht="16.5" customHeight="1">
      <c r="B977" s="17"/>
      <c r="D977" s="17"/>
      <c r="E977" s="17"/>
    </row>
    <row r="978" spans="2:5" ht="16.5" customHeight="1">
      <c r="B978" s="17"/>
      <c r="D978" s="17"/>
      <c r="E978" s="17"/>
    </row>
    <row r="979" spans="2:5" ht="16.5" customHeight="1">
      <c r="B979" s="17"/>
      <c r="D979" s="17"/>
      <c r="E979" s="17"/>
    </row>
    <row r="980" spans="2:5" ht="16.5" customHeight="1">
      <c r="B980" s="17"/>
      <c r="D980" s="17"/>
      <c r="E980" s="17"/>
    </row>
    <row r="981" spans="2:5" ht="16.5" customHeight="1">
      <c r="B981" s="17"/>
      <c r="D981" s="17"/>
      <c r="E981" s="17"/>
    </row>
    <row r="982" spans="2:5" ht="16.5" customHeight="1">
      <c r="B982" s="17"/>
      <c r="D982" s="17"/>
      <c r="E982" s="17"/>
    </row>
    <row r="983" spans="2:5" ht="16.5" customHeight="1">
      <c r="B983" s="17"/>
      <c r="D983" s="17"/>
      <c r="E983" s="17"/>
    </row>
    <row r="984" spans="2:5" ht="16.5" customHeight="1">
      <c r="B984" s="17"/>
      <c r="D984" s="17"/>
      <c r="E984" s="17"/>
    </row>
    <row r="985" spans="2:5" ht="16.5" customHeight="1">
      <c r="B985" s="17"/>
      <c r="D985" s="17"/>
      <c r="E985" s="17"/>
    </row>
    <row r="986" spans="2:5" ht="16.5" customHeight="1">
      <c r="B986" s="17"/>
      <c r="D986" s="17"/>
      <c r="E986" s="17"/>
    </row>
    <row r="987" spans="2:5" ht="16.5" customHeight="1">
      <c r="B987" s="17"/>
      <c r="D987" s="17"/>
      <c r="E987" s="17"/>
    </row>
    <row r="988" spans="2:5" ht="16.5" customHeight="1">
      <c r="B988" s="17"/>
      <c r="D988" s="17"/>
      <c r="E988" s="17"/>
    </row>
    <row r="989" spans="2:5" ht="16.5" customHeight="1">
      <c r="B989" s="17"/>
      <c r="D989" s="17"/>
      <c r="E989" s="17"/>
    </row>
    <row r="990" spans="2:5" ht="16.5" customHeight="1">
      <c r="B990" s="17"/>
      <c r="D990" s="17"/>
      <c r="E990" s="17"/>
    </row>
    <row r="991" spans="2:5" ht="16.5" customHeight="1">
      <c r="B991" s="17"/>
      <c r="D991" s="17"/>
      <c r="E991" s="17"/>
    </row>
    <row r="992" spans="2:5" ht="16.5" customHeight="1">
      <c r="B992" s="17"/>
      <c r="D992" s="17"/>
      <c r="E992" s="17"/>
    </row>
    <row r="993" spans="2:5" ht="16.5" customHeight="1">
      <c r="B993" s="17"/>
      <c r="D993" s="17"/>
      <c r="E993" s="17"/>
    </row>
    <row r="994" spans="2:5" ht="16.5" customHeight="1">
      <c r="B994" s="17"/>
      <c r="D994" s="17"/>
      <c r="E994" s="17"/>
    </row>
    <row r="995" spans="2:5" ht="16.5" customHeight="1">
      <c r="B995" s="17"/>
      <c r="D995" s="17"/>
      <c r="E995" s="17"/>
    </row>
    <row r="996" spans="2:5" ht="16.5" customHeight="1">
      <c r="B996" s="17"/>
      <c r="D996" s="17"/>
      <c r="E996" s="17"/>
    </row>
    <row r="997" spans="2:5" ht="16.5" customHeight="1">
      <c r="B997" s="17"/>
      <c r="D997" s="17"/>
      <c r="E997" s="17"/>
    </row>
    <row r="998" spans="2:5" ht="16.5" customHeight="1">
      <c r="B998" s="17"/>
      <c r="D998" s="17"/>
      <c r="E998" s="17"/>
    </row>
    <row r="999" spans="2:5" ht="16.5" customHeight="1">
      <c r="B999" s="17"/>
      <c r="D999" s="17"/>
      <c r="E999" s="17"/>
    </row>
    <row r="1000" spans="2:5" ht="16.5" customHeight="1">
      <c r="B1000" s="17"/>
      <c r="D1000" s="17"/>
      <c r="E1000" s="17"/>
    </row>
  </sheetData>
  <mergeCells count="24">
    <mergeCell ref="A1:H1"/>
    <mergeCell ref="A2:B3"/>
    <mergeCell ref="C2:C3"/>
    <mergeCell ref="E2:E3"/>
    <mergeCell ref="F2:H2"/>
    <mergeCell ref="A4:A5"/>
    <mergeCell ref="A6:B6"/>
    <mergeCell ref="A8:B8"/>
    <mergeCell ref="A9:A10"/>
    <mergeCell ref="A12:A23"/>
    <mergeCell ref="G31:G37"/>
    <mergeCell ref="F34:F37"/>
    <mergeCell ref="A30:B30"/>
    <mergeCell ref="A32:A33"/>
    <mergeCell ref="B32:B33"/>
    <mergeCell ref="C32:C33"/>
    <mergeCell ref="D32:D33"/>
    <mergeCell ref="E32:E33"/>
    <mergeCell ref="A34:A37"/>
    <mergeCell ref="A38:B38"/>
    <mergeCell ref="A24:B24"/>
    <mergeCell ref="A25:B25"/>
    <mergeCell ref="A26:B26"/>
    <mergeCell ref="A27:B27"/>
  </mergeCells>
  <phoneticPr fontId="2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20"/>
  <sheetViews>
    <sheetView workbookViewId="0">
      <pane ySplit="3" topLeftCell="A4" activePane="bottomLeft" state="frozen"/>
      <selection pane="bottomLeft" activeCell="H15" sqref="H15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48.5703125" bestFit="1" customWidth="1"/>
    <col min="4" max="4" width="23" bestFit="1" customWidth="1"/>
    <col min="5" max="5" width="13.140625" bestFit="1" customWidth="1"/>
    <col min="6" max="6" width="14" bestFit="1" customWidth="1"/>
    <col min="7" max="7" width="12.28515625" customWidth="1"/>
    <col min="8" max="8" width="23" bestFit="1" customWidth="1"/>
    <col min="9" max="9" width="12.85546875" bestFit="1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15.28515625" bestFit="1" customWidth="1"/>
    <col min="17" max="17" width="9.5703125" customWidth="1"/>
    <col min="18" max="18" width="15.28515625" bestFit="1" customWidth="1"/>
    <col min="19" max="19" width="9.5703125" customWidth="1"/>
    <col min="20" max="20" width="17.28515625" bestFit="1" customWidth="1"/>
    <col min="21" max="21" width="8.28515625" bestFit="1" customWidth="1"/>
    <col min="22" max="22" width="15.28515625" bestFit="1" customWidth="1"/>
    <col min="23" max="23" width="9.5703125" bestFit="1" customWidth="1"/>
    <col min="24" max="24" width="12.28515625" bestFit="1" customWidth="1"/>
    <col min="25" max="25" width="7" bestFit="1" customWidth="1"/>
    <col min="26" max="26" width="14.85546875" bestFit="1" customWidth="1"/>
    <col min="27" max="27" width="8.28515625" bestFit="1" customWidth="1"/>
    <col min="28" max="28" width="7.5703125" customWidth="1"/>
    <col min="30" max="33" width="14.5703125" bestFit="1" customWidth="1"/>
    <col min="34" max="34" width="16" bestFit="1" customWidth="1"/>
    <col min="35" max="35" width="14.5703125" bestFit="1" customWidth="1"/>
    <col min="36" max="37" width="16" bestFit="1" customWidth="1"/>
    <col min="38" max="39" width="14.5703125" bestFit="1" customWidth="1"/>
    <col min="40" max="41" width="16" bestFit="1" customWidth="1"/>
    <col min="42" max="42" width="28.7109375" bestFit="1" customWidth="1"/>
    <col min="43" max="43" width="18.140625" bestFit="1" customWidth="1"/>
  </cols>
  <sheetData>
    <row r="1" spans="1:43" ht="16.5" customHeight="1">
      <c r="A1" s="581" t="s">
        <v>416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C1" s="63" t="s">
        <v>227</v>
      </c>
      <c r="AD1" s="64" t="s">
        <v>228</v>
      </c>
      <c r="AE1" s="64" t="s">
        <v>229</v>
      </c>
      <c r="AF1" s="64" t="s">
        <v>230</v>
      </c>
      <c r="AG1" s="64" t="s">
        <v>231</v>
      </c>
      <c r="AH1" s="64" t="s">
        <v>232</v>
      </c>
      <c r="AI1" s="64" t="s">
        <v>233</v>
      </c>
      <c r="AJ1" s="64" t="s">
        <v>234</v>
      </c>
      <c r="AK1" s="64" t="s">
        <v>235</v>
      </c>
      <c r="AL1" s="64" t="s">
        <v>236</v>
      </c>
      <c r="AM1" s="64" t="s">
        <v>237</v>
      </c>
      <c r="AN1" s="64" t="s">
        <v>238</v>
      </c>
      <c r="AO1" s="64" t="s">
        <v>239</v>
      </c>
      <c r="AP1" s="64" t="s">
        <v>240</v>
      </c>
      <c r="AQ1" s="64" t="s">
        <v>241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69" t="s">
        <v>243</v>
      </c>
      <c r="P2" s="513" t="s">
        <v>7</v>
      </c>
      <c r="Q2" s="459"/>
      <c r="R2" s="513" t="s">
        <v>244</v>
      </c>
      <c r="S2" s="459"/>
      <c r="T2" s="513" t="s">
        <v>31</v>
      </c>
      <c r="U2" s="459"/>
      <c r="V2" s="513" t="s">
        <v>72</v>
      </c>
      <c r="W2" s="459"/>
      <c r="X2" s="513" t="s">
        <v>84</v>
      </c>
      <c r="Y2" s="459"/>
      <c r="Z2" s="513" t="s">
        <v>245</v>
      </c>
      <c r="AA2" s="459"/>
      <c r="AD2" s="70">
        <f t="shared" ref="AD2:AO2" si="0">SUMIF($G4:$G168, AD1, $H4:$H168)</f>
        <v>14600000</v>
      </c>
      <c r="AE2" s="70">
        <f t="shared" si="0"/>
        <v>17381628</v>
      </c>
      <c r="AF2" s="70">
        <f t="shared" si="0"/>
        <v>75237443</v>
      </c>
      <c r="AG2" s="70">
        <f t="shared" si="0"/>
        <v>31017560</v>
      </c>
      <c r="AH2" s="70">
        <f t="shared" si="0"/>
        <v>425800124.92500001</v>
      </c>
      <c r="AI2" s="70">
        <f t="shared" si="0"/>
        <v>34766221.924999997</v>
      </c>
      <c r="AJ2" s="70">
        <f t="shared" si="0"/>
        <v>294111523.92500001</v>
      </c>
      <c r="AK2" s="70">
        <f t="shared" si="0"/>
        <v>864657473.92499995</v>
      </c>
      <c r="AL2" s="70">
        <f t="shared" si="0"/>
        <v>63120574.924999997</v>
      </c>
      <c r="AM2" s="70">
        <f t="shared" si="0"/>
        <v>45965083.924999997</v>
      </c>
      <c r="AN2" s="70">
        <f t="shared" si="0"/>
        <v>139065083.92500001</v>
      </c>
      <c r="AO2" s="70">
        <f t="shared" si="0"/>
        <v>673863083.92499995</v>
      </c>
      <c r="AP2" s="70">
        <f>SUM(AD2:AO2)</f>
        <v>2679585802.3999996</v>
      </c>
      <c r="AQ2" s="71">
        <f>$A$2-$AP$2</f>
        <v>276814197.60000038</v>
      </c>
    </row>
    <row r="3" spans="1:43" ht="16.5" customHeight="1">
      <c r="A3" s="72" t="s">
        <v>246</v>
      </c>
      <c r="B3" s="73" t="s">
        <v>247</v>
      </c>
      <c r="C3" s="74" t="s">
        <v>0</v>
      </c>
      <c r="D3" s="528" t="s">
        <v>248</v>
      </c>
      <c r="E3" s="529"/>
      <c r="F3" s="530"/>
      <c r="G3" s="73" t="s">
        <v>249</v>
      </c>
      <c r="H3" s="75" t="s">
        <v>250</v>
      </c>
      <c r="I3" s="76" t="s">
        <v>251</v>
      </c>
      <c r="J3" s="77" t="s">
        <v>252</v>
      </c>
      <c r="K3" s="78" t="s">
        <v>253</v>
      </c>
      <c r="O3" s="79" t="s">
        <v>254</v>
      </c>
      <c r="P3" s="80">
        <f>H18</f>
        <v>214498758.39999998</v>
      </c>
      <c r="Q3" s="81">
        <f>K18</f>
        <v>0.99999999999999989</v>
      </c>
      <c r="R3" s="80">
        <f>H31</f>
        <v>179000000</v>
      </c>
      <c r="S3" s="81">
        <f>K31</f>
        <v>1</v>
      </c>
      <c r="T3" s="80">
        <f>H46</f>
        <v>1229537390</v>
      </c>
      <c r="U3" s="81">
        <f>K46</f>
        <v>0.98222933939820001</v>
      </c>
      <c r="V3" s="80">
        <f>H66</f>
        <v>73075500</v>
      </c>
      <c r="W3" s="81">
        <f>K66</f>
        <v>0.67637762114782096</v>
      </c>
      <c r="X3" s="80">
        <f>H143</f>
        <v>8829000</v>
      </c>
      <c r="Y3" s="81">
        <f>K143</f>
        <v>0</v>
      </c>
      <c r="Z3" s="82">
        <f>H144</f>
        <v>1830000</v>
      </c>
      <c r="AA3" s="83">
        <f>K144</f>
        <v>0</v>
      </c>
      <c r="AD3" s="84">
        <f t="shared" ref="AD3:AQ3" si="1">AD2/$A$2</f>
        <v>4.9384386415911247E-3</v>
      </c>
      <c r="AE3" s="84">
        <f t="shared" si="1"/>
        <v>5.8793221485590585E-3</v>
      </c>
      <c r="AF3" s="84">
        <f t="shared" si="1"/>
        <v>2.5449006562034908E-2</v>
      </c>
      <c r="AG3" s="84">
        <f t="shared" si="1"/>
        <v>1.049166553916926E-2</v>
      </c>
      <c r="AH3" s="84">
        <f t="shared" si="1"/>
        <v>0.14402656099479097</v>
      </c>
      <c r="AI3" s="84">
        <f t="shared" si="1"/>
        <v>1.1759647518941955E-2</v>
      </c>
      <c r="AJ3" s="84">
        <f t="shared" si="1"/>
        <v>9.9482994156744692E-2</v>
      </c>
      <c r="AK3" s="84">
        <f t="shared" si="1"/>
        <v>0.2924697178747801</v>
      </c>
      <c r="AL3" s="84">
        <f t="shared" si="1"/>
        <v>2.1350485362264915E-2</v>
      </c>
      <c r="AM3" s="84">
        <f t="shared" si="1"/>
        <v>1.5547653878027329E-2</v>
      </c>
      <c r="AN3" s="84">
        <f t="shared" si="1"/>
        <v>4.7038656448721419E-2</v>
      </c>
      <c r="AO3" s="84">
        <f t="shared" si="1"/>
        <v>0.22793366389020428</v>
      </c>
      <c r="AP3" s="84">
        <f t="shared" si="1"/>
        <v>0.90636781301582992</v>
      </c>
      <c r="AQ3" s="84">
        <f t="shared" si="1"/>
        <v>9.3632186984170071E-2</v>
      </c>
    </row>
    <row r="4" spans="1:43" ht="16.5" customHeight="1">
      <c r="A4" s="489" t="s">
        <v>7</v>
      </c>
      <c r="B4" s="490" t="s">
        <v>255</v>
      </c>
      <c r="C4" s="515">
        <f>예산!G14</f>
        <v>121138758.40000001</v>
      </c>
      <c r="D4" s="85" t="s">
        <v>15</v>
      </c>
      <c r="E4" s="526">
        <f>예산!G7</f>
        <v>5871208</v>
      </c>
      <c r="F4" s="459"/>
      <c r="G4" s="312" t="s">
        <v>229</v>
      </c>
      <c r="H4" s="313">
        <f>1192128+예산!E8</f>
        <v>2781628</v>
      </c>
      <c r="I4" s="87">
        <v>45776</v>
      </c>
      <c r="J4" s="85"/>
      <c r="K4" s="517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44"/>
      <c r="B5" s="444"/>
      <c r="C5" s="444"/>
      <c r="D5" s="85" t="s">
        <v>19</v>
      </c>
      <c r="E5" s="526">
        <f>예산!G8</f>
        <v>4768500</v>
      </c>
      <c r="F5" s="459"/>
      <c r="G5" s="312" t="s">
        <v>230</v>
      </c>
      <c r="H5" s="313">
        <f>예산!E7+예산!E8</f>
        <v>3405260</v>
      </c>
      <c r="I5" s="87"/>
      <c r="J5" s="85"/>
      <c r="K5" s="444"/>
      <c r="O5" s="60">
        <v>45804</v>
      </c>
      <c r="P5" s="61">
        <v>6186888</v>
      </c>
      <c r="Q5" s="62">
        <v>3.3409557680337008E-2</v>
      </c>
      <c r="R5" s="61">
        <v>29200000</v>
      </c>
      <c r="S5" s="62">
        <v>0.14384236453201971</v>
      </c>
      <c r="T5" s="61">
        <v>0</v>
      </c>
      <c r="U5" s="62">
        <v>0</v>
      </c>
      <c r="V5" s="61">
        <v>0</v>
      </c>
      <c r="W5" s="62">
        <v>0</v>
      </c>
      <c r="X5" s="61">
        <v>12540700</v>
      </c>
      <c r="Y5" s="62">
        <v>1.0181921250117498E-2</v>
      </c>
      <c r="Z5" s="61">
        <v>47927588</v>
      </c>
      <c r="AA5" s="62">
        <v>1.6212456447760992E-2</v>
      </c>
    </row>
    <row r="6" spans="1:43" ht="16.5" customHeight="1">
      <c r="A6" s="444"/>
      <c r="B6" s="444"/>
      <c r="C6" s="444"/>
      <c r="D6" s="85" t="s">
        <v>256</v>
      </c>
      <c r="E6" s="526">
        <f>예산!G10</f>
        <v>37350216</v>
      </c>
      <c r="F6" s="459"/>
      <c r="G6" s="312" t="s">
        <v>231</v>
      </c>
      <c r="H6" s="313">
        <f>SUM(예산!$E$7:$E$8)</f>
        <v>3405260</v>
      </c>
      <c r="I6" s="87"/>
      <c r="J6" s="85"/>
      <c r="K6" s="444"/>
      <c r="O6" s="60"/>
      <c r="P6" s="61">
        <v>214498758.39999998</v>
      </c>
      <c r="Q6" s="62">
        <v>0.99999999999999989</v>
      </c>
      <c r="R6" s="61">
        <v>179000000</v>
      </c>
      <c r="S6" s="62">
        <v>1</v>
      </c>
      <c r="T6" s="61">
        <v>1229517390</v>
      </c>
      <c r="U6" s="62">
        <v>0.98221728545520381</v>
      </c>
      <c r="V6" s="61">
        <v>108039500</v>
      </c>
      <c r="W6" s="62">
        <v>1</v>
      </c>
      <c r="X6" s="61">
        <v>8829000</v>
      </c>
      <c r="Y6" s="62">
        <v>0</v>
      </c>
      <c r="Z6" s="61">
        <v>1830000</v>
      </c>
      <c r="AA6" s="62">
        <v>0</v>
      </c>
    </row>
    <row r="7" spans="1:43" ht="16.5" customHeight="1">
      <c r="A7" s="444"/>
      <c r="B7" s="444"/>
      <c r="C7" s="444"/>
      <c r="D7" s="85" t="s">
        <v>256</v>
      </c>
      <c r="E7" s="526">
        <f>예산!G11</f>
        <v>32681439</v>
      </c>
      <c r="F7" s="459"/>
      <c r="G7" s="312" t="s">
        <v>232</v>
      </c>
      <c r="H7" s="313">
        <f>SUM(예산!$E$9:$E$10)</f>
        <v>7119884.9249999998</v>
      </c>
      <c r="I7" s="87"/>
      <c r="J7" s="85"/>
      <c r="K7" s="444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43" ht="16.5" customHeight="1">
      <c r="A8" s="444"/>
      <c r="B8" s="444"/>
      <c r="C8" s="444"/>
      <c r="D8" s="578"/>
      <c r="E8" s="579"/>
      <c r="F8" s="537"/>
      <c r="G8" s="312" t="s">
        <v>233</v>
      </c>
      <c r="H8" s="313">
        <f>SUM(예산!$E$9:$E$11)+1047560</f>
        <v>12836221.925000001</v>
      </c>
      <c r="I8" s="87"/>
      <c r="J8" s="85"/>
      <c r="K8" s="444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43" ht="16.5" customHeight="1">
      <c r="A9" s="444"/>
      <c r="B9" s="444"/>
      <c r="C9" s="444"/>
      <c r="D9" s="453"/>
      <c r="E9" s="451"/>
      <c r="F9" s="580"/>
      <c r="G9" s="312" t="s">
        <v>234</v>
      </c>
      <c r="H9" s="313">
        <f>SUM(예산!$E$9:$E$12)</f>
        <v>15265083.925000001</v>
      </c>
      <c r="I9" s="87"/>
      <c r="J9" s="85"/>
      <c r="K9" s="444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43" ht="16.5" customHeight="1">
      <c r="A10" s="444"/>
      <c r="B10" s="444"/>
      <c r="C10" s="444"/>
      <c r="D10" s="453"/>
      <c r="E10" s="451"/>
      <c r="F10" s="580"/>
      <c r="G10" s="85" t="s">
        <v>235</v>
      </c>
      <c r="H10" s="86">
        <f>SUM(예산!$E$9:$E$12)</f>
        <v>15265083.925000001</v>
      </c>
      <c r="I10" s="87"/>
      <c r="J10" s="85"/>
      <c r="K10" s="444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44"/>
      <c r="B11" s="444"/>
      <c r="C11" s="444"/>
      <c r="D11" s="453"/>
      <c r="E11" s="451"/>
      <c r="F11" s="580"/>
      <c r="G11" s="85" t="s">
        <v>236</v>
      </c>
      <c r="H11" s="86">
        <f>SUM(예산!$E$9:$E$12)</f>
        <v>15265083.925000001</v>
      </c>
      <c r="I11" s="87"/>
      <c r="J11" s="85"/>
      <c r="K11" s="444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44"/>
      <c r="B12" s="444"/>
      <c r="C12" s="444"/>
      <c r="D12" s="453"/>
      <c r="E12" s="451"/>
      <c r="F12" s="580"/>
      <c r="G12" s="85" t="s">
        <v>237</v>
      </c>
      <c r="H12" s="86">
        <f>SUM(예산!$E$9:$E$12)</f>
        <v>15265083.925000001</v>
      </c>
      <c r="I12" s="87"/>
      <c r="J12" s="85"/>
      <c r="K12" s="444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44"/>
      <c r="B13" s="444"/>
      <c r="C13" s="444"/>
      <c r="D13" s="453"/>
      <c r="E13" s="451"/>
      <c r="F13" s="580"/>
      <c r="G13" s="85" t="s">
        <v>383</v>
      </c>
      <c r="H13" s="86">
        <f>SUM(예산!$E$9:$E$12)</f>
        <v>15265083.925000001</v>
      </c>
      <c r="I13" s="87"/>
      <c r="J13" s="85"/>
      <c r="K13" s="444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44"/>
      <c r="B14" s="446"/>
      <c r="C14" s="446"/>
      <c r="D14" s="456"/>
      <c r="E14" s="552"/>
      <c r="F14" s="538"/>
      <c r="G14" s="85" t="s">
        <v>379</v>
      </c>
      <c r="H14" s="86">
        <f>SUM(예산!$E$9:$E$12)</f>
        <v>15265083.925000001</v>
      </c>
      <c r="I14" s="87"/>
      <c r="J14" s="85"/>
      <c r="K14" s="446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44"/>
      <c r="B15" s="478" t="s">
        <v>21</v>
      </c>
      <c r="C15" s="458"/>
      <c r="D15" s="459"/>
      <c r="E15" s="88">
        <f>SUM(E4:E14)</f>
        <v>80671363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44"/>
      <c r="B16" s="85" t="s">
        <v>26</v>
      </c>
      <c r="C16" s="92">
        <f>예산!G19</f>
        <v>93360000</v>
      </c>
      <c r="D16" s="85"/>
      <c r="E16" s="86"/>
      <c r="F16" s="85"/>
      <c r="G16" s="85"/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6"/>
      <c r="B17" s="478" t="s">
        <v>21</v>
      </c>
      <c r="C17" s="458"/>
      <c r="D17" s="459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494" t="s">
        <v>257</v>
      </c>
      <c r="B18" s="458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14"/>
      <c r="J18" s="459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489" t="s">
        <v>244</v>
      </c>
      <c r="B19" s="85" t="s">
        <v>244</v>
      </c>
      <c r="C19" s="103">
        <f>예산!G26</f>
        <v>179000000</v>
      </c>
      <c r="D19" s="85"/>
      <c r="E19" s="86"/>
      <c r="F19" s="85"/>
      <c r="G19" s="312" t="s">
        <v>228</v>
      </c>
      <c r="H19" s="314">
        <f t="shared" ref="H19:H21" si="2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4"/>
      <c r="B20" s="85"/>
      <c r="C20" s="103"/>
      <c r="D20" s="85"/>
      <c r="E20" s="86"/>
      <c r="F20" s="85"/>
      <c r="G20" s="312" t="s">
        <v>229</v>
      </c>
      <c r="H20" s="314">
        <f t="shared" si="2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4"/>
      <c r="B21" s="85"/>
      <c r="C21" s="92"/>
      <c r="D21" s="85"/>
      <c r="E21" s="86"/>
      <c r="F21" s="85"/>
      <c r="G21" s="312" t="s">
        <v>230</v>
      </c>
      <c r="H21" s="314">
        <f t="shared" si="2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4"/>
      <c r="B22" s="85"/>
      <c r="C22" s="92"/>
      <c r="D22" s="85"/>
      <c r="E22" s="86"/>
      <c r="F22" s="85"/>
      <c r="G22" s="312" t="s">
        <v>231</v>
      </c>
      <c r="H22" s="314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4"/>
      <c r="B23" s="85"/>
      <c r="C23" s="92"/>
      <c r="D23" s="85"/>
      <c r="E23" s="86"/>
      <c r="F23" s="85"/>
      <c r="G23" s="312" t="s">
        <v>232</v>
      </c>
      <c r="H23" s="314">
        <f t="shared" ref="H23:H24" si="3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4"/>
      <c r="B24" s="85"/>
      <c r="C24" s="92"/>
      <c r="D24" s="85"/>
      <c r="E24" s="86"/>
      <c r="F24" s="85"/>
      <c r="G24" s="312" t="s">
        <v>233</v>
      </c>
      <c r="H24" s="314">
        <f t="shared" si="3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4"/>
      <c r="B25" s="85"/>
      <c r="C25" s="92"/>
      <c r="D25" s="85"/>
      <c r="E25" s="86"/>
      <c r="F25" s="85"/>
      <c r="G25" s="312" t="s">
        <v>234</v>
      </c>
      <c r="H25" s="314">
        <f>1300000*4+900000*16</f>
        <v>19600000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4"/>
      <c r="B26" s="85"/>
      <c r="C26" s="92"/>
      <c r="D26" s="85"/>
      <c r="E26" s="86"/>
      <c r="F26" s="85"/>
      <c r="G26" s="85" t="s">
        <v>235</v>
      </c>
      <c r="H26" s="104">
        <f>1300000*4+900000*16</f>
        <v>19600000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4"/>
      <c r="B27" s="85"/>
      <c r="C27" s="92"/>
      <c r="D27" s="85"/>
      <c r="E27" s="86"/>
      <c r="F27" s="85"/>
      <c r="G27" s="85" t="s">
        <v>236</v>
      </c>
      <c r="H27" s="104">
        <f>1300000*4+900000*16</f>
        <v>19600000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4"/>
      <c r="B28" s="85"/>
      <c r="C28" s="92"/>
      <c r="D28" s="85"/>
      <c r="E28" s="86"/>
      <c r="F28" s="85"/>
      <c r="G28" s="85" t="s">
        <v>237</v>
      </c>
      <c r="H28" s="104">
        <f>1300000*4+900000*16</f>
        <v>19600000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4"/>
      <c r="B29" s="85"/>
      <c r="C29" s="92"/>
      <c r="D29" s="85"/>
      <c r="E29" s="86"/>
      <c r="F29" s="85"/>
      <c r="G29" s="85" t="s">
        <v>238</v>
      </c>
      <c r="H29" s="104">
        <f>1300000*4+900000*4</f>
        <v>8800000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46"/>
      <c r="B30" s="85"/>
      <c r="C30" s="105"/>
      <c r="D30" s="85"/>
      <c r="E30" s="86"/>
      <c r="F30" s="85"/>
      <c r="G30" s="85" t="s">
        <v>239</v>
      </c>
      <c r="H30" s="104">
        <f>1300000*4+900000*4</f>
        <v>8800000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494" t="s">
        <v>258</v>
      </c>
      <c r="B31" s="458"/>
      <c r="C31" s="96">
        <f>C19</f>
        <v>179000000</v>
      </c>
      <c r="D31" s="97"/>
      <c r="E31" s="98">
        <f>C31</f>
        <v>179000000</v>
      </c>
      <c r="F31" s="99"/>
      <c r="G31" s="100"/>
      <c r="H31" s="101">
        <f>SUM(H19:H30)</f>
        <v>179000000</v>
      </c>
      <c r="I31" s="514"/>
      <c r="J31" s="459"/>
      <c r="K31" s="102">
        <f>H31/C31</f>
        <v>1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89" t="s">
        <v>31</v>
      </c>
      <c r="B32" s="490" t="s">
        <v>259</v>
      </c>
      <c r="C32" s="11" t="s">
        <v>46</v>
      </c>
      <c r="D32" s="85"/>
      <c r="E32" s="86">
        <f>예산!G69+예산!G70</f>
        <v>503952190</v>
      </c>
      <c r="F32" s="85"/>
      <c r="G32" s="85" t="s">
        <v>378</v>
      </c>
      <c r="H32" s="104">
        <f>E32</f>
        <v>503952190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44"/>
      <c r="B33" s="444"/>
      <c r="C33" s="11" t="s">
        <v>99</v>
      </c>
      <c r="D33" s="85"/>
      <c r="E33" s="86">
        <f>예산!G71</f>
        <v>29920000</v>
      </c>
      <c r="F33" s="85"/>
      <c r="G33" s="312" t="s">
        <v>377</v>
      </c>
      <c r="H33" s="314">
        <f t="shared" ref="H33:H40" si="4">E33</f>
        <v>29920000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44"/>
      <c r="B34" s="444"/>
      <c r="C34" s="11" t="s">
        <v>101</v>
      </c>
      <c r="D34" s="85"/>
      <c r="E34" s="86">
        <f>예산!G72</f>
        <v>97163000</v>
      </c>
      <c r="F34" s="85"/>
      <c r="G34" s="85" t="s">
        <v>378</v>
      </c>
      <c r="H34" s="104">
        <f t="shared" si="4"/>
        <v>97163000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44"/>
      <c r="B35" s="444"/>
      <c r="C35" s="11" t="s">
        <v>103</v>
      </c>
      <c r="D35" s="85"/>
      <c r="E35" s="86">
        <f>예산!G73</f>
        <v>98474200</v>
      </c>
      <c r="F35" s="85"/>
      <c r="G35" s="85" t="s">
        <v>378</v>
      </c>
      <c r="H35" s="104">
        <f t="shared" si="4"/>
        <v>98474200</v>
      </c>
      <c r="I35" s="87"/>
      <c r="J35" s="85" t="s">
        <v>407</v>
      </c>
      <c r="K35" s="93">
        <f>SUM(H32:H35,H39:H40)/A2</f>
        <v>0.25691360776620215</v>
      </c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45"/>
      <c r="B36" s="445"/>
      <c r="C36" s="11" t="s">
        <v>341</v>
      </c>
      <c r="D36" s="85"/>
      <c r="E36" s="86">
        <v>340000000</v>
      </c>
      <c r="F36" s="85"/>
      <c r="G36" s="85" t="s">
        <v>379</v>
      </c>
      <c r="H36" s="86">
        <v>340000000</v>
      </c>
      <c r="I36" s="87"/>
      <c r="J36" s="85"/>
      <c r="K36" s="93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45"/>
      <c r="B37" s="445"/>
      <c r="C37" s="11" t="s">
        <v>340</v>
      </c>
      <c r="D37" s="85"/>
      <c r="E37" s="86">
        <v>85000000</v>
      </c>
      <c r="F37" s="85"/>
      <c r="G37" s="85" t="s">
        <v>383</v>
      </c>
      <c r="H37" s="104">
        <f t="shared" si="4"/>
        <v>85000000</v>
      </c>
      <c r="I37" s="87"/>
      <c r="J37" s="85" t="s">
        <v>408</v>
      </c>
      <c r="K37" s="93">
        <f>SUM(H36:H38)/A2</f>
        <v>0.15829995941009337</v>
      </c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45"/>
      <c r="B38" s="445"/>
      <c r="C38" s="11" t="s">
        <v>380</v>
      </c>
      <c r="D38" s="85"/>
      <c r="E38" s="86">
        <v>42998000</v>
      </c>
      <c r="F38" s="85"/>
      <c r="G38" s="312" t="s">
        <v>385</v>
      </c>
      <c r="H38" s="314">
        <f t="shared" si="4"/>
        <v>42998000</v>
      </c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45"/>
      <c r="B39" s="445"/>
      <c r="C39" s="11" t="s">
        <v>381</v>
      </c>
      <c r="D39" s="85"/>
      <c r="E39" s="86">
        <v>22000000</v>
      </c>
      <c r="F39" s="85"/>
      <c r="G39" s="312" t="s">
        <v>385</v>
      </c>
      <c r="H39" s="314">
        <f t="shared" si="4"/>
        <v>22000000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44"/>
      <c r="B40" s="446"/>
      <c r="C40" s="246" t="s">
        <v>382</v>
      </c>
      <c r="D40" s="85"/>
      <c r="E40" s="86">
        <v>8030000</v>
      </c>
      <c r="F40" s="85"/>
      <c r="G40" s="312" t="s">
        <v>403</v>
      </c>
      <c r="H40" s="314">
        <f t="shared" si="4"/>
        <v>8030000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44"/>
      <c r="B41" s="478" t="s">
        <v>21</v>
      </c>
      <c r="C41" s="458"/>
      <c r="D41" s="459"/>
      <c r="E41" s="88"/>
      <c r="F41" s="94"/>
      <c r="G41" s="89"/>
      <c r="H41" s="88">
        <f>SUM(H32:H40)</f>
        <v>1227537390</v>
      </c>
      <c r="I41" s="90"/>
      <c r="J41" s="89"/>
      <c r="K41" s="91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44"/>
      <c r="B42" s="490" t="s">
        <v>70</v>
      </c>
      <c r="C42" s="29" t="s">
        <v>107</v>
      </c>
      <c r="D42" s="85"/>
      <c r="E42" s="86">
        <f>예산!G87</f>
        <v>0</v>
      </c>
      <c r="F42" s="85"/>
      <c r="G42" s="85" t="s">
        <v>239</v>
      </c>
      <c r="H42" s="86"/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44"/>
      <c r="B43" s="444"/>
      <c r="C43" s="11" t="s">
        <v>112</v>
      </c>
      <c r="D43" s="85"/>
      <c r="E43" s="86">
        <f>예산!G88</f>
        <v>0</v>
      </c>
      <c r="F43" s="85"/>
      <c r="G43" s="85" t="s">
        <v>239</v>
      </c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44"/>
      <c r="B44" s="446"/>
      <c r="C44" s="11" t="s">
        <v>114</v>
      </c>
      <c r="D44" s="85"/>
      <c r="E44" s="86">
        <f>예산!G89</f>
        <v>2000000</v>
      </c>
      <c r="F44" s="85"/>
      <c r="G44" s="85" t="s">
        <v>239</v>
      </c>
      <c r="H44" s="86">
        <f t="shared" ref="H44" si="5">E44</f>
        <v>2000000</v>
      </c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46"/>
      <c r="B45" s="478" t="s">
        <v>21</v>
      </c>
      <c r="C45" s="458"/>
      <c r="D45" s="459"/>
      <c r="E45" s="88"/>
      <c r="F45" s="89"/>
      <c r="G45" s="89"/>
      <c r="H45" s="95">
        <f>SUM(H42:H44)</f>
        <v>2000000</v>
      </c>
      <c r="I45" s="90"/>
      <c r="J45" s="89"/>
      <c r="K45" s="91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 thickBot="1">
      <c r="A46" s="494" t="s">
        <v>260</v>
      </c>
      <c r="B46" s="458"/>
      <c r="C46" s="96">
        <f>예산!G66</f>
        <v>1251782390</v>
      </c>
      <c r="D46" s="97"/>
      <c r="E46" s="98"/>
      <c r="F46" s="99"/>
      <c r="G46" s="100"/>
      <c r="H46" s="101">
        <f>H41+H45</f>
        <v>1229537390</v>
      </c>
      <c r="I46" s="514"/>
      <c r="J46" s="459"/>
      <c r="K46" s="102">
        <f>H46/C46</f>
        <v>0.98222933939820001</v>
      </c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95" t="s">
        <v>72</v>
      </c>
      <c r="B47" s="490" t="s">
        <v>280</v>
      </c>
      <c r="C47" s="103" t="s">
        <v>262</v>
      </c>
      <c r="D47" s="85"/>
      <c r="E47" s="86">
        <f>예산!$G100</f>
        <v>3075509</v>
      </c>
      <c r="F47" s="85"/>
      <c r="G47" s="312" t="s">
        <v>230</v>
      </c>
      <c r="H47" s="313">
        <f>예산!$G100</f>
        <v>3075509</v>
      </c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496"/>
      <c r="B48" s="444"/>
      <c r="C48" s="103" t="s">
        <v>263</v>
      </c>
      <c r="D48" s="85"/>
      <c r="E48" s="86">
        <f>예산!$G104+예산!$G105</f>
        <v>9608500</v>
      </c>
      <c r="F48" s="85"/>
      <c r="G48" s="312" t="s">
        <v>231</v>
      </c>
      <c r="H48" s="313">
        <f>예산!$G104+예산!$G105</f>
        <v>9608500</v>
      </c>
      <c r="I48" s="87"/>
      <c r="J48" s="85"/>
      <c r="K48" s="93"/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496"/>
      <c r="B49" s="444"/>
      <c r="C49" s="92" t="s">
        <v>264</v>
      </c>
      <c r="D49" s="85"/>
      <c r="E49" s="86">
        <f>예산!$G108</f>
        <v>19250000</v>
      </c>
      <c r="F49" s="85"/>
      <c r="G49" s="312" t="s">
        <v>230</v>
      </c>
      <c r="H49" s="313">
        <f>예산!$G108</f>
        <v>19250000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96"/>
      <c r="B50" s="446"/>
      <c r="C50" s="92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96"/>
      <c r="B51" s="498" t="s">
        <v>265</v>
      </c>
      <c r="C51" s="486" t="s">
        <v>266</v>
      </c>
      <c r="D51" s="85"/>
      <c r="E51" s="86">
        <f>예산!$G106-10640000</f>
        <v>24825491</v>
      </c>
      <c r="F51" s="85"/>
      <c r="G51" s="85" t="s">
        <v>236</v>
      </c>
      <c r="H51" s="86">
        <f>E51</f>
        <v>24825491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96"/>
      <c r="B52" s="499"/>
      <c r="C52" s="488"/>
      <c r="D52" s="85"/>
      <c r="E52" s="86">
        <v>10640000</v>
      </c>
      <c r="F52" s="85"/>
      <c r="G52" s="312" t="s">
        <v>377</v>
      </c>
      <c r="H52" s="317">
        <f>E52</f>
        <v>10640000</v>
      </c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96"/>
      <c r="B53" s="499"/>
      <c r="C53" s="501" t="s">
        <v>139</v>
      </c>
      <c r="D53" s="85"/>
      <c r="E53" s="86">
        <f>예산!$G109</f>
        <v>5676000</v>
      </c>
      <c r="F53" s="85"/>
      <c r="G53" s="255" t="s">
        <v>385</v>
      </c>
      <c r="H53" s="266">
        <f>예산!$G109</f>
        <v>5676000</v>
      </c>
      <c r="I53" s="319"/>
      <c r="J53" s="237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96"/>
      <c r="B54" s="499"/>
      <c r="C54" s="502"/>
      <c r="D54" s="236"/>
      <c r="E54" s="86"/>
      <c r="F54" s="85"/>
      <c r="G54" s="255"/>
      <c r="H54" s="266"/>
      <c r="I54" s="284"/>
      <c r="J54" s="238"/>
      <c r="K54" s="318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96"/>
      <c r="B55" s="499"/>
      <c r="C55" s="502"/>
      <c r="D55" s="236"/>
      <c r="E55" s="86"/>
      <c r="F55" s="85"/>
      <c r="G55" s="255"/>
      <c r="H55" s="266"/>
      <c r="I55" s="284"/>
      <c r="J55" s="238"/>
      <c r="K55" s="318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96"/>
      <c r="B56" s="499"/>
      <c r="C56" s="502"/>
      <c r="D56" s="236"/>
      <c r="E56" s="86"/>
      <c r="F56" s="85"/>
      <c r="G56" s="255"/>
      <c r="H56" s="266"/>
      <c r="I56" s="284"/>
      <c r="J56" s="238"/>
      <c r="K56" s="318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96"/>
      <c r="B57" s="499"/>
      <c r="C57" s="502"/>
      <c r="D57" s="236"/>
      <c r="E57" s="86"/>
      <c r="F57" s="85"/>
      <c r="G57" s="255"/>
      <c r="H57" s="266"/>
      <c r="I57" s="284"/>
      <c r="J57" s="238"/>
      <c r="K57" s="318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96"/>
      <c r="B58" s="499"/>
      <c r="C58" s="502"/>
      <c r="D58" s="236"/>
      <c r="E58" s="86"/>
      <c r="F58" s="85"/>
      <c r="G58" s="255"/>
      <c r="H58" s="266"/>
      <c r="I58" s="284"/>
      <c r="J58" s="238"/>
      <c r="K58" s="318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96"/>
      <c r="B59" s="499"/>
      <c r="C59" s="502"/>
      <c r="D59" s="236"/>
      <c r="E59" s="86"/>
      <c r="F59" s="85"/>
      <c r="G59" s="255"/>
      <c r="H59" s="266"/>
      <c r="I59" s="284"/>
      <c r="J59" s="238"/>
      <c r="K59" s="318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96"/>
      <c r="B60" s="499"/>
      <c r="C60" s="502"/>
      <c r="D60" s="236"/>
      <c r="E60" s="86"/>
      <c r="F60" s="85"/>
      <c r="G60" s="255"/>
      <c r="H60" s="266"/>
      <c r="I60" s="284"/>
      <c r="J60" s="238"/>
      <c r="K60" s="318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96"/>
      <c r="B61" s="499"/>
      <c r="C61" s="502"/>
      <c r="D61" s="236"/>
      <c r="E61" s="86"/>
      <c r="F61" s="85"/>
      <c r="G61" s="255"/>
      <c r="H61" s="266"/>
      <c r="I61" s="284"/>
      <c r="J61" s="238"/>
      <c r="K61" s="318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96"/>
      <c r="B62" s="499"/>
      <c r="C62" s="502"/>
      <c r="D62" s="236"/>
      <c r="E62" s="86"/>
      <c r="F62" s="85"/>
      <c r="G62" s="255"/>
      <c r="H62" s="266"/>
      <c r="I62" s="284"/>
      <c r="J62" s="238"/>
      <c r="K62" s="318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96"/>
      <c r="B63" s="499"/>
      <c r="C63" s="502"/>
      <c r="D63" s="236"/>
      <c r="E63" s="86"/>
      <c r="F63" s="85"/>
      <c r="G63" s="255"/>
      <c r="H63" s="266"/>
      <c r="I63" s="284"/>
      <c r="J63" s="238"/>
      <c r="K63" s="318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96"/>
      <c r="B64" s="499"/>
      <c r="C64" s="502"/>
      <c r="D64" s="236"/>
      <c r="E64" s="86"/>
      <c r="F64" s="85"/>
      <c r="G64" s="255"/>
      <c r="H64" s="266"/>
      <c r="I64" s="284"/>
      <c r="J64" s="238"/>
      <c r="K64" s="318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 thickBot="1">
      <c r="A65" s="497"/>
      <c r="B65" s="500"/>
      <c r="C65" s="503"/>
      <c r="D65" s="236"/>
      <c r="E65" s="86"/>
      <c r="F65" s="85"/>
      <c r="G65" s="255"/>
      <c r="H65" s="266"/>
      <c r="I65" s="284"/>
      <c r="J65" s="238"/>
      <c r="K65" s="318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 thickBot="1">
      <c r="A66" s="494" t="s">
        <v>267</v>
      </c>
      <c r="B66" s="458"/>
      <c r="C66" s="96">
        <f>예산!G97</f>
        <v>108039500</v>
      </c>
      <c r="D66" s="97"/>
      <c r="E66" s="98"/>
      <c r="F66" s="99"/>
      <c r="G66" s="100"/>
      <c r="H66" s="278">
        <f>SUM(H47:H53)</f>
        <v>73075500</v>
      </c>
      <c r="I66" s="491"/>
      <c r="J66" s="466"/>
      <c r="K66" s="102">
        <f>H66/C66</f>
        <v>0.67637762114782096</v>
      </c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489" t="s">
        <v>84</v>
      </c>
      <c r="B67" s="507" t="s">
        <v>268</v>
      </c>
      <c r="C67" s="103" t="s">
        <v>269</v>
      </c>
      <c r="D67" s="85" t="s">
        <v>270</v>
      </c>
      <c r="E67" s="86">
        <v>5500000</v>
      </c>
      <c r="F67" s="85"/>
      <c r="G67" s="312" t="s">
        <v>230</v>
      </c>
      <c r="H67" s="314">
        <f>E67</f>
        <v>5500000</v>
      </c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44"/>
      <c r="B68" s="508"/>
      <c r="C68" s="486" t="s">
        <v>374</v>
      </c>
      <c r="D68" s="85" t="s">
        <v>375</v>
      </c>
      <c r="E68" s="86">
        <v>5000000</v>
      </c>
      <c r="F68" s="85"/>
      <c r="G68" s="312" t="s">
        <v>377</v>
      </c>
      <c r="H68" s="314">
        <f>E68</f>
        <v>5000000</v>
      </c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44"/>
      <c r="B69" s="508"/>
      <c r="C69" s="487"/>
      <c r="D69" s="85" t="s">
        <v>399</v>
      </c>
      <c r="E69" s="86">
        <v>5000000</v>
      </c>
      <c r="F69" s="85"/>
      <c r="G69" s="312" t="s">
        <v>377</v>
      </c>
      <c r="H69" s="314">
        <f>E69</f>
        <v>5000000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4"/>
      <c r="B70" s="508"/>
      <c r="C70" s="487"/>
      <c r="D70" s="85" t="s">
        <v>376</v>
      </c>
      <c r="E70" s="86">
        <v>800000</v>
      </c>
      <c r="F70" s="85"/>
      <c r="G70" s="312" t="s">
        <v>377</v>
      </c>
      <c r="H70" s="314">
        <f>E70</f>
        <v>800000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45"/>
      <c r="B71" s="508"/>
      <c r="C71" s="487"/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45"/>
      <c r="B72" s="508"/>
      <c r="C72" s="487"/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45"/>
      <c r="B73" s="508"/>
      <c r="C73" s="487"/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45"/>
      <c r="B74" s="508"/>
      <c r="C74" s="488"/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45"/>
      <c r="B75" s="508"/>
      <c r="C75" s="486" t="s">
        <v>386</v>
      </c>
      <c r="D75" s="85" t="s">
        <v>388</v>
      </c>
      <c r="E75" s="86">
        <v>3300000</v>
      </c>
      <c r="F75" s="85"/>
      <c r="G75" s="312" t="s">
        <v>377</v>
      </c>
      <c r="H75" s="315">
        <f t="shared" ref="H75:H81" si="6">E75</f>
        <v>3300000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45"/>
      <c r="B76" s="508"/>
      <c r="C76" s="487"/>
      <c r="D76" s="85" t="s">
        <v>372</v>
      </c>
      <c r="E76" s="86">
        <v>3300000</v>
      </c>
      <c r="F76" s="85"/>
      <c r="G76" s="312" t="s">
        <v>377</v>
      </c>
      <c r="H76" s="315">
        <f t="shared" si="6"/>
        <v>3300000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45"/>
      <c r="B77" s="508"/>
      <c r="C77" s="487"/>
      <c r="D77" s="85" t="s">
        <v>389</v>
      </c>
      <c r="E77" s="86">
        <v>800000</v>
      </c>
      <c r="F77" s="85"/>
      <c r="G77" s="312" t="s">
        <v>377</v>
      </c>
      <c r="H77" s="315">
        <f t="shared" si="6"/>
        <v>800000</v>
      </c>
      <c r="I77" s="8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45"/>
      <c r="B78" s="508"/>
      <c r="C78" s="487"/>
      <c r="D78" s="85" t="s">
        <v>390</v>
      </c>
      <c r="E78" s="86">
        <v>2300000</v>
      </c>
      <c r="F78" s="85"/>
      <c r="G78" s="312" t="s">
        <v>377</v>
      </c>
      <c r="H78" s="315">
        <f t="shared" si="6"/>
        <v>2300000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45"/>
      <c r="B79" s="508"/>
      <c r="C79" s="488"/>
      <c r="D79" s="85" t="s">
        <v>391</v>
      </c>
      <c r="E79" s="86">
        <v>2300000</v>
      </c>
      <c r="F79" s="85"/>
      <c r="G79" s="312" t="s">
        <v>377</v>
      </c>
      <c r="H79" s="315">
        <f t="shared" si="6"/>
        <v>2300000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45"/>
      <c r="B80" s="485" t="s">
        <v>421</v>
      </c>
      <c r="C80" s="92" t="s">
        <v>422</v>
      </c>
      <c r="D80" s="85" t="s">
        <v>424</v>
      </c>
      <c r="E80" s="86">
        <v>14000000</v>
      </c>
      <c r="F80" s="85"/>
      <c r="G80" s="85" t="s">
        <v>378</v>
      </c>
      <c r="H80" s="247">
        <f t="shared" si="6"/>
        <v>14000000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45"/>
      <c r="B81" s="485"/>
      <c r="C81" s="92" t="s">
        <v>423</v>
      </c>
      <c r="D81" s="85" t="s">
        <v>425</v>
      </c>
      <c r="E81" s="86">
        <v>67000000</v>
      </c>
      <c r="F81" s="85"/>
      <c r="G81" s="85" t="s">
        <v>378</v>
      </c>
      <c r="H81" s="247">
        <f t="shared" si="6"/>
        <v>67000000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45"/>
      <c r="B82" s="485"/>
      <c r="C82" s="92"/>
      <c r="D82" s="85"/>
      <c r="E82" s="86"/>
      <c r="F82" s="85"/>
      <c r="G82" s="85"/>
      <c r="H82" s="247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44"/>
      <c r="B83" s="252"/>
      <c r="C83" s="92" t="s">
        <v>400</v>
      </c>
      <c r="D83" s="85" t="s">
        <v>401</v>
      </c>
      <c r="E83" s="86">
        <v>1000000</v>
      </c>
      <c r="F83" s="85"/>
      <c r="G83" s="312" t="s">
        <v>402</v>
      </c>
      <c r="H83" s="315">
        <f>E83</f>
        <v>1000000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45"/>
      <c r="B84" s="245"/>
      <c r="C84" s="486" t="s">
        <v>404</v>
      </c>
      <c r="D84" s="85" t="s">
        <v>428</v>
      </c>
      <c r="E84" s="86">
        <v>1000000</v>
      </c>
      <c r="F84" s="85"/>
      <c r="G84" s="312" t="s">
        <v>403</v>
      </c>
      <c r="H84" s="315">
        <f>E84</f>
        <v>1000000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45"/>
      <c r="B85" s="245"/>
      <c r="C85" s="487"/>
      <c r="D85" s="85" t="s">
        <v>429</v>
      </c>
      <c r="E85" s="86">
        <v>1000000</v>
      </c>
      <c r="F85" s="85"/>
      <c r="G85" s="312" t="s">
        <v>403</v>
      </c>
      <c r="H85" s="315">
        <f>E85</f>
        <v>1000000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45"/>
      <c r="B86" s="245"/>
      <c r="C86" s="487"/>
      <c r="D86" s="85">
        <v>3</v>
      </c>
      <c r="E86" s="86">
        <v>2000000</v>
      </c>
      <c r="F86" s="85"/>
      <c r="G86" s="85"/>
      <c r="H86" s="247"/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45"/>
      <c r="B87" s="245"/>
      <c r="C87" s="487"/>
      <c r="D87" s="85"/>
      <c r="E87" s="86">
        <v>2000000</v>
      </c>
      <c r="F87" s="85"/>
      <c r="G87" s="85"/>
      <c r="H87" s="247"/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45"/>
      <c r="B88" s="245"/>
      <c r="C88" s="487"/>
      <c r="D88" s="85"/>
      <c r="E88" s="86">
        <v>2000000</v>
      </c>
      <c r="F88" s="85"/>
      <c r="G88" s="85"/>
      <c r="H88" s="247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45"/>
      <c r="B89" s="245"/>
      <c r="C89" s="488"/>
      <c r="D89" s="85"/>
      <c r="E89" s="86"/>
      <c r="F89" s="85"/>
      <c r="G89" s="85"/>
      <c r="H89" s="247"/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44"/>
      <c r="B90" s="490" t="s">
        <v>271</v>
      </c>
      <c r="C90" s="92"/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44"/>
      <c r="B91" s="444"/>
      <c r="C91" s="92"/>
      <c r="D91" s="85">
        <v>2</v>
      </c>
      <c r="E91" s="86">
        <v>5000000</v>
      </c>
      <c r="F91" s="85"/>
      <c r="G91" s="85"/>
      <c r="H91" s="8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4"/>
      <c r="B92" s="444"/>
      <c r="C92" s="92"/>
      <c r="D92" s="85">
        <v>3</v>
      </c>
      <c r="E92" s="86">
        <v>2500000</v>
      </c>
      <c r="F92" s="85"/>
      <c r="G92" s="85"/>
      <c r="H92" s="86"/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44"/>
      <c r="B93" s="444"/>
      <c r="C93" s="92"/>
      <c r="D93" s="85">
        <v>4</v>
      </c>
      <c r="E93" s="86">
        <v>7500000</v>
      </c>
      <c r="F93" s="85"/>
      <c r="G93" s="85"/>
      <c r="H93" s="86"/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44"/>
      <c r="B94" s="446"/>
      <c r="C94" s="92"/>
      <c r="D94" s="85"/>
      <c r="E94" s="86"/>
      <c r="F94" s="85"/>
      <c r="G94" s="85"/>
      <c r="H94" s="86"/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44"/>
      <c r="B95" s="490" t="s">
        <v>144</v>
      </c>
      <c r="C95" s="92" t="s">
        <v>371</v>
      </c>
      <c r="D95" s="85" t="s">
        <v>372</v>
      </c>
      <c r="E95" s="86">
        <v>1000000</v>
      </c>
      <c r="F95" s="85"/>
      <c r="G95" s="312" t="s">
        <v>373</v>
      </c>
      <c r="H95" s="315">
        <f t="shared" ref="H95:H97" si="7">E95</f>
        <v>1000000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44"/>
      <c r="B96" s="444"/>
      <c r="C96" s="92"/>
      <c r="D96" s="85" t="s">
        <v>389</v>
      </c>
      <c r="E96" s="86">
        <v>1800000</v>
      </c>
      <c r="F96" s="85"/>
      <c r="G96" s="312" t="s">
        <v>385</v>
      </c>
      <c r="H96" s="313">
        <f t="shared" si="7"/>
        <v>1800000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44"/>
      <c r="B97" s="444"/>
      <c r="C97" s="92"/>
      <c r="D97" s="85" t="s">
        <v>430</v>
      </c>
      <c r="E97" s="86">
        <v>2000000</v>
      </c>
      <c r="F97" s="85"/>
      <c r="G97" s="85" t="s">
        <v>378</v>
      </c>
      <c r="H97" s="86">
        <f t="shared" si="7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44"/>
      <c r="B98" s="446"/>
      <c r="C98" s="92"/>
      <c r="D98" s="85">
        <v>3</v>
      </c>
      <c r="E98" s="86">
        <v>1000000</v>
      </c>
      <c r="F98" s="85"/>
      <c r="G98" s="85"/>
      <c r="H98" s="8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4"/>
      <c r="B99" s="490" t="s">
        <v>272</v>
      </c>
      <c r="C99" s="92" t="s">
        <v>281</v>
      </c>
      <c r="D99" s="85" t="s">
        <v>282</v>
      </c>
      <c r="E99" s="86">
        <f>10000000*13+5000000*5+15000000*2</f>
        <v>185000000</v>
      </c>
      <c r="F99" s="85"/>
      <c r="G99" s="312" t="s">
        <v>377</v>
      </c>
      <c r="H99" s="313">
        <f>E99</f>
        <v>185000000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4"/>
      <c r="B100" s="444"/>
      <c r="C100" s="92" t="s">
        <v>283</v>
      </c>
      <c r="D100" s="85" t="s">
        <v>284</v>
      </c>
      <c r="E100" s="86">
        <f>8000000*41</f>
        <v>328000000</v>
      </c>
      <c r="F100" s="85"/>
      <c r="G100" s="85" t="s">
        <v>239</v>
      </c>
      <c r="H100" s="86">
        <f>예산!G139-'3차년도 사업비 소진현황 (지출)'!H99</f>
        <v>303000000</v>
      </c>
      <c r="I100" s="87"/>
      <c r="J100" s="85"/>
      <c r="K100" s="93">
        <f>H100/A2</f>
        <v>0.10248951427411716</v>
      </c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4"/>
      <c r="B101" s="444"/>
      <c r="C101" s="92"/>
      <c r="D101" s="85"/>
      <c r="E101" s="86"/>
      <c r="F101" s="85"/>
      <c r="G101" s="85"/>
      <c r="H101" s="86"/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4"/>
      <c r="B102" s="444"/>
      <c r="C102" s="92"/>
      <c r="D102" s="85"/>
      <c r="E102" s="86"/>
      <c r="F102" s="85"/>
      <c r="G102" s="85"/>
      <c r="H102" s="86"/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4"/>
      <c r="B103" s="444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4"/>
      <c r="B104" s="446"/>
      <c r="C104" s="92"/>
      <c r="D104" s="85"/>
      <c r="E104" s="86"/>
      <c r="F104" s="85"/>
      <c r="G104" s="85"/>
      <c r="H104" s="86"/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4"/>
      <c r="B105" s="478" t="s">
        <v>21</v>
      </c>
      <c r="C105" s="458"/>
      <c r="D105" s="459"/>
      <c r="E105" s="88">
        <f>예산!G140</f>
        <v>683000000</v>
      </c>
      <c r="F105" s="94">
        <f>E105-215300000</f>
        <v>467700000</v>
      </c>
      <c r="G105" s="89"/>
      <c r="H105" s="88">
        <f>SUM(H67:H104)</f>
        <v>605100000</v>
      </c>
      <c r="I105" s="90"/>
      <c r="J105" s="89"/>
      <c r="K105" s="91">
        <f>H105/E105</f>
        <v>0.88594436310395319</v>
      </c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4"/>
      <c r="B106" s="85" t="s">
        <v>94</v>
      </c>
      <c r="C106" s="11" t="s">
        <v>164</v>
      </c>
      <c r="D106" s="85"/>
      <c r="E106" s="86">
        <f>예산!$G144</f>
        <v>0</v>
      </c>
      <c r="F106" s="85"/>
      <c r="G106" s="85" t="s">
        <v>239</v>
      </c>
      <c r="H106" s="86">
        <f>예산!$G144</f>
        <v>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4"/>
      <c r="B107" s="85"/>
      <c r="C107" s="11" t="s">
        <v>166</v>
      </c>
      <c r="D107" s="85"/>
      <c r="E107" s="86">
        <f>예산!$G145</f>
        <v>0</v>
      </c>
      <c r="F107" s="85"/>
      <c r="G107" s="85" t="s">
        <v>239</v>
      </c>
      <c r="H107" s="86">
        <f>예산!$G145</f>
        <v>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4"/>
      <c r="B108" s="85"/>
      <c r="C108" s="11" t="s">
        <v>170</v>
      </c>
      <c r="D108" s="85"/>
      <c r="E108" s="86">
        <f>예산!$G146</f>
        <v>672872</v>
      </c>
      <c r="F108" s="85"/>
      <c r="G108" s="312" t="s">
        <v>230</v>
      </c>
      <c r="H108" s="313">
        <f>예산!$G146</f>
        <v>672872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4"/>
      <c r="B109" s="85"/>
      <c r="C109" s="11" t="s">
        <v>171</v>
      </c>
      <c r="D109" s="85"/>
      <c r="E109" s="86">
        <f>예산!$G147</f>
        <v>672872</v>
      </c>
      <c r="F109" s="85"/>
      <c r="G109" s="312" t="s">
        <v>230</v>
      </c>
      <c r="H109" s="313">
        <f>예산!$G147</f>
        <v>672872</v>
      </c>
      <c r="I109" s="87"/>
      <c r="J109" s="85"/>
      <c r="K109" s="93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4"/>
      <c r="B110" s="85"/>
      <c r="C110" s="11" t="s">
        <v>392</v>
      </c>
      <c r="D110" s="85"/>
      <c r="E110" s="86">
        <f>예산!$G148</f>
        <v>550000</v>
      </c>
      <c r="F110" s="85"/>
      <c r="G110" s="85" t="s">
        <v>378</v>
      </c>
      <c r="H110" s="86">
        <f>예산!$G148</f>
        <v>550000</v>
      </c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4"/>
      <c r="B111" s="85"/>
      <c r="C111" s="11" t="s">
        <v>393</v>
      </c>
      <c r="D111" s="85"/>
      <c r="E111" s="86">
        <f>예산!$G149</f>
        <v>550000</v>
      </c>
      <c r="F111" s="85"/>
      <c r="G111" s="85" t="s">
        <v>378</v>
      </c>
      <c r="H111" s="86">
        <f>예산!$G149</f>
        <v>550000</v>
      </c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4"/>
      <c r="B112" s="85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4"/>
      <c r="B113" s="85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4"/>
      <c r="B114" s="478" t="s">
        <v>21</v>
      </c>
      <c r="C114" s="458"/>
      <c r="D114" s="459"/>
      <c r="E114" s="88">
        <f>예산!G153</f>
        <v>3205744</v>
      </c>
      <c r="F114" s="94"/>
      <c r="G114" s="89"/>
      <c r="H114" s="88">
        <f>SUM(H106:H113)</f>
        <v>2445744</v>
      </c>
      <c r="I114" s="90"/>
      <c r="J114" s="89"/>
      <c r="K114" s="91">
        <f>H114/E114</f>
        <v>0.76292554864019091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4"/>
      <c r="B115" s="85" t="s">
        <v>179</v>
      </c>
      <c r="C115" s="92"/>
      <c r="D115" s="85"/>
      <c r="E115" s="86">
        <f>예산!$G157</f>
        <v>0</v>
      </c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4"/>
      <c r="B116" s="478" t="s">
        <v>21</v>
      </c>
      <c r="C116" s="458"/>
      <c r="D116" s="459"/>
      <c r="E116" s="88">
        <f>예산!G158</f>
        <v>0</v>
      </c>
      <c r="F116" s="94"/>
      <c r="G116" s="89"/>
      <c r="H116" s="88">
        <f>H115</f>
        <v>0</v>
      </c>
      <c r="I116" s="90"/>
      <c r="J116" s="89"/>
      <c r="K116" s="91" t="e">
        <f>H116/E116</f>
        <v>#DIV/0!</v>
      </c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4"/>
      <c r="B117" s="85" t="s">
        <v>273</v>
      </c>
      <c r="C117" s="11" t="s">
        <v>188</v>
      </c>
      <c r="D117" s="85"/>
      <c r="E117" s="86">
        <f>예산!$G163</f>
        <v>230000</v>
      </c>
      <c r="F117" s="85"/>
      <c r="G117" s="312" t="s">
        <v>230</v>
      </c>
      <c r="H117" s="313">
        <f>E117</f>
        <v>230000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4"/>
      <c r="B118" s="85"/>
      <c r="C118" s="12" t="s">
        <v>189</v>
      </c>
      <c r="D118" s="85"/>
      <c r="E118" s="86">
        <f>예산!$G165</f>
        <v>230000</v>
      </c>
      <c r="F118" s="85"/>
      <c r="G118" s="312" t="s">
        <v>230</v>
      </c>
      <c r="H118" s="313">
        <f t="shared" ref="H118:H124" si="8">E118</f>
        <v>230000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4"/>
      <c r="B119" s="85"/>
      <c r="C119" s="12" t="s">
        <v>190</v>
      </c>
      <c r="D119" s="85"/>
      <c r="E119" s="86">
        <f>예산!$G168</f>
        <v>11057430</v>
      </c>
      <c r="F119" s="85"/>
      <c r="G119" s="312" t="s">
        <v>230</v>
      </c>
      <c r="H119" s="313">
        <f t="shared" si="8"/>
        <v>11057430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4"/>
      <c r="B120" s="85"/>
      <c r="C120" s="12" t="s">
        <v>420</v>
      </c>
      <c r="D120" s="85"/>
      <c r="E120" s="86">
        <f>예산!$G169</f>
        <v>10000000</v>
      </c>
      <c r="F120" s="85"/>
      <c r="G120" s="85" t="s">
        <v>384</v>
      </c>
      <c r="H120" s="86">
        <f t="shared" si="8"/>
        <v>10000000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4"/>
      <c r="B121" s="85"/>
      <c r="C121" s="12" t="s">
        <v>192</v>
      </c>
      <c r="D121" s="85"/>
      <c r="E121" s="86">
        <f>예산!$G170</f>
        <v>2800000</v>
      </c>
      <c r="F121" s="85"/>
      <c r="G121" s="312" t="s">
        <v>230</v>
      </c>
      <c r="H121" s="313">
        <f t="shared" si="8"/>
        <v>2800000</v>
      </c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44"/>
      <c r="B122" s="85"/>
      <c r="C122" s="12" t="s">
        <v>417</v>
      </c>
      <c r="D122" s="85"/>
      <c r="E122" s="120">
        <f>예산!$G171</f>
        <v>8750000</v>
      </c>
      <c r="F122" s="85"/>
      <c r="G122" s="85" t="s">
        <v>378</v>
      </c>
      <c r="H122" s="86">
        <f t="shared" si="8"/>
        <v>8750000</v>
      </c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45"/>
      <c r="B123" s="85"/>
      <c r="C123" s="11" t="s">
        <v>419</v>
      </c>
      <c r="D123" s="85"/>
      <c r="E123" s="120">
        <f>예산!F167</f>
        <v>700000</v>
      </c>
      <c r="F123" s="85"/>
      <c r="G123" s="85" t="s">
        <v>378</v>
      </c>
      <c r="H123" s="86">
        <f t="shared" si="8"/>
        <v>700000</v>
      </c>
      <c r="I123" s="87"/>
      <c r="J123" s="85"/>
      <c r="K123" s="93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45"/>
      <c r="B124" s="85"/>
      <c r="C124" s="11" t="s">
        <v>418</v>
      </c>
      <c r="D124" s="85"/>
      <c r="E124" s="120">
        <f>예산!F166</f>
        <v>990000</v>
      </c>
      <c r="F124" s="85"/>
      <c r="G124" s="85" t="s">
        <v>378</v>
      </c>
      <c r="H124" s="86">
        <f t="shared" si="8"/>
        <v>990000</v>
      </c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45"/>
      <c r="B125" s="85"/>
      <c r="F125" s="85"/>
      <c r="G125" s="85"/>
      <c r="H125" s="120"/>
      <c r="I125" s="87"/>
      <c r="J125" s="85" t="s">
        <v>409</v>
      </c>
      <c r="K125" s="93">
        <f>SUM(H117:H119,H121:H124,H108:H109,H129)/A2</f>
        <v>9.0039148964957388E-3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44"/>
      <c r="B126" s="85"/>
      <c r="C126" s="11" t="s">
        <v>196</v>
      </c>
      <c r="D126" s="85"/>
      <c r="E126" s="120">
        <f>예산!$G179</f>
        <v>20000000</v>
      </c>
      <c r="F126" s="85"/>
      <c r="G126" s="85" t="s">
        <v>238</v>
      </c>
      <c r="H126" s="120">
        <f>E126</f>
        <v>20000000</v>
      </c>
      <c r="I126" s="87"/>
      <c r="J126" s="86">
        <f>SUM(H117:H119,H121:H124,H108:H109,H129)</f>
        <v>26619174</v>
      </c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44"/>
      <c r="B127" s="85"/>
      <c r="C127" s="14" t="s">
        <v>197</v>
      </c>
      <c r="D127" s="85"/>
      <c r="E127" s="120">
        <f>예산!$G180</f>
        <v>0</v>
      </c>
      <c r="F127" s="85"/>
      <c r="G127" s="85"/>
      <c r="H127" s="120"/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44"/>
      <c r="B128" s="85"/>
      <c r="C128" s="11" t="s">
        <v>199</v>
      </c>
      <c r="D128" s="85"/>
      <c r="E128" s="120">
        <f>예산!$G182</f>
        <v>10000000</v>
      </c>
      <c r="F128" s="85"/>
      <c r="G128" s="85" t="s">
        <v>238</v>
      </c>
      <c r="H128" s="120">
        <f t="shared" ref="H128:H129" si="9">E128</f>
        <v>10000000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44"/>
      <c r="B129" s="85"/>
      <c r="C129" s="92" t="s">
        <v>395</v>
      </c>
      <c r="D129" s="85"/>
      <c r="E129" s="86">
        <f>예산!G181</f>
        <v>516000</v>
      </c>
      <c r="F129" s="85"/>
      <c r="G129" s="312" t="s">
        <v>373</v>
      </c>
      <c r="H129" s="316">
        <f t="shared" si="9"/>
        <v>516000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44"/>
      <c r="C130" s="216" t="s">
        <v>412</v>
      </c>
      <c r="D130" s="31"/>
      <c r="E130">
        <v>20000000</v>
      </c>
      <c r="G130" s="11" t="s">
        <v>378</v>
      </c>
      <c r="H130">
        <v>20000000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45"/>
      <c r="C131" s="216" t="s">
        <v>426</v>
      </c>
      <c r="D131" s="31"/>
      <c r="E131">
        <v>6734000</v>
      </c>
      <c r="G131" s="11" t="s">
        <v>378</v>
      </c>
      <c r="H131">
        <v>6734000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44"/>
      <c r="B132" s="575" t="s">
        <v>21</v>
      </c>
      <c r="C132" s="576"/>
      <c r="D132" s="577"/>
      <c r="E132" s="88">
        <f>예산!G183</f>
        <v>85744670</v>
      </c>
      <c r="F132" s="94"/>
      <c r="G132" s="89"/>
      <c r="H132" s="88">
        <f>SUM(H117:H130)</f>
        <v>85273430</v>
      </c>
      <c r="I132" s="90"/>
      <c r="J132" s="89"/>
      <c r="K132" s="91">
        <f>H132/E132</f>
        <v>0.99450414818786992</v>
      </c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44"/>
      <c r="B133" s="85" t="s">
        <v>116</v>
      </c>
      <c r="C133" s="11" t="s">
        <v>118</v>
      </c>
      <c r="D133" s="85"/>
      <c r="E133" s="86">
        <f>예산!$G187</f>
        <v>1000000</v>
      </c>
      <c r="F133" s="85"/>
      <c r="G133" s="85" t="s">
        <v>384</v>
      </c>
      <c r="H133" s="86">
        <f>예산!$G187</f>
        <v>1000000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44"/>
      <c r="B134" s="85"/>
      <c r="C134" s="11" t="s">
        <v>119</v>
      </c>
      <c r="D134" s="85"/>
      <c r="E134" s="86">
        <f>예산!$G188</f>
        <v>100000</v>
      </c>
      <c r="F134" s="85"/>
      <c r="G134" s="85" t="s">
        <v>384</v>
      </c>
      <c r="H134" s="86">
        <f>예산!$G188</f>
        <v>100000</v>
      </c>
      <c r="I134" s="87"/>
      <c r="J134" s="85"/>
      <c r="K134" s="93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44"/>
      <c r="B135" s="85"/>
      <c r="C135" s="26" t="s">
        <v>120</v>
      </c>
      <c r="D135" s="85"/>
      <c r="E135" s="86"/>
      <c r="F135" s="85"/>
      <c r="G135" s="85"/>
      <c r="H135" s="86"/>
      <c r="I135" s="87"/>
      <c r="J135" s="85"/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44"/>
      <c r="B136" s="85"/>
      <c r="C136" s="92"/>
      <c r="D136" s="85"/>
      <c r="E136" s="86"/>
      <c r="F136" s="85"/>
      <c r="G136" s="85"/>
      <c r="H136" s="86"/>
      <c r="I136" s="8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44"/>
      <c r="B137" s="85"/>
      <c r="C137" s="92"/>
      <c r="D137" s="85"/>
      <c r="E137" s="86"/>
      <c r="F137" s="85"/>
      <c r="G137" s="85"/>
      <c r="H137" s="86"/>
      <c r="I137" s="8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44"/>
      <c r="B138" s="478" t="s">
        <v>21</v>
      </c>
      <c r="C138" s="458"/>
      <c r="D138" s="459"/>
      <c r="E138" s="88">
        <f>예산!G192</f>
        <v>1524100</v>
      </c>
      <c r="F138" s="94"/>
      <c r="G138" s="89"/>
      <c r="H138" s="88">
        <f>SUM(H133:H137)</f>
        <v>1100000</v>
      </c>
      <c r="I138" s="90"/>
      <c r="J138" s="89"/>
      <c r="K138" s="91">
        <f>H138/E138</f>
        <v>0.72173741880454034</v>
      </c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44"/>
      <c r="B139" s="85" t="s">
        <v>200</v>
      </c>
      <c r="C139" s="92"/>
      <c r="D139" s="85"/>
      <c r="E139" s="86">
        <f>예산!$G196</f>
        <v>150000</v>
      </c>
      <c r="F139" s="85"/>
      <c r="G139" s="85"/>
      <c r="H139" s="86"/>
      <c r="I139" s="8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44"/>
      <c r="B140" s="478" t="s">
        <v>21</v>
      </c>
      <c r="C140" s="458"/>
      <c r="D140" s="459"/>
      <c r="E140" s="88">
        <f>E139</f>
        <v>150000</v>
      </c>
      <c r="F140" s="94"/>
      <c r="G140" s="89"/>
      <c r="H140" s="88">
        <f>H139</f>
        <v>0</v>
      </c>
      <c r="I140" s="90"/>
      <c r="J140" s="89"/>
      <c r="K140" s="91">
        <f>H140/E140</f>
        <v>0</v>
      </c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44"/>
      <c r="B141" s="85" t="s">
        <v>121</v>
      </c>
      <c r="C141" s="11" t="s">
        <v>124</v>
      </c>
      <c r="D141" s="11" t="s">
        <v>201</v>
      </c>
      <c r="E141" s="86">
        <f>예산!$G201</f>
        <v>900000</v>
      </c>
      <c r="F141" s="85"/>
      <c r="G141" s="85" t="s">
        <v>379</v>
      </c>
      <c r="H141" s="86">
        <f>예산!$G201</f>
        <v>900000</v>
      </c>
      <c r="I141" s="8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44"/>
      <c r="B142" s="85"/>
      <c r="C142" s="11" t="s">
        <v>202</v>
      </c>
      <c r="D142" s="11" t="s">
        <v>203</v>
      </c>
      <c r="E142" s="86">
        <f>예산!$G202</f>
        <v>100000</v>
      </c>
      <c r="F142" s="85"/>
      <c r="G142" s="85" t="s">
        <v>378</v>
      </c>
      <c r="H142" s="86">
        <f>예산!$G202</f>
        <v>100000</v>
      </c>
      <c r="I142" s="8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44"/>
      <c r="B143" s="85"/>
      <c r="C143" s="11" t="s">
        <v>204</v>
      </c>
      <c r="D143" s="11" t="s">
        <v>205</v>
      </c>
      <c r="E143" s="86">
        <f>예산!$G203</f>
        <v>8829000</v>
      </c>
      <c r="F143" s="85"/>
      <c r="G143" s="85" t="s">
        <v>378</v>
      </c>
      <c r="H143" s="86">
        <f>예산!$G203</f>
        <v>8829000</v>
      </c>
      <c r="I143" s="87"/>
      <c r="J143" s="85"/>
      <c r="K143" s="93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44"/>
      <c r="B144" s="85"/>
      <c r="C144" s="11" t="s">
        <v>206</v>
      </c>
      <c r="D144" s="11" t="s">
        <v>207</v>
      </c>
      <c r="E144" s="86">
        <f>예산!$G204</f>
        <v>1830000</v>
      </c>
      <c r="F144" s="85"/>
      <c r="G144" s="85" t="s">
        <v>379</v>
      </c>
      <c r="H144" s="86">
        <f>예산!$G204</f>
        <v>1830000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44"/>
      <c r="B145" s="85"/>
      <c r="C145" s="92"/>
      <c r="D145" s="85"/>
      <c r="E145" s="86"/>
      <c r="F145" s="85"/>
      <c r="G145" s="85"/>
      <c r="H145" s="86"/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44"/>
      <c r="B146" s="85"/>
      <c r="C146" s="92"/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44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44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44"/>
      <c r="B149" s="478" t="s">
        <v>21</v>
      </c>
      <c r="C149" s="458"/>
      <c r="D149" s="459"/>
      <c r="E149" s="88">
        <f>예산!G205</f>
        <v>11659000</v>
      </c>
      <c r="F149" s="94"/>
      <c r="G149" s="89"/>
      <c r="H149" s="88">
        <f>SUM(H141:H148)</f>
        <v>11659000</v>
      </c>
      <c r="I149" s="90"/>
      <c r="J149" s="89"/>
      <c r="K149" s="91">
        <f>H149/E149</f>
        <v>1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44"/>
      <c r="B150" s="85" t="s">
        <v>274</v>
      </c>
      <c r="C150" s="92"/>
      <c r="D150" s="85"/>
      <c r="E150" s="86"/>
      <c r="F150" s="85"/>
      <c r="G150" s="85"/>
      <c r="H150" s="86"/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44"/>
      <c r="B151" s="85"/>
      <c r="C151" s="27" t="s">
        <v>209</v>
      </c>
      <c r="D151" s="85"/>
      <c r="E151" s="86">
        <f>예산!$G209</f>
        <v>25000</v>
      </c>
      <c r="F151" s="85"/>
      <c r="G151" s="85" t="s">
        <v>239</v>
      </c>
      <c r="H151" s="86">
        <f>예산!$G209</f>
        <v>25000</v>
      </c>
      <c r="I151" s="87"/>
      <c r="J151" s="85"/>
      <c r="K151" s="93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44"/>
      <c r="B152" s="85"/>
      <c r="C152" s="27" t="s">
        <v>210</v>
      </c>
      <c r="D152" s="85"/>
      <c r="E152" s="86">
        <f>예산!$G210</f>
        <v>2043000</v>
      </c>
      <c r="F152" s="85"/>
      <c r="G152" s="85" t="s">
        <v>239</v>
      </c>
      <c r="H152" s="86">
        <f>예산!$G210</f>
        <v>2043000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44"/>
      <c r="B153" s="478" t="s">
        <v>21</v>
      </c>
      <c r="C153" s="458"/>
      <c r="D153" s="459"/>
      <c r="E153" s="88">
        <f>예산!G211</f>
        <v>2068000</v>
      </c>
      <c r="F153" s="94"/>
      <c r="G153" s="89"/>
      <c r="H153" s="88">
        <f>SUM(H150:H152)</f>
        <v>2068000</v>
      </c>
      <c r="I153" s="90"/>
      <c r="J153" s="89"/>
      <c r="K153" s="91">
        <f>H153/E153</f>
        <v>1</v>
      </c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44"/>
      <c r="B154" s="85" t="s">
        <v>211</v>
      </c>
      <c r="C154" s="11" t="s">
        <v>212</v>
      </c>
      <c r="D154" s="11" t="s">
        <v>213</v>
      </c>
      <c r="E154" s="86">
        <f>예산!$G215</f>
        <v>3430000</v>
      </c>
      <c r="F154" s="85"/>
      <c r="G154" s="85" t="s">
        <v>394</v>
      </c>
      <c r="H154" s="86">
        <f>예산!$G215</f>
        <v>3430000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44"/>
      <c r="B155" s="85"/>
      <c r="C155" s="26" t="s">
        <v>214</v>
      </c>
      <c r="D155" s="11" t="s">
        <v>215</v>
      </c>
      <c r="E155" s="86">
        <f>예산!$G216</f>
        <v>1087800</v>
      </c>
      <c r="F155" s="85"/>
      <c r="G155" s="312" t="s">
        <v>231</v>
      </c>
      <c r="H155" s="313">
        <f>예산!$G216</f>
        <v>1087800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44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44"/>
      <c r="B157" s="478" t="s">
        <v>21</v>
      </c>
      <c r="C157" s="458"/>
      <c r="D157" s="459"/>
      <c r="E157" s="88">
        <f>예산!G217</f>
        <v>4517800</v>
      </c>
      <c r="F157" s="94"/>
      <c r="G157" s="89"/>
      <c r="H157" s="88">
        <f>SUM(H154:H156)</f>
        <v>4517800</v>
      </c>
      <c r="I157" s="90"/>
      <c r="J157" s="89"/>
      <c r="K157" s="91">
        <f>H157/E157</f>
        <v>1</v>
      </c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44"/>
      <c r="B158" s="85" t="s">
        <v>135</v>
      </c>
      <c r="C158" s="92" t="s">
        <v>285</v>
      </c>
      <c r="D158" s="85"/>
      <c r="E158" s="86">
        <f>예산!$G221</f>
        <v>151120240</v>
      </c>
      <c r="F158" s="85"/>
      <c r="G158" s="312" t="s">
        <v>232</v>
      </c>
      <c r="H158" s="313">
        <f>예산!$G221</f>
        <v>151120240</v>
      </c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44"/>
      <c r="B159" s="85"/>
      <c r="C159" s="92" t="s">
        <v>286</v>
      </c>
      <c r="D159" s="85"/>
      <c r="E159" s="86">
        <f>예산!$G222</f>
        <v>186772440</v>
      </c>
      <c r="F159" s="85"/>
      <c r="G159" s="312" t="s">
        <v>385</v>
      </c>
      <c r="H159" s="313">
        <f>예산!$G222</f>
        <v>186772440</v>
      </c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44"/>
      <c r="B160" s="85"/>
      <c r="C160" s="92" t="s">
        <v>158</v>
      </c>
      <c r="D160" s="85"/>
      <c r="E160" s="86">
        <f>예산!$G223</f>
        <v>12743500</v>
      </c>
      <c r="F160" s="85"/>
      <c r="G160" s="312" t="s">
        <v>230</v>
      </c>
      <c r="H160" s="313">
        <f>예산!$G223</f>
        <v>12743500</v>
      </c>
      <c r="I160" s="87"/>
      <c r="J160" s="85"/>
      <c r="K160" s="93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44"/>
      <c r="B161" s="478" t="s">
        <v>21</v>
      </c>
      <c r="C161" s="458"/>
      <c r="D161" s="459"/>
      <c r="E161" s="88">
        <f>예산!G226</f>
        <v>350636180</v>
      </c>
      <c r="F161" s="94"/>
      <c r="G161" s="89"/>
      <c r="H161" s="88">
        <f>SUM(H158:H160)</f>
        <v>350636180</v>
      </c>
      <c r="I161" s="90"/>
      <c r="J161" s="89"/>
      <c r="K161" s="91">
        <f>H161/E161</f>
        <v>1</v>
      </c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44"/>
      <c r="B162" s="85" t="s">
        <v>143</v>
      </c>
      <c r="C162" s="92" t="s">
        <v>223</v>
      </c>
      <c r="D162" s="85"/>
      <c r="E162" s="86"/>
      <c r="F162" s="85"/>
      <c r="G162" s="312" t="s">
        <v>232</v>
      </c>
      <c r="H162" s="313">
        <f>SUM(예산!$G$240:$G$243)</f>
        <v>3600000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44"/>
      <c r="B163" s="85"/>
      <c r="C163" s="11" t="s">
        <v>220</v>
      </c>
      <c r="D163" s="18" t="s">
        <v>221</v>
      </c>
      <c r="E163" s="86"/>
      <c r="F163" s="85"/>
      <c r="G163" s="312" t="s">
        <v>232</v>
      </c>
      <c r="H163" s="313">
        <f>SUM(예산!$G$236:$G$239)</f>
        <v>1000000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44"/>
      <c r="B164" s="85"/>
      <c r="C164" s="11" t="s">
        <v>443</v>
      </c>
      <c r="D164" s="18" t="s">
        <v>222</v>
      </c>
      <c r="E164" s="86"/>
      <c r="F164" s="85"/>
      <c r="G164" s="312" t="s">
        <v>232</v>
      </c>
      <c r="H164" s="313">
        <v>2700000</v>
      </c>
      <c r="I164" s="87"/>
      <c r="J164" s="85"/>
      <c r="K164" s="93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44"/>
      <c r="B165" s="85"/>
      <c r="C165" s="92"/>
      <c r="D165" s="85"/>
      <c r="E165" s="86"/>
      <c r="F165" s="85"/>
      <c r="G165" s="85"/>
      <c r="H165" s="86"/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 thickBot="1">
      <c r="A166" s="446"/>
      <c r="B166" s="478" t="s">
        <v>21</v>
      </c>
      <c r="C166" s="458"/>
      <c r="D166" s="459"/>
      <c r="E166" s="88">
        <f>예산!G245</f>
        <v>7300000</v>
      </c>
      <c r="F166" s="94"/>
      <c r="G166" s="89"/>
      <c r="H166" s="95">
        <f>SUM(H162:H165)</f>
        <v>7300000</v>
      </c>
      <c r="I166" s="90"/>
      <c r="J166" s="89"/>
      <c r="K166" s="91">
        <f>H166/E166</f>
        <v>1</v>
      </c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 thickBot="1">
      <c r="A167" s="479" t="s">
        <v>275</v>
      </c>
      <c r="B167" s="480"/>
      <c r="C167" s="96">
        <f>예산!G128</f>
        <v>1149805494</v>
      </c>
      <c r="D167" s="107"/>
      <c r="E167" s="108">
        <f>SUM(E166,E157,E153,E149,E140,E138,E132,E116,E114,E105)</f>
        <v>799169314</v>
      </c>
      <c r="F167" s="109"/>
      <c r="G167" s="110"/>
      <c r="H167" s="101">
        <f>SUM(H166,H161,H157,H153,H149,H140,H138,H132,H116,H114,H105)</f>
        <v>1070100154</v>
      </c>
      <c r="I167" s="476"/>
      <c r="J167" s="477"/>
      <c r="K167" s="102">
        <f t="shared" ref="K167:K168" si="10">H167/C167</f>
        <v>0.93067928409115774</v>
      </c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 thickBot="1">
      <c r="A168" s="111" t="s">
        <v>276</v>
      </c>
      <c r="B168" s="112"/>
      <c r="C168" s="113">
        <f>SUM(C167,C66,C46,C31,C18)</f>
        <v>2903126142.4000001</v>
      </c>
      <c r="D168" s="112"/>
      <c r="E168" s="114"/>
      <c r="F168" s="112"/>
      <c r="G168" s="112"/>
      <c r="H168" s="115">
        <f>SUM(H167,H66,H46,H31,H18)</f>
        <v>2766211802.4000001</v>
      </c>
      <c r="I168" s="116"/>
      <c r="J168" s="112"/>
      <c r="K168" s="117">
        <f t="shared" si="10"/>
        <v>0.95283899724494447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</sheetData>
  <mergeCells count="60">
    <mergeCell ref="E7:F7"/>
    <mergeCell ref="D8:F14"/>
    <mergeCell ref="K4:K14"/>
    <mergeCell ref="D3:F3"/>
    <mergeCell ref="A1:K1"/>
    <mergeCell ref="E4:F4"/>
    <mergeCell ref="E5:F5"/>
    <mergeCell ref="X2:Y2"/>
    <mergeCell ref="Z2:AA2"/>
    <mergeCell ref="E6:F6"/>
    <mergeCell ref="P2:Q2"/>
    <mergeCell ref="R2:S2"/>
    <mergeCell ref="T2:U2"/>
    <mergeCell ref="V2:W2"/>
    <mergeCell ref="B15:D15"/>
    <mergeCell ref="B17:D17"/>
    <mergeCell ref="A18:B18"/>
    <mergeCell ref="A19:A30"/>
    <mergeCell ref="A31:B31"/>
    <mergeCell ref="A4:A17"/>
    <mergeCell ref="B4:B14"/>
    <mergeCell ref="C4:C14"/>
    <mergeCell ref="A66:B66"/>
    <mergeCell ref="I66:J66"/>
    <mergeCell ref="A32:A45"/>
    <mergeCell ref="A46:B46"/>
    <mergeCell ref="B47:B50"/>
    <mergeCell ref="I46:J46"/>
    <mergeCell ref="B45:D45"/>
    <mergeCell ref="C51:C52"/>
    <mergeCell ref="A47:A65"/>
    <mergeCell ref="B51:B65"/>
    <mergeCell ref="C53:C65"/>
    <mergeCell ref="I31:J31"/>
    <mergeCell ref="I18:J18"/>
    <mergeCell ref="B32:B40"/>
    <mergeCell ref="B41:D41"/>
    <mergeCell ref="B42:B44"/>
    <mergeCell ref="A167:B167"/>
    <mergeCell ref="I167:J167"/>
    <mergeCell ref="A67:A166"/>
    <mergeCell ref="C68:C74"/>
    <mergeCell ref="C75:C79"/>
    <mergeCell ref="C84:C89"/>
    <mergeCell ref="B90:B94"/>
    <mergeCell ref="B95:B98"/>
    <mergeCell ref="B99:B104"/>
    <mergeCell ref="B105:D105"/>
    <mergeCell ref="B114:D114"/>
    <mergeCell ref="B116:D116"/>
    <mergeCell ref="B132:D132"/>
    <mergeCell ref="B138:D138"/>
    <mergeCell ref="B140:D140"/>
    <mergeCell ref="B149:D149"/>
    <mergeCell ref="B67:B79"/>
    <mergeCell ref="B80:B82"/>
    <mergeCell ref="B157:D157"/>
    <mergeCell ref="B161:D161"/>
    <mergeCell ref="B166:D166"/>
    <mergeCell ref="B153:D153"/>
  </mergeCells>
  <phoneticPr fontId="2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pane ySplit="3" topLeftCell="A26" activePane="bottomLeft" state="frozen"/>
      <selection pane="bottomLeft" activeCell="D46" sqref="D45:D46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19.5703125" bestFit="1" customWidth="1"/>
    <col min="4" max="4" width="17.42578125" bestFit="1" customWidth="1"/>
    <col min="5" max="5" width="13.140625" bestFit="1" customWidth="1"/>
    <col min="6" max="6" width="11.85546875" customWidth="1"/>
    <col min="7" max="7" width="12.28515625" customWidth="1"/>
    <col min="8" max="8" width="17.28515625" customWidth="1"/>
    <col min="9" max="9" width="9.7109375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9.28515625" customWidth="1"/>
    <col min="17" max="17" width="9.5703125" customWidth="1"/>
    <col min="18" max="18" width="13.28515625" customWidth="1"/>
    <col min="19" max="19" width="9.5703125" customWidth="1"/>
    <col min="20" max="20" width="11.42578125" customWidth="1"/>
    <col min="21" max="23" width="7.85546875" customWidth="1"/>
    <col min="24" max="24" width="9.28515625" customWidth="1"/>
    <col min="25" max="25" width="7.85546875" customWidth="1"/>
    <col min="26" max="26" width="13.42578125" customWidth="1"/>
    <col min="27" max="27" width="8" customWidth="1"/>
  </cols>
  <sheetData>
    <row r="1" spans="1:27" ht="16.5" customHeight="1">
      <c r="A1" s="581" t="s">
        <v>287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</row>
    <row r="2" spans="1:27" ht="32.25" customHeight="1">
      <c r="A2" s="65">
        <f>예산!L3</f>
        <v>485690651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121" t="s">
        <v>243</v>
      </c>
      <c r="P2" s="584" t="s">
        <v>7</v>
      </c>
      <c r="Q2" s="459"/>
      <c r="R2" s="513" t="s">
        <v>244</v>
      </c>
      <c r="S2" s="459"/>
      <c r="T2" s="584" t="s">
        <v>31</v>
      </c>
      <c r="U2" s="459"/>
      <c r="V2" s="584" t="s">
        <v>72</v>
      </c>
      <c r="W2" s="459"/>
      <c r="X2" s="584" t="s">
        <v>84</v>
      </c>
      <c r="Y2" s="459"/>
      <c r="Z2" s="584" t="s">
        <v>245</v>
      </c>
      <c r="AA2" s="459"/>
    </row>
    <row r="3" spans="1:27" ht="16.5" customHeight="1">
      <c r="A3" s="72" t="s">
        <v>246</v>
      </c>
      <c r="B3" s="73" t="s">
        <v>247</v>
      </c>
      <c r="C3" s="74" t="s">
        <v>0</v>
      </c>
      <c r="D3" s="528" t="s">
        <v>248</v>
      </c>
      <c r="E3" s="529"/>
      <c r="F3" s="530"/>
      <c r="G3" s="73" t="s">
        <v>249</v>
      </c>
      <c r="H3" s="75" t="s">
        <v>250</v>
      </c>
      <c r="I3" s="76" t="s">
        <v>251</v>
      </c>
      <c r="J3" s="77" t="s">
        <v>252</v>
      </c>
      <c r="K3" s="78" t="s">
        <v>253</v>
      </c>
      <c r="O3" s="122" t="s">
        <v>254</v>
      </c>
      <c r="P3" s="123">
        <f>H18</f>
        <v>4028892</v>
      </c>
      <c r="Q3" s="124">
        <f>K18</f>
        <v>1</v>
      </c>
      <c r="R3" s="80">
        <f>H30</f>
        <v>0</v>
      </c>
      <c r="S3" s="81" t="e">
        <f>K30</f>
        <v>#DIV/0!</v>
      </c>
      <c r="T3" s="123">
        <f>H41</f>
        <v>186410400</v>
      </c>
      <c r="U3" s="124">
        <f>K41</f>
        <v>0.66009766846609974</v>
      </c>
      <c r="V3" s="123">
        <f>H48</f>
        <v>0</v>
      </c>
      <c r="W3" s="124">
        <f>K48</f>
        <v>0</v>
      </c>
      <c r="X3" s="123">
        <f>H87</f>
        <v>0</v>
      </c>
      <c r="Y3" s="124">
        <f>K87</f>
        <v>0</v>
      </c>
      <c r="Z3" s="125">
        <f>H88</f>
        <v>190439292</v>
      </c>
      <c r="AA3" s="126">
        <f>K88</f>
        <v>0.39209997476356612</v>
      </c>
    </row>
    <row r="4" spans="1:27" ht="16.5" customHeight="1">
      <c r="A4" s="489" t="s">
        <v>7</v>
      </c>
      <c r="B4" s="490" t="s">
        <v>255</v>
      </c>
      <c r="C4" s="515">
        <f>예산!P5</f>
        <v>4028892</v>
      </c>
      <c r="D4" s="85" t="s">
        <v>15</v>
      </c>
      <c r="E4" s="526">
        <f>예산!P7</f>
        <v>2439392</v>
      </c>
      <c r="F4" s="459"/>
      <c r="G4" s="85" t="s">
        <v>228</v>
      </c>
      <c r="H4" s="86">
        <f>예산!N7+예산!N8</f>
        <v>3405260</v>
      </c>
      <c r="I4" s="87">
        <v>45776</v>
      </c>
      <c r="J4" s="85"/>
      <c r="K4" s="517"/>
      <c r="O4" s="60">
        <v>45793</v>
      </c>
      <c r="P4" s="61">
        <v>4028892</v>
      </c>
      <c r="Q4" s="62">
        <v>1</v>
      </c>
      <c r="R4" s="61">
        <v>0</v>
      </c>
      <c r="S4" s="62">
        <v>0</v>
      </c>
      <c r="T4" s="61">
        <v>186410400</v>
      </c>
      <c r="U4" s="62">
        <v>0.66009766846609974</v>
      </c>
      <c r="V4" s="61">
        <v>0</v>
      </c>
      <c r="W4" s="62">
        <v>0</v>
      </c>
      <c r="X4" s="61">
        <v>0</v>
      </c>
      <c r="Y4" s="62">
        <v>0</v>
      </c>
      <c r="Z4" s="61">
        <v>190439292</v>
      </c>
      <c r="AA4" s="62">
        <v>0.39209997476356612</v>
      </c>
    </row>
    <row r="5" spans="1:27" ht="16.5" customHeight="1">
      <c r="A5" s="444"/>
      <c r="B5" s="444"/>
      <c r="C5" s="444"/>
      <c r="D5" s="85" t="s">
        <v>19</v>
      </c>
      <c r="E5" s="526">
        <f>예산!P8</f>
        <v>1589500</v>
      </c>
      <c r="F5" s="459"/>
      <c r="G5" s="85" t="s">
        <v>229</v>
      </c>
      <c r="H5" s="86">
        <f>예산!N7-1192128</f>
        <v>623632</v>
      </c>
      <c r="I5" s="87"/>
      <c r="J5" s="85"/>
      <c r="K5" s="444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</row>
    <row r="6" spans="1:27" ht="16.5" customHeight="1">
      <c r="A6" s="444"/>
      <c r="B6" s="444"/>
      <c r="C6" s="444"/>
      <c r="D6" s="85" t="s">
        <v>256</v>
      </c>
      <c r="E6" s="526"/>
      <c r="F6" s="459"/>
      <c r="G6" s="85"/>
      <c r="H6" s="86"/>
      <c r="I6" s="87"/>
      <c r="J6" s="85"/>
      <c r="K6" s="444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</row>
    <row r="7" spans="1:27" ht="16.5" customHeight="1">
      <c r="A7" s="444"/>
      <c r="B7" s="444"/>
      <c r="C7" s="444"/>
      <c r="D7" s="85" t="s">
        <v>256</v>
      </c>
      <c r="E7" s="526"/>
      <c r="F7" s="459"/>
      <c r="G7" s="85"/>
      <c r="H7" s="86"/>
      <c r="I7" s="87"/>
      <c r="J7" s="85"/>
      <c r="K7" s="444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27" ht="16.5" customHeight="1">
      <c r="A8" s="444"/>
      <c r="B8" s="444"/>
      <c r="C8" s="444"/>
      <c r="D8" s="578"/>
      <c r="E8" s="579"/>
      <c r="F8" s="537"/>
      <c r="G8" s="85"/>
      <c r="H8" s="86"/>
      <c r="I8" s="87"/>
      <c r="J8" s="85"/>
      <c r="K8" s="444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27" ht="16.5" customHeight="1">
      <c r="A9" s="444"/>
      <c r="B9" s="444"/>
      <c r="C9" s="444"/>
      <c r="D9" s="453"/>
      <c r="E9" s="451"/>
      <c r="F9" s="580"/>
      <c r="G9" s="85"/>
      <c r="H9" s="86"/>
      <c r="I9" s="87"/>
      <c r="J9" s="85"/>
      <c r="K9" s="444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27" ht="16.5" customHeight="1">
      <c r="A10" s="444"/>
      <c r="B10" s="444"/>
      <c r="C10" s="444"/>
      <c r="D10" s="453"/>
      <c r="E10" s="451"/>
      <c r="F10" s="580"/>
      <c r="G10" s="85"/>
      <c r="H10" s="86"/>
      <c r="I10" s="87"/>
      <c r="J10" s="85"/>
      <c r="K10" s="444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27" ht="16.5" customHeight="1">
      <c r="A11" s="444"/>
      <c r="B11" s="444"/>
      <c r="C11" s="444"/>
      <c r="D11" s="453"/>
      <c r="E11" s="451"/>
      <c r="F11" s="580"/>
      <c r="G11" s="85"/>
      <c r="H11" s="86"/>
      <c r="I11" s="87"/>
      <c r="J11" s="85"/>
      <c r="K11" s="444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27" ht="16.5" customHeight="1">
      <c r="A12" s="444"/>
      <c r="B12" s="444"/>
      <c r="C12" s="444"/>
      <c r="D12" s="453"/>
      <c r="E12" s="451"/>
      <c r="F12" s="580"/>
      <c r="G12" s="85"/>
      <c r="H12" s="86"/>
      <c r="I12" s="87"/>
      <c r="J12" s="85"/>
      <c r="K12" s="444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27" ht="16.5" customHeight="1">
      <c r="A13" s="444"/>
      <c r="B13" s="444"/>
      <c r="C13" s="444"/>
      <c r="D13" s="453"/>
      <c r="E13" s="451"/>
      <c r="F13" s="580"/>
      <c r="G13" s="85"/>
      <c r="H13" s="86"/>
      <c r="I13" s="87"/>
      <c r="J13" s="85"/>
      <c r="K13" s="444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27" ht="16.5" customHeight="1">
      <c r="A14" s="444"/>
      <c r="B14" s="446"/>
      <c r="C14" s="446"/>
      <c r="D14" s="456"/>
      <c r="E14" s="552"/>
      <c r="F14" s="538"/>
      <c r="G14" s="85"/>
      <c r="H14" s="86"/>
      <c r="I14" s="87"/>
      <c r="J14" s="85"/>
      <c r="K14" s="446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27" ht="16.5" customHeight="1">
      <c r="A15" s="444"/>
      <c r="B15" s="478" t="s">
        <v>21</v>
      </c>
      <c r="C15" s="458"/>
      <c r="D15" s="459"/>
      <c r="E15" s="88">
        <f>SUM(E4:E14)</f>
        <v>4028892</v>
      </c>
      <c r="F15" s="89"/>
      <c r="G15" s="89"/>
      <c r="H15" s="88">
        <f>SUM(H4:H14)</f>
        <v>4028892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27" ht="16.5" customHeight="1">
      <c r="A16" s="444"/>
      <c r="B16" s="85" t="s">
        <v>26</v>
      </c>
      <c r="C16" s="92"/>
      <c r="D16" s="85"/>
      <c r="E16" s="86"/>
      <c r="F16" s="85"/>
      <c r="G16" s="85"/>
      <c r="H16" s="86"/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6"/>
      <c r="B17" s="478" t="s">
        <v>21</v>
      </c>
      <c r="C17" s="458"/>
      <c r="D17" s="459"/>
      <c r="E17" s="88">
        <f>$C16</f>
        <v>0</v>
      </c>
      <c r="F17" s="94"/>
      <c r="G17" s="89"/>
      <c r="H17" s="95">
        <v>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494" t="s">
        <v>257</v>
      </c>
      <c r="B18" s="458"/>
      <c r="C18" s="96">
        <f>예산!P5</f>
        <v>4028892</v>
      </c>
      <c r="D18" s="97"/>
      <c r="E18" s="98">
        <f>C18</f>
        <v>4028892</v>
      </c>
      <c r="F18" s="99"/>
      <c r="G18" s="100"/>
      <c r="H18" s="101">
        <f>H15+H17</f>
        <v>4028892</v>
      </c>
      <c r="I18" s="514"/>
      <c r="J18" s="459"/>
      <c r="K18" s="102">
        <f>H18/C18</f>
        <v>1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489" t="s">
        <v>244</v>
      </c>
      <c r="B19" s="490" t="s">
        <v>244</v>
      </c>
      <c r="C19" s="582"/>
      <c r="D19" s="85"/>
      <c r="E19" s="86"/>
      <c r="F19" s="85"/>
      <c r="G19" s="85"/>
      <c r="H19" s="104"/>
      <c r="I19" s="87"/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4"/>
      <c r="B20" s="444"/>
      <c r="C20" s="444"/>
      <c r="D20" s="85"/>
      <c r="E20" s="86"/>
      <c r="F20" s="85"/>
      <c r="G20" s="85"/>
      <c r="H20" s="86"/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4"/>
      <c r="B21" s="444"/>
      <c r="C21" s="444"/>
      <c r="D21" s="85"/>
      <c r="E21" s="86"/>
      <c r="F21" s="85"/>
      <c r="G21" s="85"/>
      <c r="H21" s="86"/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4"/>
      <c r="B22" s="444"/>
      <c r="C22" s="444"/>
      <c r="D22" s="85"/>
      <c r="E22" s="86"/>
      <c r="F22" s="85"/>
      <c r="G22" s="85"/>
      <c r="H22" s="86"/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4"/>
      <c r="B23" s="444"/>
      <c r="C23" s="444"/>
      <c r="D23" s="85"/>
      <c r="E23" s="86"/>
      <c r="F23" s="85"/>
      <c r="G23" s="85"/>
      <c r="H23" s="86"/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4"/>
      <c r="B24" s="444"/>
      <c r="C24" s="444"/>
      <c r="D24" s="85"/>
      <c r="E24" s="86"/>
      <c r="F24" s="85"/>
      <c r="G24" s="85"/>
      <c r="H24" s="86"/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4"/>
      <c r="B25" s="444"/>
      <c r="C25" s="444"/>
      <c r="D25" s="85"/>
      <c r="E25" s="86"/>
      <c r="F25" s="85"/>
      <c r="G25" s="85"/>
      <c r="H25" s="86"/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4"/>
      <c r="B26" s="444"/>
      <c r="C26" s="444"/>
      <c r="D26" s="85"/>
      <c r="E26" s="86"/>
      <c r="F26" s="85"/>
      <c r="G26" s="85"/>
      <c r="H26" s="86"/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4"/>
      <c r="B27" s="444"/>
      <c r="C27" s="444"/>
      <c r="D27" s="85"/>
      <c r="E27" s="86"/>
      <c r="F27" s="85"/>
      <c r="G27" s="85"/>
      <c r="H27" s="86"/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4"/>
      <c r="B28" s="444"/>
      <c r="C28" s="444"/>
      <c r="D28" s="85"/>
      <c r="E28" s="86"/>
      <c r="F28" s="85"/>
      <c r="G28" s="85"/>
      <c r="H28" s="86"/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6"/>
      <c r="B29" s="446"/>
      <c r="C29" s="583"/>
      <c r="D29" s="85"/>
      <c r="E29" s="86"/>
      <c r="F29" s="85"/>
      <c r="G29" s="85"/>
      <c r="H29" s="106"/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94" t="s">
        <v>258</v>
      </c>
      <c r="B30" s="458"/>
      <c r="C30" s="96">
        <f>C19</f>
        <v>0</v>
      </c>
      <c r="D30" s="97"/>
      <c r="E30" s="98">
        <f>C30</f>
        <v>0</v>
      </c>
      <c r="F30" s="99"/>
      <c r="G30" s="100"/>
      <c r="H30" s="101">
        <f>SUM(H19:H29)</f>
        <v>0</v>
      </c>
      <c r="I30" s="514"/>
      <c r="J30" s="459"/>
      <c r="K30" s="102" t="e">
        <f>H30/C30</f>
        <v>#DIV/0!</v>
      </c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489" t="s">
        <v>31</v>
      </c>
      <c r="B31" s="490" t="s">
        <v>259</v>
      </c>
      <c r="C31" s="582">
        <f>예산!P26</f>
        <v>282398210</v>
      </c>
      <c r="D31" s="85" t="s">
        <v>288</v>
      </c>
      <c r="E31" s="86">
        <f>예산!P30</f>
        <v>186410400</v>
      </c>
      <c r="F31" s="85"/>
      <c r="G31" s="85"/>
      <c r="H31" s="104">
        <v>186410400</v>
      </c>
      <c r="I31" s="87"/>
      <c r="J31" s="85"/>
      <c r="K31" s="93"/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44"/>
      <c r="B32" s="444"/>
      <c r="C32" s="444"/>
      <c r="D32" s="85" t="s">
        <v>289</v>
      </c>
      <c r="E32" s="86">
        <f>예산!P29</f>
        <v>95987810</v>
      </c>
      <c r="F32" s="85"/>
      <c r="G32" s="85"/>
      <c r="H32" s="86">
        <v>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44"/>
      <c r="B33" s="444"/>
      <c r="C33" s="444"/>
      <c r="D33" s="85"/>
      <c r="E33" s="86"/>
      <c r="F33" s="85"/>
      <c r="G33" s="85"/>
      <c r="H33" s="86"/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44"/>
      <c r="B34" s="444"/>
      <c r="C34" s="444"/>
      <c r="D34" s="85"/>
      <c r="E34" s="86"/>
      <c r="F34" s="85"/>
      <c r="G34" s="85"/>
      <c r="H34" s="86"/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44"/>
      <c r="B35" s="446"/>
      <c r="C35" s="446"/>
      <c r="D35" s="85"/>
      <c r="E35" s="86"/>
      <c r="F35" s="85"/>
      <c r="G35" s="85"/>
      <c r="H35" s="86"/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44"/>
      <c r="B36" s="478" t="s">
        <v>21</v>
      </c>
      <c r="C36" s="458"/>
      <c r="D36" s="459"/>
      <c r="E36" s="88">
        <f>SUM(E31:E35)</f>
        <v>282398210</v>
      </c>
      <c r="F36" s="94"/>
      <c r="G36" s="89"/>
      <c r="H36" s="88">
        <f>SUM(H31:H35)</f>
        <v>186410400</v>
      </c>
      <c r="I36" s="90"/>
      <c r="J36" s="89"/>
      <c r="K36" s="91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44"/>
      <c r="B37" s="490" t="s">
        <v>70</v>
      </c>
      <c r="C37" s="515"/>
      <c r="D37" s="85"/>
      <c r="E37" s="86"/>
      <c r="F37" s="85"/>
      <c r="G37" s="85"/>
      <c r="H37" s="86"/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44"/>
      <c r="B38" s="444"/>
      <c r="C38" s="444"/>
      <c r="D38" s="85"/>
      <c r="E38" s="86"/>
      <c r="F38" s="85"/>
      <c r="G38" s="85"/>
      <c r="H38" s="86"/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44"/>
      <c r="B39" s="446"/>
      <c r="C39" s="446"/>
      <c r="D39" s="85"/>
      <c r="E39" s="86"/>
      <c r="F39" s="85"/>
      <c r="G39" s="85"/>
      <c r="H39" s="86"/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46"/>
      <c r="B40" s="478" t="s">
        <v>21</v>
      </c>
      <c r="C40" s="458"/>
      <c r="D40" s="459"/>
      <c r="E40" s="88"/>
      <c r="F40" s="89"/>
      <c r="G40" s="89"/>
      <c r="H40" s="95"/>
      <c r="I40" s="90"/>
      <c r="J40" s="89"/>
      <c r="K40" s="91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94" t="s">
        <v>260</v>
      </c>
      <c r="B41" s="458"/>
      <c r="C41" s="96">
        <f>예산!P26</f>
        <v>282398210</v>
      </c>
      <c r="D41" s="97"/>
      <c r="E41" s="98">
        <f>SUM(E36,E40)</f>
        <v>282398210</v>
      </c>
      <c r="F41" s="99"/>
      <c r="G41" s="100"/>
      <c r="H41" s="101">
        <f>H36+H40</f>
        <v>186410400</v>
      </c>
      <c r="I41" s="514"/>
      <c r="J41" s="459"/>
      <c r="K41" s="102">
        <f>H41/C41</f>
        <v>0.66009766846609974</v>
      </c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89" t="s">
        <v>72</v>
      </c>
      <c r="B42" s="490" t="s">
        <v>261</v>
      </c>
      <c r="C42" s="582">
        <f>예산!P53</f>
        <v>1144000</v>
      </c>
      <c r="D42" s="85" t="s">
        <v>262</v>
      </c>
      <c r="E42" s="86">
        <f>예산!P53</f>
        <v>1144000</v>
      </c>
      <c r="F42" s="85"/>
      <c r="G42" s="85"/>
      <c r="H42" s="104">
        <v>0</v>
      </c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44"/>
      <c r="B43" s="444"/>
      <c r="C43" s="444"/>
      <c r="D43" s="85"/>
      <c r="E43" s="86"/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44"/>
      <c r="B44" s="444"/>
      <c r="C44" s="444"/>
      <c r="D44" s="85"/>
      <c r="E44" s="86"/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44"/>
      <c r="B45" s="446"/>
      <c r="C45" s="446"/>
      <c r="D45" s="85"/>
      <c r="E45" s="86"/>
      <c r="F45" s="85"/>
      <c r="G45" s="85"/>
      <c r="H45" s="86"/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444"/>
      <c r="B46" s="490" t="s">
        <v>265</v>
      </c>
      <c r="C46" s="515"/>
      <c r="D46" s="85"/>
      <c r="E46" s="86"/>
      <c r="F46" s="85"/>
      <c r="G46" s="85"/>
      <c r="H46" s="86"/>
      <c r="I46" s="87"/>
      <c r="J46" s="85"/>
      <c r="K46" s="93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46"/>
      <c r="B47" s="446"/>
      <c r="C47" s="583"/>
      <c r="D47" s="85"/>
      <c r="E47" s="86"/>
      <c r="F47" s="85"/>
      <c r="G47" s="85"/>
      <c r="H47" s="106"/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494" t="s">
        <v>267</v>
      </c>
      <c r="B48" s="458"/>
      <c r="C48" s="96">
        <f>예산!P50</f>
        <v>1144000</v>
      </c>
      <c r="D48" s="97"/>
      <c r="E48" s="98">
        <f>SUM(E42:E47)</f>
        <v>1144000</v>
      </c>
      <c r="F48" s="99"/>
      <c r="G48" s="100"/>
      <c r="H48" s="101">
        <f>H45+H47</f>
        <v>0</v>
      </c>
      <c r="I48" s="514"/>
      <c r="J48" s="459"/>
      <c r="K48" s="102">
        <f>H48/C48</f>
        <v>0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489" t="s">
        <v>84</v>
      </c>
      <c r="B49" s="490" t="s">
        <v>94</v>
      </c>
      <c r="C49" s="515"/>
      <c r="D49" s="85"/>
      <c r="E49" s="86"/>
      <c r="F49" s="85"/>
      <c r="G49" s="85"/>
      <c r="H49" s="86"/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44"/>
      <c r="B50" s="444"/>
      <c r="C50" s="444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44"/>
      <c r="B51" s="444"/>
      <c r="C51" s="444"/>
      <c r="D51" s="85"/>
      <c r="E51" s="86"/>
      <c r="F51" s="85"/>
      <c r="G51" s="85"/>
      <c r="H51" s="86"/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44"/>
      <c r="B52" s="444"/>
      <c r="C52" s="444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44"/>
      <c r="B53" s="444"/>
      <c r="C53" s="444"/>
      <c r="D53" s="85"/>
      <c r="E53" s="86"/>
      <c r="F53" s="85"/>
      <c r="G53" s="85"/>
      <c r="H53" s="86"/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44"/>
      <c r="B54" s="444"/>
      <c r="C54" s="444"/>
      <c r="D54" s="85"/>
      <c r="E54" s="86"/>
      <c r="F54" s="85"/>
      <c r="G54" s="85"/>
      <c r="H54" s="86"/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44"/>
      <c r="B55" s="444"/>
      <c r="C55" s="444"/>
      <c r="D55" s="85"/>
      <c r="E55" s="86"/>
      <c r="F55" s="85"/>
      <c r="G55" s="85"/>
      <c r="H55" s="86"/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44"/>
      <c r="B56" s="446"/>
      <c r="C56" s="446"/>
      <c r="D56" s="85"/>
      <c r="E56" s="86"/>
      <c r="F56" s="85"/>
      <c r="G56" s="85"/>
      <c r="H56" s="86"/>
      <c r="I56" s="87"/>
      <c r="J56" s="8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44"/>
      <c r="B57" s="478" t="s">
        <v>21</v>
      </c>
      <c r="C57" s="458"/>
      <c r="D57" s="459"/>
      <c r="E57" s="88">
        <f>SUM(E49:E56)</f>
        <v>0</v>
      </c>
      <c r="F57" s="94"/>
      <c r="G57" s="89"/>
      <c r="H57" s="88">
        <f>SUM(H49:H56)</f>
        <v>0</v>
      </c>
      <c r="I57" s="90"/>
      <c r="J57" s="89"/>
      <c r="K57" s="91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44"/>
      <c r="B58" s="85" t="s">
        <v>121</v>
      </c>
      <c r="C58" s="92">
        <f>예산!P102</f>
        <v>150000</v>
      </c>
      <c r="D58" s="85" t="s">
        <v>290</v>
      </c>
      <c r="E58" s="86">
        <f>예산!P100</f>
        <v>150000</v>
      </c>
      <c r="F58" s="85"/>
      <c r="G58" s="85"/>
      <c r="H58" s="86">
        <v>0</v>
      </c>
      <c r="I58" s="87"/>
      <c r="J58" s="8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44"/>
      <c r="B59" s="478" t="s">
        <v>21</v>
      </c>
      <c r="C59" s="458"/>
      <c r="D59" s="459"/>
      <c r="E59" s="88">
        <f>SUM(E58)</f>
        <v>150000</v>
      </c>
      <c r="F59" s="94"/>
      <c r="G59" s="89"/>
      <c r="H59" s="88">
        <f>H58</f>
        <v>0</v>
      </c>
      <c r="I59" s="90"/>
      <c r="J59" s="89"/>
      <c r="K59" s="91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44"/>
      <c r="B60" s="490" t="s">
        <v>135</v>
      </c>
      <c r="C60" s="515">
        <f>예산!P127</f>
        <v>157759520</v>
      </c>
      <c r="D60" s="85" t="s">
        <v>285</v>
      </c>
      <c r="E60" s="86">
        <f>예산!P125</f>
        <v>78879760</v>
      </c>
      <c r="F60" s="85"/>
      <c r="G60" s="85"/>
      <c r="H60" s="86"/>
      <c r="I60" s="87"/>
      <c r="J60" s="8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44"/>
      <c r="B61" s="444"/>
      <c r="C61" s="444"/>
      <c r="D61" s="85" t="s">
        <v>286</v>
      </c>
      <c r="E61" s="86">
        <f>예산!P126</f>
        <v>78879760</v>
      </c>
      <c r="F61" s="85"/>
      <c r="G61" s="85"/>
      <c r="H61" s="86"/>
      <c r="I61" s="87"/>
      <c r="J61" s="8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44"/>
      <c r="B62" s="444"/>
      <c r="C62" s="444"/>
      <c r="D62" s="85"/>
      <c r="E62" s="86"/>
      <c r="F62" s="85"/>
      <c r="G62" s="85"/>
      <c r="H62" s="86"/>
      <c r="I62" s="87"/>
      <c r="J62" s="8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44"/>
      <c r="B63" s="444"/>
      <c r="C63" s="444"/>
      <c r="D63" s="85"/>
      <c r="E63" s="86"/>
      <c r="F63" s="85"/>
      <c r="G63" s="85"/>
      <c r="H63" s="86"/>
      <c r="I63" s="87"/>
      <c r="J63" s="8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44"/>
      <c r="B64" s="444"/>
      <c r="C64" s="444"/>
      <c r="D64" s="85"/>
      <c r="E64" s="86"/>
      <c r="F64" s="85"/>
      <c r="G64" s="85"/>
      <c r="H64" s="86"/>
      <c r="I64" s="87"/>
      <c r="J64" s="8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444"/>
      <c r="B65" s="444"/>
      <c r="C65" s="444"/>
      <c r="D65" s="85"/>
      <c r="E65" s="86"/>
      <c r="F65" s="85"/>
      <c r="G65" s="85"/>
      <c r="H65" s="86"/>
      <c r="I65" s="87"/>
      <c r="J65" s="8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444"/>
      <c r="B66" s="444"/>
      <c r="C66" s="444"/>
      <c r="D66" s="85"/>
      <c r="E66" s="86"/>
      <c r="F66" s="85"/>
      <c r="G66" s="85"/>
      <c r="H66" s="86"/>
      <c r="I66" s="87"/>
      <c r="J66" s="8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444"/>
      <c r="B67" s="444"/>
      <c r="C67" s="444"/>
      <c r="D67" s="85"/>
      <c r="E67" s="86"/>
      <c r="F67" s="85"/>
      <c r="G67" s="85"/>
      <c r="H67" s="86"/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44"/>
      <c r="B68" s="444"/>
      <c r="C68" s="444"/>
      <c r="D68" s="85"/>
      <c r="E68" s="86"/>
      <c r="F68" s="85"/>
      <c r="G68" s="85"/>
      <c r="H68" s="86"/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44"/>
      <c r="B69" s="444"/>
      <c r="C69" s="444"/>
      <c r="D69" s="85"/>
      <c r="E69" s="86"/>
      <c r="F69" s="85"/>
      <c r="G69" s="85"/>
      <c r="H69" s="86"/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4"/>
      <c r="B70" s="446"/>
      <c r="C70" s="446"/>
      <c r="D70" s="85"/>
      <c r="E70" s="86"/>
      <c r="F70" s="85"/>
      <c r="G70" s="85"/>
      <c r="H70" s="86"/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44"/>
      <c r="B71" s="478" t="s">
        <v>21</v>
      </c>
      <c r="C71" s="458"/>
      <c r="D71" s="459"/>
      <c r="E71" s="88">
        <f>SUM(E60:E70)</f>
        <v>157759520</v>
      </c>
      <c r="F71" s="94"/>
      <c r="G71" s="89"/>
      <c r="H71" s="88">
        <f>SUM(H60:H70)</f>
        <v>0</v>
      </c>
      <c r="I71" s="90"/>
      <c r="J71" s="89"/>
      <c r="K71" s="91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44"/>
      <c r="B72" s="490" t="s">
        <v>116</v>
      </c>
      <c r="C72" s="515"/>
      <c r="D72" s="11" t="s">
        <v>118</v>
      </c>
      <c r="E72" s="86">
        <f>예산!P93</f>
        <v>500000</v>
      </c>
      <c r="F72" s="85"/>
      <c r="G72" s="85"/>
      <c r="H72" s="86">
        <v>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44"/>
      <c r="B73" s="444"/>
      <c r="C73" s="444"/>
      <c r="D73" s="11" t="s">
        <v>119</v>
      </c>
      <c r="E73" s="86">
        <f>예산!P94</f>
        <v>50000</v>
      </c>
      <c r="F73" s="85"/>
      <c r="G73" s="85"/>
      <c r="H73" s="86">
        <v>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44"/>
      <c r="B74" s="444"/>
      <c r="C74" s="444"/>
      <c r="D74" s="11" t="s">
        <v>120</v>
      </c>
      <c r="E74" s="86">
        <f>예산!P95</f>
        <v>60029</v>
      </c>
      <c r="F74" s="85"/>
      <c r="G74" s="85"/>
      <c r="H74" s="86">
        <v>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44"/>
      <c r="B75" s="444"/>
      <c r="C75" s="444"/>
      <c r="D75" s="85"/>
      <c r="E75" s="86"/>
      <c r="F75" s="85"/>
      <c r="G75" s="85"/>
      <c r="H75" s="86"/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44"/>
      <c r="B76" s="446"/>
      <c r="C76" s="446"/>
      <c r="D76" s="85"/>
      <c r="E76" s="86"/>
      <c r="F76" s="85"/>
      <c r="G76" s="85"/>
      <c r="H76" s="86"/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44"/>
      <c r="B77" s="478" t="s">
        <v>21</v>
      </c>
      <c r="C77" s="458"/>
      <c r="D77" s="459"/>
      <c r="E77" s="88">
        <f>SUM(E72:E76)</f>
        <v>610029</v>
      </c>
      <c r="F77" s="94"/>
      <c r="G77" s="89"/>
      <c r="H77" s="88">
        <f>SUM(H72:H76)</f>
        <v>0</v>
      </c>
      <c r="I77" s="90"/>
      <c r="J77" s="89"/>
      <c r="K77" s="91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44"/>
      <c r="B78" s="490" t="s">
        <v>105</v>
      </c>
      <c r="C78" s="515">
        <f>예산!P89</f>
        <v>39600000</v>
      </c>
      <c r="D78" s="85" t="s">
        <v>108</v>
      </c>
      <c r="E78" s="86">
        <f>예산!P87</f>
        <v>18480000</v>
      </c>
      <c r="F78" s="85"/>
      <c r="G78" s="85"/>
      <c r="H78" s="86">
        <v>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44"/>
      <c r="B79" s="444"/>
      <c r="C79" s="444"/>
      <c r="D79" s="85" t="s">
        <v>113</v>
      </c>
      <c r="E79" s="86">
        <f>예산!P88</f>
        <v>21120000</v>
      </c>
      <c r="F79" s="85"/>
      <c r="G79" s="85"/>
      <c r="H79" s="86">
        <v>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44"/>
      <c r="B80" s="444"/>
      <c r="C80" s="444"/>
      <c r="D80" s="85"/>
      <c r="E80" s="86"/>
      <c r="F80" s="85"/>
      <c r="G80" s="85"/>
      <c r="H80" s="86"/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44"/>
      <c r="B81" s="444"/>
      <c r="C81" s="444"/>
      <c r="D81" s="85"/>
      <c r="E81" s="86"/>
      <c r="F81" s="85"/>
      <c r="G81" s="85"/>
      <c r="H81" s="86"/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44"/>
      <c r="B82" s="444"/>
      <c r="C82" s="444"/>
      <c r="D82" s="85"/>
      <c r="E82" s="86"/>
      <c r="F82" s="85"/>
      <c r="G82" s="85"/>
      <c r="H82" s="8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44"/>
      <c r="B83" s="444"/>
      <c r="C83" s="444"/>
      <c r="D83" s="85"/>
      <c r="E83" s="86"/>
      <c r="F83" s="85"/>
      <c r="G83" s="85"/>
      <c r="H83" s="86"/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44"/>
      <c r="B84" s="444"/>
      <c r="C84" s="444"/>
      <c r="D84" s="85"/>
      <c r="E84" s="86"/>
      <c r="F84" s="85"/>
      <c r="G84" s="85"/>
      <c r="H84" s="86"/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44"/>
      <c r="B85" s="446"/>
      <c r="C85" s="446"/>
      <c r="D85" s="85"/>
      <c r="E85" s="86"/>
      <c r="F85" s="85"/>
      <c r="G85" s="85"/>
      <c r="H85" s="86"/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44"/>
      <c r="B86" s="478" t="s">
        <v>21</v>
      </c>
      <c r="C86" s="458"/>
      <c r="D86" s="459"/>
      <c r="E86" s="88">
        <f>SUM(E78:E85)</f>
        <v>39600000</v>
      </c>
      <c r="F86" s="94"/>
      <c r="G86" s="89"/>
      <c r="H86" s="88">
        <f>SUM(H78:H85)</f>
        <v>0</v>
      </c>
      <c r="I86" s="90"/>
      <c r="J86" s="89"/>
      <c r="K86" s="91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44"/>
      <c r="B87" s="127"/>
      <c r="C87" s="96">
        <f>예산!P56</f>
        <v>198119549</v>
      </c>
      <c r="D87" s="107"/>
      <c r="E87" s="108">
        <f>SUM(E57,E59,E71,E77,E86)</f>
        <v>198119549</v>
      </c>
      <c r="F87" s="109"/>
      <c r="G87" s="110"/>
      <c r="H87" s="101">
        <f>SUM(H57,H59,H71,H77,H86)</f>
        <v>0</v>
      </c>
      <c r="I87" s="476"/>
      <c r="J87" s="477"/>
      <c r="K87" s="102">
        <f t="shared" ref="K87:K88" si="0">H87/C87</f>
        <v>0</v>
      </c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44"/>
      <c r="B88" s="112"/>
      <c r="C88" s="113">
        <f>SUM(C87,C48,C41,C30,C18)</f>
        <v>485690651</v>
      </c>
      <c r="D88" s="112"/>
      <c r="E88" s="114"/>
      <c r="F88" s="112"/>
      <c r="G88" s="112"/>
      <c r="H88" s="115">
        <f>SUM(H87,H48,H41,H30,H18)</f>
        <v>190439292</v>
      </c>
      <c r="I88" s="116"/>
      <c r="J88" s="112"/>
      <c r="K88" s="117">
        <f t="shared" si="0"/>
        <v>0.39209997476356612</v>
      </c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44"/>
      <c r="C89" s="118"/>
      <c r="E89" s="61"/>
      <c r="H89" s="61"/>
      <c r="I89" s="60"/>
      <c r="K89" s="62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44"/>
      <c r="C90" s="118"/>
      <c r="E90" s="61"/>
      <c r="H90" s="61"/>
      <c r="I90" s="60"/>
      <c r="K90" s="62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44"/>
      <c r="C91" s="118"/>
      <c r="E91" s="61"/>
      <c r="H91" s="61"/>
      <c r="I91" s="60"/>
      <c r="K91" s="62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4"/>
      <c r="C92" s="118"/>
      <c r="E92" s="61"/>
      <c r="H92" s="61"/>
      <c r="I92" s="60"/>
      <c r="K92" s="62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44"/>
      <c r="C93" s="118"/>
      <c r="E93" s="61"/>
      <c r="H93" s="61"/>
      <c r="I93" s="60"/>
      <c r="K93" s="62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44"/>
      <c r="C94" s="118"/>
      <c r="E94" s="61"/>
      <c r="H94" s="61"/>
      <c r="I94" s="60"/>
      <c r="K94" s="62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44"/>
      <c r="C95" s="118"/>
      <c r="E95" s="61"/>
      <c r="H95" s="61"/>
      <c r="I95" s="60"/>
      <c r="K95" s="62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44"/>
      <c r="C96" s="118"/>
      <c r="E96" s="61"/>
      <c r="H96" s="61"/>
      <c r="I96" s="60"/>
      <c r="K96" s="62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44"/>
      <c r="C97" s="118"/>
      <c r="E97" s="61"/>
      <c r="H97" s="61"/>
      <c r="I97" s="60"/>
      <c r="K97" s="62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44"/>
      <c r="C98" s="118"/>
      <c r="E98" s="61"/>
      <c r="H98" s="61"/>
      <c r="I98" s="60"/>
      <c r="K98" s="62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4"/>
      <c r="C99" s="118"/>
      <c r="E99" s="61"/>
      <c r="H99" s="61"/>
      <c r="I99" s="60"/>
      <c r="K99" s="62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4"/>
      <c r="C100" s="118"/>
      <c r="E100" s="61"/>
      <c r="H100" s="61"/>
      <c r="I100" s="60"/>
      <c r="K100" s="62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4"/>
      <c r="C101" s="118"/>
      <c r="E101" s="61"/>
      <c r="H101" s="61"/>
      <c r="I101" s="60"/>
      <c r="K101" s="62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4"/>
      <c r="C102" s="118"/>
      <c r="E102" s="61"/>
      <c r="H102" s="61"/>
      <c r="I102" s="60"/>
      <c r="K102" s="62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4"/>
      <c r="C103" s="118"/>
      <c r="E103" s="61"/>
      <c r="H103" s="61"/>
      <c r="I103" s="60"/>
      <c r="K103" s="62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4"/>
      <c r="C104" s="118"/>
      <c r="E104" s="61"/>
      <c r="H104" s="61"/>
      <c r="I104" s="60"/>
      <c r="K104" s="62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4"/>
      <c r="C105" s="118"/>
      <c r="E105" s="61"/>
      <c r="H105" s="61"/>
      <c r="I105" s="60"/>
      <c r="K105" s="62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4"/>
      <c r="C106" s="118"/>
      <c r="E106" s="61"/>
      <c r="H106" s="61"/>
      <c r="I106" s="60"/>
      <c r="K106" s="62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4"/>
      <c r="C107" s="118"/>
      <c r="E107" s="61"/>
      <c r="H107" s="61"/>
      <c r="I107" s="60"/>
      <c r="K107" s="62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4"/>
      <c r="C108" s="118"/>
      <c r="E108" s="61"/>
      <c r="H108" s="61"/>
      <c r="I108" s="60"/>
      <c r="K108" s="62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4"/>
      <c r="C109" s="118"/>
      <c r="E109" s="61"/>
      <c r="H109" s="61"/>
      <c r="I109" s="60"/>
      <c r="K109" s="62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4"/>
      <c r="C110" s="118"/>
      <c r="E110" s="61"/>
      <c r="H110" s="61"/>
      <c r="I110" s="60"/>
      <c r="K110" s="62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4"/>
      <c r="C111" s="118"/>
      <c r="E111" s="61"/>
      <c r="H111" s="61"/>
      <c r="I111" s="60"/>
      <c r="K111" s="62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4"/>
      <c r="C112" s="118"/>
      <c r="E112" s="61"/>
      <c r="H112" s="61"/>
      <c r="I112" s="60"/>
      <c r="K112" s="62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4"/>
      <c r="C113" s="118"/>
      <c r="E113" s="61"/>
      <c r="H113" s="61"/>
      <c r="I113" s="60"/>
      <c r="K113" s="62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4"/>
      <c r="C114" s="118"/>
      <c r="E114" s="61"/>
      <c r="H114" s="61"/>
      <c r="I114" s="60"/>
      <c r="K114" s="62"/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4"/>
      <c r="C115" s="118"/>
      <c r="E115" s="61"/>
      <c r="H115" s="61"/>
      <c r="I115" s="60"/>
      <c r="K115" s="62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4"/>
      <c r="C116" s="118"/>
      <c r="E116" s="61"/>
      <c r="H116" s="61"/>
      <c r="I116" s="60"/>
      <c r="K116" s="62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4"/>
      <c r="C117" s="118"/>
      <c r="E117" s="61"/>
      <c r="H117" s="61"/>
      <c r="I117" s="60"/>
      <c r="K117" s="62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4"/>
      <c r="C118" s="118"/>
      <c r="E118" s="61"/>
      <c r="H118" s="61"/>
      <c r="I118" s="60"/>
      <c r="K118" s="62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4"/>
      <c r="C119" s="118"/>
      <c r="E119" s="61"/>
      <c r="H119" s="61"/>
      <c r="I119" s="60"/>
      <c r="K119" s="62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4"/>
      <c r="C120" s="118"/>
      <c r="E120" s="61"/>
      <c r="H120" s="61"/>
      <c r="I120" s="60"/>
      <c r="K120" s="62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6"/>
      <c r="C121" s="118"/>
      <c r="E121" s="61"/>
      <c r="H121" s="61"/>
      <c r="I121" s="60"/>
      <c r="K121" s="62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128" t="s">
        <v>275</v>
      </c>
      <c r="C122" s="118"/>
      <c r="E122" s="61"/>
      <c r="H122" s="61"/>
      <c r="I122" s="60"/>
      <c r="K122" s="62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111" t="s">
        <v>276</v>
      </c>
      <c r="C123" s="118"/>
      <c r="E123" s="61"/>
      <c r="H123" s="61"/>
      <c r="I123" s="60"/>
      <c r="K123" s="62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C124" s="118"/>
      <c r="E124" s="61"/>
      <c r="H124" s="61"/>
      <c r="I124" s="60"/>
      <c r="K124" s="62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C125" s="118"/>
      <c r="E125" s="61"/>
      <c r="H125" s="61"/>
      <c r="I125" s="60"/>
      <c r="K125" s="62"/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C126" s="118"/>
      <c r="E126" s="61"/>
      <c r="H126" s="61"/>
      <c r="I126" s="60"/>
      <c r="K126" s="62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C127" s="118"/>
      <c r="E127" s="61"/>
      <c r="H127" s="61"/>
      <c r="I127" s="60"/>
      <c r="K127" s="62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C128" s="118"/>
      <c r="E128" s="61"/>
      <c r="H128" s="61"/>
      <c r="I128" s="60"/>
      <c r="K128" s="62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3:27" ht="16.5" customHeight="1">
      <c r="C129" s="118"/>
      <c r="E129" s="61"/>
      <c r="H129" s="61"/>
      <c r="I129" s="60"/>
      <c r="K129" s="62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3:27" ht="16.5" customHeight="1">
      <c r="C130" s="118"/>
      <c r="E130" s="61"/>
      <c r="H130" s="61"/>
      <c r="I130" s="60"/>
      <c r="K130" s="62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3:27" ht="16.5" customHeight="1">
      <c r="C131" s="118"/>
      <c r="E131" s="61"/>
      <c r="H131" s="61"/>
      <c r="I131" s="60"/>
      <c r="K131" s="62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3:27" ht="16.5" customHeight="1">
      <c r="C132" s="118"/>
      <c r="E132" s="61"/>
      <c r="H132" s="61"/>
      <c r="I132" s="60"/>
      <c r="K132" s="62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3:27" ht="16.5" customHeight="1">
      <c r="C133" s="118"/>
      <c r="E133" s="61"/>
      <c r="H133" s="61"/>
      <c r="I133" s="60"/>
      <c r="K133" s="62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3:27" ht="16.5" customHeight="1">
      <c r="C134" s="118"/>
      <c r="E134" s="61"/>
      <c r="H134" s="61"/>
      <c r="I134" s="60"/>
      <c r="K134" s="62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3:27" ht="16.5" customHeight="1">
      <c r="C135" s="118"/>
      <c r="E135" s="61"/>
      <c r="H135" s="61"/>
      <c r="I135" s="60"/>
      <c r="K135" s="62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3:27" ht="16.5" customHeight="1">
      <c r="C136" s="118"/>
      <c r="E136" s="61"/>
      <c r="H136" s="61"/>
      <c r="I136" s="60"/>
      <c r="K136" s="62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3:27" ht="16.5" customHeight="1">
      <c r="C137" s="118"/>
      <c r="E137" s="61"/>
      <c r="H137" s="61"/>
      <c r="I137" s="60"/>
      <c r="K137" s="62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3:27" ht="16.5" customHeight="1">
      <c r="C138" s="118"/>
      <c r="E138" s="61"/>
      <c r="H138" s="61"/>
      <c r="I138" s="60"/>
      <c r="K138" s="62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3:27" ht="16.5" customHeight="1">
      <c r="C139" s="118"/>
      <c r="E139" s="61"/>
      <c r="H139" s="61"/>
      <c r="I139" s="60"/>
      <c r="K139" s="62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3:27" ht="16.5" customHeight="1">
      <c r="C140" s="118"/>
      <c r="E140" s="61"/>
      <c r="H140" s="61"/>
      <c r="I140" s="60"/>
      <c r="K140" s="62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3:27" ht="16.5" customHeight="1">
      <c r="C141" s="118"/>
      <c r="E141" s="61"/>
      <c r="H141" s="61"/>
      <c r="I141" s="60"/>
      <c r="K141" s="62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3:27" ht="16.5" customHeight="1">
      <c r="C142" s="118"/>
      <c r="E142" s="61"/>
      <c r="H142" s="61"/>
      <c r="I142" s="60"/>
      <c r="K142" s="62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3:27" ht="16.5" customHeight="1">
      <c r="C143" s="118"/>
      <c r="E143" s="61"/>
      <c r="H143" s="61"/>
      <c r="I143" s="60"/>
      <c r="K143" s="62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3:27" ht="16.5" customHeight="1">
      <c r="C144" s="118"/>
      <c r="E144" s="61"/>
      <c r="H144" s="61"/>
      <c r="I144" s="60"/>
      <c r="K144" s="62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3:27" ht="16.5" customHeight="1">
      <c r="C145" s="118"/>
      <c r="E145" s="61"/>
      <c r="H145" s="61"/>
      <c r="I145" s="60"/>
      <c r="K145" s="62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3:27" ht="16.5" customHeight="1">
      <c r="C146" s="118"/>
      <c r="E146" s="61"/>
      <c r="H146" s="61"/>
      <c r="I146" s="60"/>
      <c r="K146" s="62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3:27" ht="16.5" customHeight="1">
      <c r="C147" s="118"/>
      <c r="E147" s="61"/>
      <c r="H147" s="61"/>
      <c r="I147" s="60"/>
      <c r="K147" s="62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3:27" ht="16.5" customHeight="1">
      <c r="C148" s="118"/>
      <c r="E148" s="61"/>
      <c r="H148" s="61"/>
      <c r="I148" s="60"/>
      <c r="K148" s="62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3:27" ht="16.5" customHeight="1">
      <c r="C149" s="118"/>
      <c r="E149" s="61"/>
      <c r="H149" s="61"/>
      <c r="I149" s="60"/>
      <c r="K149" s="62"/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3:27" ht="16.5" customHeight="1">
      <c r="C150" s="118"/>
      <c r="E150" s="61"/>
      <c r="H150" s="61"/>
      <c r="I150" s="60"/>
      <c r="K150" s="62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3:27" ht="16.5" customHeight="1">
      <c r="C151" s="118"/>
      <c r="E151" s="61"/>
      <c r="H151" s="61"/>
      <c r="I151" s="60"/>
      <c r="K151" s="62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3:27" ht="16.5" customHeight="1">
      <c r="C152" s="118"/>
      <c r="E152" s="61"/>
      <c r="H152" s="61"/>
      <c r="I152" s="60"/>
      <c r="K152" s="62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3:27" ht="16.5" customHeight="1">
      <c r="C153" s="118"/>
      <c r="E153" s="61"/>
      <c r="H153" s="61"/>
      <c r="I153" s="60"/>
      <c r="K153" s="62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3:27" ht="16.5" customHeight="1">
      <c r="C154" s="118"/>
      <c r="E154" s="61"/>
      <c r="H154" s="61"/>
      <c r="I154" s="60"/>
      <c r="K154" s="62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3:27" ht="16.5" customHeight="1">
      <c r="C155" s="118"/>
      <c r="E155" s="61"/>
      <c r="H155" s="61"/>
      <c r="I155" s="60"/>
      <c r="K155" s="62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3:27" ht="16.5" customHeight="1">
      <c r="C156" s="118"/>
      <c r="E156" s="61"/>
      <c r="H156" s="61"/>
      <c r="I156" s="60"/>
      <c r="K156" s="62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3:27" ht="16.5" customHeight="1">
      <c r="C157" s="118"/>
      <c r="E157" s="61"/>
      <c r="H157" s="61"/>
      <c r="I157" s="60"/>
      <c r="K157" s="62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3:27" ht="16.5" customHeight="1">
      <c r="C158" s="118"/>
      <c r="E158" s="61"/>
      <c r="H158" s="61"/>
      <c r="I158" s="60"/>
      <c r="K158" s="62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3:27" ht="16.5" customHeight="1">
      <c r="C159" s="118"/>
      <c r="E159" s="61"/>
      <c r="H159" s="61"/>
      <c r="I159" s="60"/>
      <c r="K159" s="62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3:27" ht="16.5" customHeight="1">
      <c r="C160" s="118"/>
      <c r="E160" s="61"/>
      <c r="H160" s="61"/>
      <c r="I160" s="60"/>
      <c r="K160" s="62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3:27" ht="16.5" customHeight="1">
      <c r="C161" s="118"/>
      <c r="E161" s="61"/>
      <c r="H161" s="61"/>
      <c r="I161" s="60"/>
      <c r="K161" s="62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3:27" ht="16.5" customHeight="1">
      <c r="C162" s="118"/>
      <c r="E162" s="61"/>
      <c r="H162" s="61"/>
      <c r="I162" s="60"/>
      <c r="K162" s="62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3:27" ht="16.5" customHeight="1">
      <c r="C163" s="118"/>
      <c r="E163" s="61"/>
      <c r="H163" s="61"/>
      <c r="I163" s="60"/>
      <c r="K163" s="62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3:27" ht="16.5" customHeight="1">
      <c r="C164" s="118"/>
      <c r="E164" s="61"/>
      <c r="H164" s="61"/>
      <c r="I164" s="60"/>
      <c r="K164" s="62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3:27" ht="16.5" customHeight="1">
      <c r="C165" s="118"/>
      <c r="E165" s="61"/>
      <c r="H165" s="61"/>
      <c r="I165" s="60"/>
      <c r="K165" s="62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3:27" ht="16.5" customHeight="1">
      <c r="C166" s="118"/>
      <c r="E166" s="61"/>
      <c r="H166" s="61"/>
      <c r="I166" s="60"/>
      <c r="K166" s="62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3:27" ht="16.5" customHeight="1">
      <c r="C167" s="118"/>
      <c r="E167" s="61"/>
      <c r="H167" s="61"/>
      <c r="I167" s="60"/>
      <c r="K167" s="62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3:27" ht="16.5" customHeight="1">
      <c r="C168" s="118"/>
      <c r="E168" s="61"/>
      <c r="H168" s="61"/>
      <c r="I168" s="60"/>
      <c r="K168" s="62"/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3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3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3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3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3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3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3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3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</sheetData>
  <mergeCells count="57">
    <mergeCell ref="I48:J48"/>
    <mergeCell ref="A42:A47"/>
    <mergeCell ref="A49:A121"/>
    <mergeCell ref="C31:C35"/>
    <mergeCell ref="B36:D36"/>
    <mergeCell ref="B42:B45"/>
    <mergeCell ref="C42:C45"/>
    <mergeCell ref="B46:B47"/>
    <mergeCell ref="C46:C47"/>
    <mergeCell ref="A48:B48"/>
    <mergeCell ref="B72:B76"/>
    <mergeCell ref="C72:C76"/>
    <mergeCell ref="B77:D77"/>
    <mergeCell ref="B78:B85"/>
    <mergeCell ref="C78:C85"/>
    <mergeCell ref="B86:D86"/>
    <mergeCell ref="I87:J87"/>
    <mergeCell ref="B49:B56"/>
    <mergeCell ref="C49:C56"/>
    <mergeCell ref="B57:D57"/>
    <mergeCell ref="B59:D59"/>
    <mergeCell ref="B60:B70"/>
    <mergeCell ref="C60:C70"/>
    <mergeCell ref="B71:D71"/>
    <mergeCell ref="A1:K1"/>
    <mergeCell ref="P2:Q2"/>
    <mergeCell ref="R2:S2"/>
    <mergeCell ref="T2:U2"/>
    <mergeCell ref="V2:W2"/>
    <mergeCell ref="X2:Y2"/>
    <mergeCell ref="Z2:AA2"/>
    <mergeCell ref="E6:F6"/>
    <mergeCell ref="E7:F7"/>
    <mergeCell ref="D8:F14"/>
    <mergeCell ref="K4:K14"/>
    <mergeCell ref="B15:D15"/>
    <mergeCell ref="D3:F3"/>
    <mergeCell ref="A4:A17"/>
    <mergeCell ref="B4:B14"/>
    <mergeCell ref="C4:C14"/>
    <mergeCell ref="E4:F4"/>
    <mergeCell ref="E5:F5"/>
    <mergeCell ref="B17:D17"/>
    <mergeCell ref="A41:B41"/>
    <mergeCell ref="B40:D40"/>
    <mergeCell ref="I41:J41"/>
    <mergeCell ref="I18:J18"/>
    <mergeCell ref="B19:B29"/>
    <mergeCell ref="B31:B35"/>
    <mergeCell ref="B37:B39"/>
    <mergeCell ref="C37:C39"/>
    <mergeCell ref="I30:J30"/>
    <mergeCell ref="A31:A40"/>
    <mergeCell ref="A18:B18"/>
    <mergeCell ref="A19:A29"/>
    <mergeCell ref="C19:C29"/>
    <mergeCell ref="A30:B30"/>
  </mergeCells>
  <phoneticPr fontId="2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3차년도 전체요약</vt:lpstr>
      <vt:lpstr>예산</vt:lpstr>
      <vt:lpstr>소진일정</vt:lpstr>
      <vt:lpstr>재정투자 계획 총괄표, 대응자금</vt:lpstr>
      <vt:lpstr>3차년도 사업비 편성 총괄표</vt:lpstr>
      <vt:lpstr>3차년도 사업비 소진현황 (지출)</vt:lpstr>
      <vt:lpstr>이월금일정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Donghyuk So</dc:creator>
  <cp:lastModifiedBy>MYUNG JIN</cp:lastModifiedBy>
  <dcterms:created xsi:type="dcterms:W3CDTF">2024-08-14T12:20:08Z</dcterms:created>
  <dcterms:modified xsi:type="dcterms:W3CDTF">2025-10-02T08:39:17Z</dcterms:modified>
</cp:coreProperties>
</file>