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9f3fa32ababedc4/MS-Cand/업무/_예산^M운영전반/깃업로드/"/>
    </mc:Choice>
  </mc:AlternateContent>
  <xr:revisionPtr revIDLastSave="2190" documentId="8_{EFAD211C-DBCA-41B0-BAEB-6470F0AA3E91}" xr6:coauthVersionLast="47" xr6:coauthVersionMax="47" xr10:uidLastSave="{FDFACAB0-988D-47B3-AC33-52407017A2F1}"/>
  <bookViews>
    <workbookView xWindow="38280" yWindow="-120" windowWidth="38640" windowHeight="211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G250" i="1" l="1"/>
  <c r="C10" i="7"/>
  <c r="F149" i="1"/>
  <c r="G149" i="1" s="1"/>
  <c r="F148" i="1"/>
  <c r="G150" i="1"/>
  <c r="F178" i="1"/>
  <c r="G178" i="1" s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J10" i="7"/>
  <c r="I10" i="7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F175" i="1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G79" i="1"/>
  <c r="G237" i="1"/>
  <c r="G238" i="1"/>
  <c r="G239" i="1"/>
  <c r="G241" i="1"/>
  <c r="G242" i="1"/>
  <c r="G243" i="1"/>
  <c r="G244" i="1"/>
  <c r="H173" i="3" s="1"/>
  <c r="H99" i="3"/>
  <c r="E87" i="3"/>
  <c r="H87" i="3"/>
  <c r="E86" i="3"/>
  <c r="H86" i="3"/>
  <c r="H85" i="3"/>
  <c r="H76" i="3"/>
  <c r="H73" i="3"/>
  <c r="H74" i="3"/>
  <c r="H75" i="3"/>
  <c r="H97" i="2"/>
  <c r="H84" i="3"/>
  <c r="E88" i="3"/>
  <c r="E90" i="3"/>
  <c r="H90" i="3"/>
  <c r="E89" i="3"/>
  <c r="H89" i="3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/>
  <c r="AE7" i="3"/>
  <c r="AL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K7" i="3"/>
  <c r="AI7" i="3"/>
  <c r="AF8" i="3"/>
  <c r="AG8" i="3"/>
  <c r="AH8" i="3"/>
  <c r="AI8" i="3"/>
  <c r="AJ8" i="3"/>
  <c r="AK8" i="3"/>
  <c r="AL8" i="3"/>
  <c r="AM8" i="3"/>
  <c r="AN8" i="3"/>
  <c r="AH7" i="3"/>
  <c r="G225" i="1"/>
  <c r="G224" i="1"/>
  <c r="E9" i="1"/>
  <c r="H11" i="2" s="1"/>
  <c r="Q8" i="1"/>
  <c r="G232" i="1"/>
  <c r="C16" i="6" s="1"/>
  <c r="G236" i="1"/>
  <c r="G7" i="1"/>
  <c r="E4" i="2" s="1"/>
  <c r="G137" i="1"/>
  <c r="H30" i="3"/>
  <c r="H29" i="3"/>
  <c r="H28" i="3"/>
  <c r="H27" i="3"/>
  <c r="H26" i="3"/>
  <c r="H25" i="3"/>
  <c r="H4" i="3"/>
  <c r="AE2" i="3" s="1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H24" i="3"/>
  <c r="H23" i="3"/>
  <c r="H22" i="3"/>
  <c r="H21" i="3"/>
  <c r="H20" i="3"/>
  <c r="H19" i="3"/>
  <c r="AD2" i="3"/>
  <c r="H5" i="3"/>
  <c r="G240" i="1"/>
  <c r="G223" i="1"/>
  <c r="H160" i="2" s="1"/>
  <c r="G216" i="1"/>
  <c r="H164" i="3" s="1"/>
  <c r="G215" i="1"/>
  <c r="H154" i="2" s="1"/>
  <c r="G210" i="1"/>
  <c r="H152" i="2" s="1"/>
  <c r="G209" i="1"/>
  <c r="H160" i="3" s="1"/>
  <c r="G204" i="1"/>
  <c r="H144" i="2" s="1"/>
  <c r="Z3" i="2" s="1"/>
  <c r="G203" i="1"/>
  <c r="E152" i="3" s="1"/>
  <c r="G202" i="1"/>
  <c r="E151" i="3" s="1"/>
  <c r="G201" i="1"/>
  <c r="E150" i="3" s="1"/>
  <c r="G196" i="1"/>
  <c r="H148" i="3" s="1"/>
  <c r="H149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E58" i="4"/>
  <c r="E59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E43" i="2"/>
  <c r="E144" i="2"/>
  <c r="E141" i="2"/>
  <c r="H151" i="2"/>
  <c r="AO7" i="3"/>
  <c r="AO8" i="3"/>
  <c r="H31" i="3"/>
  <c r="R3" i="3"/>
  <c r="H114" i="3"/>
  <c r="T3" i="4"/>
  <c r="H125" i="3"/>
  <c r="F24" i="5"/>
  <c r="E55" i="3"/>
  <c r="AP7" i="3"/>
  <c r="R3" i="2"/>
  <c r="AA3" i="2"/>
  <c r="Y3" i="2"/>
  <c r="H8" i="3" l="1"/>
  <c r="AI2" i="3" s="1"/>
  <c r="H10" i="3"/>
  <c r="H13" i="3"/>
  <c r="E7" i="2"/>
  <c r="E50" i="3"/>
  <c r="L157" i="1"/>
  <c r="H11" i="3"/>
  <c r="H12" i="3"/>
  <c r="H7" i="2"/>
  <c r="H9" i="2"/>
  <c r="H12" i="2"/>
  <c r="H153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E106" i="2"/>
  <c r="H53" i="2"/>
  <c r="E49" i="2"/>
  <c r="H49" i="2"/>
  <c r="E151" i="2"/>
  <c r="E169" i="3"/>
  <c r="E124" i="3"/>
  <c r="E143" i="3"/>
  <c r="E4" i="3"/>
  <c r="H143" i="3"/>
  <c r="E42" i="4"/>
  <c r="E48" i="4" s="1"/>
  <c r="H172" i="3"/>
  <c r="E33" i="2"/>
  <c r="H33" i="2" s="1"/>
  <c r="H134" i="2"/>
  <c r="H138" i="2" s="1"/>
  <c r="E126" i="3"/>
  <c r="H126" i="3" s="1"/>
  <c r="E131" i="3"/>
  <c r="H131" i="3" s="1"/>
  <c r="H169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5" i="3" s="1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AJ2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5" i="2"/>
  <c r="E115" i="2"/>
  <c r="AN2" i="2"/>
  <c r="AK2" i="3"/>
  <c r="E128" i="3"/>
  <c r="H128" i="3" s="1"/>
  <c r="E118" i="3"/>
  <c r="H152" i="3"/>
  <c r="G183" i="1"/>
  <c r="AG2" i="3"/>
  <c r="C253" i="1"/>
  <c r="H118" i="3"/>
  <c r="H109" i="2"/>
  <c r="H143" i="2"/>
  <c r="X3" i="2" s="1"/>
  <c r="E160" i="3"/>
  <c r="G54" i="1"/>
  <c r="E161" i="3"/>
  <c r="G140" i="1"/>
  <c r="E114" i="3" s="1"/>
  <c r="H161" i="3"/>
  <c r="H162" i="3" s="1"/>
  <c r="E148" i="3"/>
  <c r="E149" i="3" s="1"/>
  <c r="K149" i="3" s="1"/>
  <c r="E31" i="4"/>
  <c r="E36" i="4" s="1"/>
  <c r="E41" i="4" s="1"/>
  <c r="E154" i="2"/>
  <c r="E139" i="2"/>
  <c r="E140" i="2" s="1"/>
  <c r="K140" i="2" s="1"/>
  <c r="H162" i="2"/>
  <c r="E164" i="3"/>
  <c r="H150" i="3"/>
  <c r="E152" i="2"/>
  <c r="H8" i="2"/>
  <c r="AI2" i="2" s="1"/>
  <c r="E143" i="2"/>
  <c r="E5" i="3"/>
  <c r="E153" i="3"/>
  <c r="H13" i="2"/>
  <c r="G18" i="1"/>
  <c r="G19" i="1" s="1"/>
  <c r="C5" i="6" s="1"/>
  <c r="H10" i="2"/>
  <c r="E158" i="2"/>
  <c r="H167" i="3"/>
  <c r="E167" i="3"/>
  <c r="H158" i="2"/>
  <c r="P96" i="1"/>
  <c r="P56" i="1" s="1"/>
  <c r="E74" i="4"/>
  <c r="E77" i="4" s="1"/>
  <c r="AF2" i="2"/>
  <c r="AF3" i="2" s="1"/>
  <c r="G106" i="1"/>
  <c r="E129" i="3"/>
  <c r="H129" i="3" s="1"/>
  <c r="E120" i="2"/>
  <c r="H120" i="2" s="1"/>
  <c r="G6" i="7"/>
  <c r="E33" i="3"/>
  <c r="H33" i="3" s="1"/>
  <c r="I6" i="7" s="1"/>
  <c r="A2" i="3"/>
  <c r="AD3" i="3" s="1"/>
  <c r="AE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3" i="3"/>
  <c r="G211" i="1"/>
  <c r="G153" i="1"/>
  <c r="E160" i="2"/>
  <c r="E111" i="2"/>
  <c r="E32" i="3"/>
  <c r="H32" i="3" s="1"/>
  <c r="H163" i="3"/>
  <c r="H166" i="3" s="1"/>
  <c r="G217" i="1"/>
  <c r="E110" i="2"/>
  <c r="E121" i="2"/>
  <c r="H121" i="2" s="1"/>
  <c r="G5" i="7"/>
  <c r="H151" i="3"/>
  <c r="E108" i="2"/>
  <c r="H108" i="2"/>
  <c r="H117" i="3"/>
  <c r="E142" i="2"/>
  <c r="E133" i="2"/>
  <c r="H171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2" i="3"/>
  <c r="E142" i="3"/>
  <c r="AM2" i="2"/>
  <c r="AJ3" i="2" l="1"/>
  <c r="C48" i="4"/>
  <c r="K48" i="4" s="1"/>
  <c r="W3" i="4" s="1"/>
  <c r="P3" i="4"/>
  <c r="E15" i="3"/>
  <c r="AM2" i="3"/>
  <c r="E71" i="4"/>
  <c r="E87" i="4" s="1"/>
  <c r="E158" i="3"/>
  <c r="H175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68" i="3"/>
  <c r="H170" i="3" s="1"/>
  <c r="E168" i="3"/>
  <c r="E159" i="2"/>
  <c r="G128" i="1"/>
  <c r="C167" i="2" s="1"/>
  <c r="E141" i="3"/>
  <c r="E132" i="2"/>
  <c r="J126" i="2"/>
  <c r="AN2" i="3"/>
  <c r="AK2" i="2"/>
  <c r="AK3" i="2" s="1"/>
  <c r="C16" i="2"/>
  <c r="E17" i="2" s="1"/>
  <c r="C16" i="3"/>
  <c r="H16" i="3" s="1"/>
  <c r="I12" i="7"/>
  <c r="AH2" i="3"/>
  <c r="H158" i="3"/>
  <c r="C15" i="6"/>
  <c r="E138" i="2"/>
  <c r="J135" i="3"/>
  <c r="F13" i="5"/>
  <c r="C25" i="6"/>
  <c r="C26" i="6" s="1"/>
  <c r="E161" i="2"/>
  <c r="C21" i="6"/>
  <c r="E170" i="3"/>
  <c r="C17" i="6"/>
  <c r="R56" i="1"/>
  <c r="C87" i="4"/>
  <c r="E147" i="3"/>
  <c r="C13" i="6"/>
  <c r="E123" i="3"/>
  <c r="E114" i="2"/>
  <c r="C20" i="6"/>
  <c r="E162" i="3"/>
  <c r="K162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AF3" i="3" s="1"/>
  <c r="AG3" i="3" s="1"/>
  <c r="H123" i="3"/>
  <c r="H141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5" i="3"/>
  <c r="K175" i="3" s="1"/>
  <c r="C23" i="6"/>
  <c r="Z3" i="4"/>
  <c r="E166" i="3"/>
  <c r="K166" i="3" s="1"/>
  <c r="E157" i="2"/>
  <c r="C22" i="6"/>
  <c r="H161" i="2"/>
  <c r="AH2" i="2"/>
  <c r="AH3" i="2" s="1"/>
  <c r="AN3" i="2"/>
  <c r="AJ2" i="3"/>
  <c r="H147" i="3"/>
  <c r="K138" i="2"/>
  <c r="K158" i="3" l="1"/>
  <c r="K149" i="2"/>
  <c r="K114" i="2"/>
  <c r="C176" i="3"/>
  <c r="F11" i="5"/>
  <c r="K48" i="3"/>
  <c r="U3" i="3" s="1"/>
  <c r="K105" i="2"/>
  <c r="K170" i="3"/>
  <c r="K132" i="2"/>
  <c r="K166" i="2"/>
  <c r="C4" i="6"/>
  <c r="C6" i="6" s="1"/>
  <c r="AH3" i="3"/>
  <c r="AI3" i="3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1" i="3"/>
  <c r="K161" i="2"/>
  <c r="H167" i="2"/>
  <c r="E176" i="3"/>
  <c r="K123" i="3"/>
  <c r="K87" i="4"/>
  <c r="Y3" i="4" s="1"/>
  <c r="C88" i="4"/>
  <c r="K88" i="4" s="1"/>
  <c r="AA3" i="4" s="1"/>
  <c r="F176" i="3"/>
  <c r="I11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G11" i="5"/>
  <c r="K147" i="3"/>
  <c r="H176" i="3"/>
  <c r="AJ3" i="3"/>
  <c r="AK3" i="3" s="1"/>
  <c r="C27" i="6" l="1"/>
  <c r="D17" i="6" s="1"/>
  <c r="D20" i="6"/>
  <c r="D4" i="6"/>
  <c r="P3" i="2"/>
  <c r="D16" i="6"/>
  <c r="D13" i="6"/>
  <c r="H168" i="2"/>
  <c r="AP2" i="3"/>
  <c r="AP3" i="3" s="1"/>
  <c r="D21" i="6"/>
  <c r="C19" i="2"/>
  <c r="C31" i="2" s="1"/>
  <c r="F8" i="5"/>
  <c r="G8" i="5" s="1"/>
  <c r="C19" i="3"/>
  <c r="C31" i="3" s="1"/>
  <c r="D15" i="6"/>
  <c r="D12" i="6"/>
  <c r="AL3" i="3"/>
  <c r="AM3" i="3" s="1"/>
  <c r="AN3" i="3" s="1"/>
  <c r="AO3" i="3" s="1"/>
  <c r="D23" i="6"/>
  <c r="D7" i="6"/>
  <c r="D8" i="6" s="1"/>
  <c r="D25" i="6"/>
  <c r="D26" i="6" s="1"/>
  <c r="D9" i="6"/>
  <c r="AP3" i="2"/>
  <c r="D19" i="6"/>
  <c r="I4" i="7"/>
  <c r="K18" i="3"/>
  <c r="Q3" i="3" s="1"/>
  <c r="P3" i="3"/>
  <c r="D22" i="6"/>
  <c r="I9" i="7"/>
  <c r="F10" i="5"/>
  <c r="G9" i="7"/>
  <c r="C68" i="3"/>
  <c r="C66" i="2"/>
  <c r="G3" i="1"/>
  <c r="D18" i="6"/>
  <c r="D14" i="6"/>
  <c r="H177" i="3"/>
  <c r="K176" i="3"/>
  <c r="Y3" i="3" s="1"/>
  <c r="X3" i="3"/>
  <c r="D11" i="6" l="1"/>
  <c r="D5" i="6"/>
  <c r="D6" i="6"/>
  <c r="D10" i="6"/>
  <c r="K31" i="2"/>
  <c r="S3" i="2" s="1"/>
  <c r="E31" i="2"/>
  <c r="E31" i="3"/>
  <c r="K31" i="3"/>
  <c r="S3" i="3" s="1"/>
  <c r="AQ2" i="3"/>
  <c r="AQ3" i="3" s="1"/>
  <c r="D24" i="6"/>
  <c r="D27" i="6" s="1"/>
  <c r="C168" i="2"/>
  <c r="K168" i="2" s="1"/>
  <c r="K66" i="2"/>
  <c r="W3" i="2" s="1"/>
  <c r="G12" i="7"/>
  <c r="H3" i="1"/>
  <c r="K68" i="3"/>
  <c r="W3" i="3" s="1"/>
  <c r="C177" i="3"/>
  <c r="K177" i="3" s="1"/>
  <c r="AA3" i="3" s="1"/>
  <c r="G10" i="5"/>
  <c r="G12" i="5" s="1"/>
  <c r="G15" i="5" s="1"/>
  <c r="F12" i="5"/>
  <c r="F15" i="5" s="1"/>
  <c r="Z3" i="3"/>
  <c r="C17" i="5" l="1"/>
  <c r="H10" i="5"/>
  <c r="G13" i="7"/>
  <c r="J13" i="7" s="1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<sst xmlns="http://schemas.openxmlformats.org/spreadsheetml/2006/main" count="1400" uniqueCount="540">
  <si>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</si>
  <si>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</si>
  <si>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</si>
  <si>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</si>
  <si>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</si>
  <si>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</si>
  <si>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</si>
  <si>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</si>
  <si>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</si>
  <si>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</si>
  <si>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</si>
  <si>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</si>
  <si>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</si>
  <si>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</si>
  <si>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</si>
  <si>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</si>
  <si>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</si>
  <si>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</si>
  <si>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</si>
  <si>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</si>
  <si>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</si>
  <si>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</si>
  <si>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</si>
  <si>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</si>
  <si>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</si>
  <si>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</si>
  <si>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</si>
  <si>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</si>
  <si>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</si>
  <si>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</si>
  <si>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</si>
  <si>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</si>
  <si>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</si>
  <si>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</si>
  <si>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</si>
  <si>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</si>
  <si>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</si>
  <si>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</si>
  <si>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</si>
  <si>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</si>
  <si>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</si>
  <si>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</si>
  <si>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</si>
  <si>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</si>
  <si>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</si>
  <si>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</si>
  <si>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</si>
  <si>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</si>
  <si>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</si>
  <si>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</si>
  <si>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</si>
  <si>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</si>
  <si>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</si>
  <si>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</si>
  <si>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</si>
  <si>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</si>
  <si>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</si>
  <si>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</si>
  <si>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</si>
  <si>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</si>
  <si>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</si>
  <si>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</si>
  <si>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</si>
  <si>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</si>
  <si>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</si>
  <si>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</si>
  <si>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</si>
  <si>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</si>
  <si>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</si>
  <si>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</si>
  <si>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</si>
  <si>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</si>
  <si>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</si>
  <si>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</si>
  <si>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</si>
  <si>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</si>
  <si>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</si>
  <si>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</si>
  <si>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</si>
  <si>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</si>
  <si>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</si>
  <si>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</si>
  <si>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</si>
  <si>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</si>
  <si>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</si>
  <si>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</si>
  <si>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</si>
  <si>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</si>
  <si>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</si>
  <si>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</si>
  <si>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</si>
  <si>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</si>
  <si>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</si>
  <si>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</si>
  <si>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</si>
  <si>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</si>
  <si>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</si>
  <si>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</si>
  <si>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</si>
  <si>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</si>
  <si>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</si>
  <si>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</si>
  <si>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</si>
  <si>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</si>
  <si>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</si>
  <si>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</si>
  <si>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</si>
  <si>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</si>
  <si>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</si>
  <si>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</si>
  <si>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</si>
  <si>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</si>
  <si>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</si>
  <si>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</si>
  <si>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</si>
  <si>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</si>
  <si>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</si>
  <si>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</si>
  <si>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</si>
  <si>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</si>
  <si>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</si>
  <si>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</si>
  <si>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</si>
  <si>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</si>
  <si>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</si>
  <si>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</si>
  <si>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</si>
  <si>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</si>
  <si>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</si>
  <si>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</si>
  <si>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</si>
  <si>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</si>
  <si>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</si>
  <si>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</si>
  <si>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</si>
  <si>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</si>
  <si>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</si>
  <si>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</si>
  <si>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</si>
  <si>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</si>
  <si>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</si>
  <si>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</si>
  <si>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</si>
  <si>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</si>
  <si>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</si>
  <si>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</si>
  <si>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</si>
  <si>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</si>
  <si>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</si>
  <si>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</si>
  <si>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</si>
  <si>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</si>
  <si>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</si>
  <si>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</si>
  <si>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</si>
  <si>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</si>
  <si>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</si>
  <si>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</si>
  <si>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</si>
  <si>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</si>
  <si>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</si>
  <si>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</si>
  <si>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</si>
  <si>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</si>
  <si>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</si>
  <si>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</si>
  <si>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</si>
  <si>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</si>
  <si>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</si>
  <si>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</si>
  <si>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</si>
  <si>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</si>
  <si>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</si>
  <si>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</si>
  <si>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</si>
  <si>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</si>
  <si>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</si>
  <si>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</si>
  <si>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</si>
  <si>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</si>
  <si>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</si>
  <si>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</si>
  <si>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</si>
  <si>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</si>
  <si>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</si>
  <si>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</si>
  <si>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</si>
  <si>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</si>
  <si>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</si>
  <si>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</si>
  <si>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</si>
  <si>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</si>
  <si>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</si>
  <si>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</si>
  <si>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</si>
  <si>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</si>
  <si>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</si>
  <si>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</si>
  <si>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</si>
  <si>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</si>
  <si>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</si>
  <si>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</si>
  <si>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</si>
  <si>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</si>
  <si>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</si>
  <si>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</si>
  <si>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</si>
  <si>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</si>
  <si>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</si>
  <si>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</si>
  <si>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</si>
  <si>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</si>
  <si>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</si>
  <si>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</si>
  <si>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</si>
  <si>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</si>
  <si>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</si>
  <si>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</si>
  <si>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</si>
  <si>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</si>
  <si>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</si>
  <si>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</si>
  <si>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</si>
  <si>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</si>
  <si>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</si>
  <si>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</si>
  <si>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</si>
  <si>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</si>
  <si>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</si>
  <si>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</si>
  <si>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</si>
  <si>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</si>
  <si>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</si>
  <si>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</si>
  <si>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</si>
  <si>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</si>
  <si>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</si>
  <si>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</si>
  <si>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</si>
  <si>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</si>
  <si>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</si>
  <si>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</si>
  <si>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</si>
  <si>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</si>
  <si>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</si>
  <si>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</si>
  <si>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</si>
  <si>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</si>
  <si>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</si>
  <si>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</si>
  <si>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</si>
  <si>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</si>
  <si>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</si>
  <si>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</si>
  <si>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</si>
  <si>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</si>
  <si>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</si>
  <si>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</si>
  <si>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</si>
  <si>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</si>
  <si>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</si>
  <si>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</si>
  <si>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</si>
  <si>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</si>
  <si>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</si>
  <si>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</si>
  <si>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</si>
  <si>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</si>
  <si>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</si>
  <si>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</si>
  <si>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</si>
  <si>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</si>
  <si>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</si>
  <si>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</si>
  <si>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</si>
  <si>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</si>
  <si>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</si>
  <si>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</si>
  <si>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</si>
  <si>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</si>
  <si>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</si>
  <si>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</si>
  <si>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</si>
  <si>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</si>
  <si>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</si>
  <si>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</si>
  <si>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</si>
  <si>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</si>
  <si>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</si>
  <si>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</si>
  <si>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</si>
  <si>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</si>
  <si>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</si>
  <si>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</si>
  <si>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</si>
  <si>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</si>
  <si>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</si>
  <si>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</si>
  <si>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</si>
  <si>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</si>
  <si>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</si>
  <si>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</si>
  <si>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</si>
  <si>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</si>
  <si>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</si>
  <si>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</si>
  <si>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</si>
  <si>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</si>
  <si>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</si>
  <si>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</si>
  <si>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</si>
  <si>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</si>
  <si>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</si>
  <si>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</si>
  <si>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</si>
  <si>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</si>
  <si>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</si>
  <si>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</si>
  <si>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</si>
  <si>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</si>
  <si>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</si>
  <si>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</si>
  <si>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</si>
  <si>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</si>
  <si>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</si>
  <si>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</si>
  <si>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</si>
  <si>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</si>
  <si>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</si>
  <si>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</si>
  <si>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</si>
  <si>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</si>
  <si>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</si>
  <si>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</si>
  <si>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</si>
  <si>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</si>
  <si>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</si>
  <si>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</si>
  <si>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</si>
  <si>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</si>
  <si>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</si>
  <si>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</si>
  <si>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</si>
  <si>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</si>
  <si>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</si>
  <si>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</si>
  <si>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</si>
  <si>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</si>
  <si>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</si>
  <si>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</si>
  <si>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</si>
  <si>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</si>
  <si>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</si>
  <si>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</si>
  <si>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</si>
  <si>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</si>
  <si>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</si>
  <si>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</si>
  <si>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</si>
  <si>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</si>
  <si>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</si>
  <si>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</si>
  <si>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</si>
  <si>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</si>
  <si>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</si>
  <si>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</si>
  <si>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</si>
  <si>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</si>
  <si>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</si>
  <si>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</si>
  <si>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</si>
  <si>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</si>
  <si>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</si>
  <si>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</si>
  <si>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</si>
  <si>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</si>
  <si>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</si>
  <si>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</si>
  <si>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</si>
  <si>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</si>
  <si>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</si>
  <si>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</si>
  <si>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</si>
  <si>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</si>
  <si>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</si>
  <si>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</si>
  <si>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</si>
  <si>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</si>
  <si>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</si>
  <si>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</si>
  <si>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</si>
  <si>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</si>
  <si>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</si>
  <si>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</si>
  <si>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</si>
  <si>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</si>
  <si>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</si>
  <si>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</si>
  <si>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</si>
  <si>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</si>
  <si>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</si>
  <si>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</si>
  <si>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</si>
  <si>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</si>
  <si>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</si>
  <si>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</si>
  <si>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</si>
  <si>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</si>
  <si>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</si>
  <si>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</si>
  <si>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</si>
  <si>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</si>
  <si>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</si>
  <si>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</si>
  <si>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</si>
  <si>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</si>
  <si>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</si>
  <si>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</si>
  <si>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</si>
  <si>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</si>
  <si>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</si>
  <si>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</si>
  <si>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</si>
  <si>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</si>
  <si>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</si>
  <si>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</si>
  <si>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</si>
  <si>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</si>
  <si>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</si>
  <si>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</si>
  <si>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</si>
  <si>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</si>
  <si>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</si>
  <si>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</si>
  <si>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</si>
  <si>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</si>
  <si>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</si>
  <si>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</si>
  <si>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</si>
  <si>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</si>
  <si>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</si>
  <si>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</si>
  <si>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</si>
  <si>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</si>
  <si>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</si>
  <si>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</si>
  <si>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</si>
  <si>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</si>
  <si>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</si>
  <si>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</si>
  <si>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</si>
  <si>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</si>
  <si>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</si>
  <si>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</si>
  <si>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</si>
  <si>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</si>
  <si>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</si>
  <si>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</si>
  <si>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</si>
  <si>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</si>
  <si>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</si>
  <si>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</si>
  <si>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</si>
  <si>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</si>
  <si>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</si>
  <si>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</si>
  <si>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</si>
  <si>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</si>
  <si>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</si>
  <si>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</si>
  <si>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</si>
  <si>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</si>
  <si>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</si>
  <si>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</si>
  <si>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</si>
  <si>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</si>
  <si>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</si>
  <si>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</si>
  <si>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</si>
  <si>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</si>
  <si>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</si>
  <si>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</si>
  <si>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</si>
  <si>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</si>
  <si>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</si>
  <si>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</si>
  <si>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</si>
  <si>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편성 금액</t>
  </si>
  <si>
    <t>사용률</t>
  </si>
  <si>
    <t>예측 사용률</t>
  </si>
  <si>
    <t>시설, 장비</t>
  </si>
  <si>
    <t>이월예정액</t>
  </si>
  <si>
    <t>변경</t>
    <phoneticPr fontId="27" type="noConversion"/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</si>
  <si>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</si>
  <si>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</si>
  <si>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</si>
  <si>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</si>
  <si>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</si>
  <si>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</si>
  <si>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</si>
  <si>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</si>
  <si>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</si>
  <si>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</si>
  <si>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</si>
  <si>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(현시점 25.09.30 기준)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</si>
  <si>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</si>
  <si>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</si>
  <si>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</si>
  <si>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</si>
  <si>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</si>
  <si>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</si>
  <si>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</si>
  <si>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</si>
  <si>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</si>
  <si>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</si>
  <si>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</si>
  <si>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</si>
  <si>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</si>
  <si>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</si>
  <si>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</si>
  <si>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</si>
  <si>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</si>
  <si>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</si>
  <si>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ESTA, MIT 학회등록비 사비결제 소명 예비</t>
    <phoneticPr fontId="27" type="noConversion"/>
  </si>
  <si>
    <t>11월 말 첨융 GPU 3대 + 프로브 스테이션 + B1500 도입 예정 (42%)</t>
    <phoneticPr fontId="27" type="noConversion"/>
  </si>
  <si>
    <t>ALD : 입찰서류 완료 (37%)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</si>
  <si>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</si>
  <si>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</si>
  <si>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</si>
  <si>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한호철 연구원 자료 반영 (25.10.01)</t>
    <phoneticPr fontId="27" type="noConversion"/>
  </si>
  <si>
    <t>숙박비 40*1 + 기차표 16(왕복) +식비 5*2 + 일비 5*2 = 76</t>
    <phoneticPr fontId="27" type="noConversion"/>
  </si>
  <si>
    <t>유니위크 분담금, 간담회 등 (15%)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</si>
  <si>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</si>
  <si>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</si>
  <si>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</si>
  <si>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</si>
  <si>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</si>
  <si>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</si>
  <si>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</si>
  <si>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r>
      <t xml:space="preserve">(Δ: +11,400) </t>
    </r>
    <r>
      <rPr>
        <vertAlign val="superscript"/>
        <sz val="15"/>
        <color rgb="FF292929"/>
        <rFont val="함초롬돋움"/>
        <family val="3"/>
        <charset val="129"/>
      </rPr>
      <t>1)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</si>
</sst>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9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5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9" fontId="39" fillId="0" borderId="131" xfId="0" applyNumberFormat="1" applyFont="1" applyBorder="1" applyAlignment="1">
      <alignment horizontal="left" vertical="center" wrapText="1" readingOrder="1"/>
    </xf>
    <xf numFmtId="9" fontId="39" fillId="0" borderId="97" xfId="0" applyNumberFormat="1" applyFont="1" applyBorder="1" applyAlignment="1">
      <alignment horizontal="left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9" fontId="39" fillId="0" borderId="105" xfId="0" applyNumberFormat="1" applyFont="1" applyBorder="1" applyAlignment="1">
      <alignment horizontal="left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9" fontId="39" fillId="0" borderId="110" xfId="0" applyNumberFormat="1" applyFont="1" applyBorder="1" applyAlignment="1">
      <alignment horizontal="left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3" fontId="39" fillId="0" borderId="174" xfId="0" applyNumberFormat="1" applyFont="1" applyBorder="1" applyAlignment="1">
      <alignment horizontal="left" vertical="center" wrapText="1" readingOrder="1"/>
    </xf>
    <xf numFmtId="9" fontId="37" fillId="0" borderId="175" xfId="0" applyNumberFormat="1" applyFont="1" applyBorder="1" applyAlignment="1">
      <alignment vertical="top" wrapText="1"/>
    </xf>
    <xf numFmtId="0" fontId="37" fillId="0" borderId="175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5" xfId="0" applyNumberFormat="1" applyFont="1" applyBorder="1" applyAlignment="1">
      <alignment horizontal="left" vertical="top" wrapText="1"/>
    </xf>
    <xf numFmtId="0" fontId="0" fillId="0" borderId="179" xfId="0" applyBorder="1" applyAlignment="1">
      <alignment vertical="center"/>
    </xf>
    <xf numFmtId="3" fontId="39" fillId="0" borderId="181" xfId="0" applyNumberFormat="1" applyFont="1" applyBorder="1" applyAlignment="1">
      <alignment vertical="center" wrapText="1" readingOrder="1"/>
    </xf>
    <xf numFmtId="0" fontId="0" fillId="0" borderId="180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2" xfId="0" applyNumberFormat="1" applyFont="1" applyBorder="1" applyAlignment="1">
      <alignment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5" xfId="0" applyNumberFormat="1" applyFont="1" applyBorder="1" applyAlignment="1">
      <alignment horizontal="left" vertical="center" wrapText="1" readingOrder="1"/>
    </xf>
    <xf numFmtId="9" fontId="39" fillId="0" borderId="132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9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33" xfId="0" applyFont="1" applyBorder="1" applyAlignment="1">
      <alignment horizontal="center" vertical="center" wrapText="1" readingOrder="1"/>
    </xf>
    <xf numFmtId="0" fontId="36" fillId="0" borderId="134" xfId="0" applyFont="1" applyBorder="1" applyAlignment="1">
      <alignment horizontal="center" vertical="center" wrapText="1" readingOrder="1"/>
    </xf>
    <xf numFmtId="0" fontId="36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6" fillId="0" borderId="136" xfId="0" applyFont="1" applyBorder="1" applyAlignment="1">
      <alignment horizontal="center" vertical="center" wrapText="1" readingOrder="1"/>
    </xf>
    <xf numFmtId="0" fontId="36" fillId="0" borderId="137" xfId="0" applyFont="1" applyBorder="1" applyAlignment="1">
      <alignment horizontal="center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3" fontId="39" fillId="0" borderId="178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40" fillId="0" borderId="183" xfId="0" applyFont="1" applyBorder="1" applyAlignment="1">
      <alignment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0.36185993159755114</c:v>
                </c:pt>
                <c:pt idx="7">
                  <c:v>0.4327223263766744</c:v>
                </c:pt>
                <c:pt idx="8">
                  <c:v>0.6300713877097146</c:v>
                </c:pt>
                <c:pt idx="9">
                  <c:v>0.64727646277567319</c:v>
                </c:pt>
                <c:pt idx="10">
                  <c:v>0.69972710677682326</c:v>
                </c:pt>
                <c:pt idx="11">
                  <c:v>0.96504069219320798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M18"/>
  <sheetViews>
    <sheetView tabSelected="1" zoomScaleNormal="100" workbookViewId="0">
      <selection sqref="A1:M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</cols>
  <sheetData>
    <row r="1" spans="1:13" ht="107.25" customHeight="1" thickBot="1">
      <c r="A1" s="407" t="s">
        <v>499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13" ht="20.25" customHeight="1" thickBot="1">
      <c r="A2" s="368"/>
      <c r="B2" s="418" t="s">
        <v>246</v>
      </c>
      <c r="C2" s="420" t="s">
        <v>487</v>
      </c>
      <c r="D2" s="421"/>
      <c r="E2" s="421"/>
      <c r="F2" s="429" t="s">
        <v>492</v>
      </c>
      <c r="G2" s="430"/>
      <c r="H2" s="337" t="s">
        <v>496</v>
      </c>
      <c r="I2" s="338" t="s">
        <v>488</v>
      </c>
      <c r="J2" s="336" t="s">
        <v>489</v>
      </c>
      <c r="K2" s="422"/>
      <c r="L2" s="424" t="s">
        <v>535</v>
      </c>
      <c r="M2" s="256"/>
    </row>
    <row r="3" spans="1:13" ht="22.5" thickBot="1">
      <c r="A3" s="325"/>
      <c r="B3" s="419"/>
      <c r="C3" s="426" t="s">
        <v>534</v>
      </c>
      <c r="D3" s="427"/>
      <c r="E3" s="428"/>
      <c r="F3" s="431" t="s">
        <v>534</v>
      </c>
      <c r="G3" s="432"/>
      <c r="H3" s="339" t="s">
        <v>534</v>
      </c>
      <c r="I3" s="340" t="s">
        <v>504</v>
      </c>
      <c r="J3" s="340" t="s">
        <v>505</v>
      </c>
      <c r="K3" s="423"/>
      <c r="L3" s="425"/>
      <c r="M3" s="329"/>
    </row>
    <row r="4" spans="1:13" ht="53.25" customHeight="1" thickBot="1">
      <c r="A4" s="327"/>
      <c r="B4" s="341" t="s">
        <v>7</v>
      </c>
      <c r="C4" s="342"/>
      <c r="D4" s="343"/>
      <c r="E4" s="373">
        <v>393499</v>
      </c>
      <c r="F4" s="344" t="s">
        <v>493</v>
      </c>
      <c r="G4" s="370">
        <f>ROUND((예산!G5+예산!G26)/1000,0)</f>
        <v>393499</v>
      </c>
      <c r="H4" s="394" t="s">
        <v>533</v>
      </c>
      <c r="I4" s="345">
        <f>SUM(소진일정!H4:H9,소진일정!H19:H25)/SUM(소진일정!H18,소진일정!H31)</f>
        <v>0.37462211920158378</v>
      </c>
      <c r="J4" s="346">
        <v>1</v>
      </c>
      <c r="K4" s="383" t="s">
        <v>521</v>
      </c>
      <c r="L4" s="347" t="s">
        <v>520</v>
      </c>
      <c r="M4" s="332"/>
    </row>
    <row r="5" spans="1:13" ht="62.25" customHeight="1" thickBot="1">
      <c r="A5" s="328"/>
      <c r="B5" s="438" t="s">
        <v>490</v>
      </c>
      <c r="C5" s="440">
        <f>SUM(E5:E8)</f>
        <v>1251782</v>
      </c>
      <c r="D5" s="348" t="s">
        <v>494</v>
      </c>
      <c r="E5" s="371">
        <v>300225</v>
      </c>
      <c r="F5" s="349" t="s">
        <v>493</v>
      </c>
      <c r="G5" s="371">
        <f>ROUND((SUM(예산!G69,예산!G79:G80))/1000,0)</f>
        <v>300225</v>
      </c>
      <c r="H5" s="394" t="s">
        <v>533</v>
      </c>
      <c r="I5" s="350">
        <v>0</v>
      </c>
      <c r="J5" s="351">
        <v>1</v>
      </c>
      <c r="K5" s="385" t="s">
        <v>521</v>
      </c>
      <c r="L5" s="352" t="s">
        <v>517</v>
      </c>
      <c r="M5" s="331"/>
    </row>
    <row r="6" spans="1:13" ht="35.25" thickBot="1">
      <c r="A6" s="327"/>
      <c r="B6" s="418"/>
      <c r="C6" s="441"/>
      <c r="D6" s="435" t="s">
        <v>495</v>
      </c>
      <c r="E6" s="409">
        <v>951557</v>
      </c>
      <c r="F6" s="415" t="s">
        <v>493</v>
      </c>
      <c r="G6" s="409">
        <f>ROUND((SUM(예산!G70:G78,예산!G89))/1000,0)</f>
        <v>951557</v>
      </c>
      <c r="H6" s="412" t="s">
        <v>532</v>
      </c>
      <c r="I6" s="402">
        <f>SUM(소진일정!H34,소진일정!H39,소진일정!H40,소진일정!H41)/SUM(소진일정!H33:H41)</f>
        <v>0.10841568601044735</v>
      </c>
      <c r="J6" s="405">
        <v>1</v>
      </c>
      <c r="K6" s="384" t="s">
        <v>521</v>
      </c>
      <c r="L6" s="353" t="s">
        <v>524</v>
      </c>
      <c r="M6" s="332"/>
    </row>
    <row r="7" spans="1:13" ht="35.25" thickBot="1">
      <c r="A7" s="256"/>
      <c r="B7" s="418"/>
      <c r="C7" s="441"/>
      <c r="D7" s="436"/>
      <c r="E7" s="410"/>
      <c r="F7" s="416"/>
      <c r="G7" s="410"/>
      <c r="H7" s="413"/>
      <c r="I7" s="403"/>
      <c r="J7" s="403"/>
      <c r="K7" s="377" t="s">
        <v>522</v>
      </c>
      <c r="L7" s="354" t="s">
        <v>518</v>
      </c>
      <c r="M7" s="332"/>
    </row>
    <row r="8" spans="1:13" ht="27" thickBot="1">
      <c r="A8" s="327"/>
      <c r="B8" s="439"/>
      <c r="C8" s="442"/>
      <c r="D8" s="437"/>
      <c r="E8" s="411"/>
      <c r="F8" s="417"/>
      <c r="G8" s="411"/>
      <c r="H8" s="414"/>
      <c r="I8" s="404"/>
      <c r="J8" s="406"/>
      <c r="K8" s="378" t="s">
        <v>522</v>
      </c>
      <c r="L8" s="355" t="s">
        <v>525</v>
      </c>
      <c r="M8" s="332"/>
    </row>
    <row r="9" spans="1:13" ht="59.25" customHeight="1" thickBot="1">
      <c r="A9" s="325"/>
      <c r="B9" s="356" t="s">
        <v>72</v>
      </c>
      <c r="C9" s="357"/>
      <c r="D9" s="358"/>
      <c r="E9" s="374">
        <v>108040</v>
      </c>
      <c r="F9" s="349" t="s">
        <v>493</v>
      </c>
      <c r="G9" s="371">
        <f>ROUND(예산!G97/1000,0)</f>
        <v>108040</v>
      </c>
      <c r="H9" s="394" t="s">
        <v>533</v>
      </c>
      <c r="I9" s="350">
        <f>SUM(예산!G100,예산!G104,예산!G105,예산!G107:G119)/예산!G97</f>
        <v>0.56558470744496225</v>
      </c>
      <c r="J9" s="359">
        <v>1</v>
      </c>
      <c r="K9" s="376" t="s">
        <v>521</v>
      </c>
      <c r="L9" s="355" t="s">
        <v>519</v>
      </c>
      <c r="M9" s="329"/>
    </row>
    <row r="10" spans="1:13" ht="44.25" customHeight="1" thickBot="1">
      <c r="A10" s="329"/>
      <c r="B10" s="438" t="s">
        <v>84</v>
      </c>
      <c r="C10" s="433">
        <f>SUM(E10:E11)</f>
        <v>1149805</v>
      </c>
      <c r="D10" s="360" t="s">
        <v>497</v>
      </c>
      <c r="E10" s="375">
        <v>683000</v>
      </c>
      <c r="F10" s="349" t="s">
        <v>493</v>
      </c>
      <c r="G10" s="371">
        <f>ROUND(예산!G140/1000,0)</f>
        <v>683000</v>
      </c>
      <c r="H10" s="394" t="s">
        <v>533</v>
      </c>
      <c r="I10" s="350">
        <f>SUM(221100,28137)/683000</f>
        <v>0.36491508052708638</v>
      </c>
      <c r="J10" s="351">
        <f>674437/683000</f>
        <v>0.98746266471449484</v>
      </c>
      <c r="K10" s="376" t="s">
        <v>521</v>
      </c>
      <c r="L10" s="361" t="s">
        <v>529</v>
      </c>
    </row>
    <row r="11" spans="1:13" ht="51.75" customHeight="1" thickBot="1">
      <c r="B11" s="439"/>
      <c r="C11" s="434"/>
      <c r="D11" s="362" t="s">
        <v>498</v>
      </c>
      <c r="E11" s="374">
        <v>466805</v>
      </c>
      <c r="F11" s="349" t="s">
        <v>538</v>
      </c>
      <c r="G11" s="372">
        <f>ROUND(SUM(예산!G153,예산!G183,예산!G192,예산!G197,예산!G205,예산!G211,예산!G217,예산!G226,예산!G250)/1000,0)</f>
        <v>478205</v>
      </c>
      <c r="H11" s="394" t="s">
        <v>539</v>
      </c>
      <c r="I11" s="363">
        <f>SUM(소진일정!H117,소진일정!H118,소진일정!H126:H128,소진일정!H130,소진일정!H131,소진일정!H132,소진일정!H133,소진일정!H138,소진일정!H139,소진일정!H161,소진일정!H164,소진일정!H167:H169,소진일정!H171:H173)/소진일정!F176</f>
        <v>0.83384373246033849</v>
      </c>
      <c r="J11" s="351">
        <v>1</v>
      </c>
      <c r="K11" s="376" t="s">
        <v>521</v>
      </c>
      <c r="L11" s="364" t="s">
        <v>531</v>
      </c>
      <c r="M11" s="330"/>
    </row>
    <row r="12" spans="1:13" ht="51" customHeight="1" thickBot="1">
      <c r="A12" s="326"/>
      <c r="B12" s="356" t="s">
        <v>184</v>
      </c>
      <c r="C12" s="365"/>
      <c r="D12" s="366"/>
      <c r="E12" s="375">
        <v>2903126</v>
      </c>
      <c r="F12" s="349"/>
      <c r="G12" s="371">
        <f>ROUND(예산!G3/1000,0)</f>
        <v>2914526</v>
      </c>
      <c r="H12" s="394"/>
      <c r="I12" s="363">
        <f>SUM(예산!H4:H9,예산!G71,예산!G76:G78,예산!G79,예산!G80,예산!G100,예산!G104,예산!G105,예산!G106,예산!G107,예산!G108,예산!G109,예산!G110,예산!G111,예산!G112,예산!G114,예산!G115,예산!G116,예산!G117,예산!G118,예산!G119,예산!G146,예산!G147,예산!G163,예산!G165,예산!G166,예산!G167,예산!G168,예산!G169,예산!G170,예산!G171,예산!G174,예산!G175,예산!G176,예산!G177,예산!G181,예산!G189,예산!G190,예산!G210,예산!G216,예산!G221,예산!G222,예산!G223,예산!G236:G244)/예산!C3</f>
        <v>0.20879298403463672</v>
      </c>
      <c r="J12" s="395">
        <f>G12/C18</f>
        <v>0.98583615207685027</v>
      </c>
      <c r="K12" s="367"/>
      <c r="L12" s="594"/>
      <c r="M12" s="329"/>
    </row>
    <row r="13" spans="1:13" ht="27" thickBot="1">
      <c r="A13" s="325"/>
      <c r="B13" s="387" t="s">
        <v>491</v>
      </c>
      <c r="C13" s="397"/>
      <c r="D13" s="398"/>
      <c r="E13" s="401">
        <v>53274</v>
      </c>
      <c r="F13" s="400"/>
      <c r="G13" s="390">
        <f>2956400-G12</f>
        <v>41874</v>
      </c>
      <c r="H13" s="391"/>
      <c r="I13" s="392"/>
      <c r="J13" s="396">
        <f>G13/C18</f>
        <v>1.4163847923149777E-2</v>
      </c>
      <c r="K13" s="393"/>
      <c r="L13" s="364"/>
      <c r="M13" s="330"/>
    </row>
    <row r="14" spans="1:13" ht="15.75" thickBot="1">
      <c r="A14" s="325"/>
      <c r="B14" s="386"/>
      <c r="C14" s="386"/>
      <c r="D14" s="399"/>
      <c r="E14" s="388"/>
      <c r="F14" s="389"/>
      <c r="G14" s="389"/>
      <c r="H14" s="256"/>
      <c r="I14" s="386"/>
      <c r="J14" s="386"/>
      <c r="K14" s="386"/>
      <c r="L14" s="399"/>
      <c r="M14" s="330"/>
    </row>
    <row r="18" spans="2:3" ht="16.5">
      <c r="B18" s="334" t="s">
        <v>503</v>
      </c>
      <c r="C18" s="335">
        <v>2956400</v>
      </c>
    </row>
  </sheetData>
  <mergeCells count="19">
    <mergeCell ref="C10:C11"/>
    <mergeCell ref="D6:D8"/>
    <mergeCell ref="B5:B8"/>
    <mergeCell ref="C5:C8"/>
    <mergeCell ref="B10:B11"/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workbookViewId="0">
      <selection activeCell="H3" sqref="H3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79" t="s">
        <v>0</v>
      </c>
      <c r="B1" s="463"/>
      <c r="C1" s="463"/>
      <c r="D1" s="463"/>
      <c r="E1" s="463"/>
      <c r="F1" s="463"/>
      <c r="G1" s="463"/>
      <c r="H1" s="463"/>
      <c r="I1" s="2"/>
      <c r="J1" s="479" t="s">
        <v>1</v>
      </c>
      <c r="K1" s="463"/>
      <c r="L1" s="463"/>
      <c r="M1" s="463"/>
      <c r="N1" s="463"/>
      <c r="O1" s="463"/>
      <c r="P1" s="463"/>
      <c r="Q1" s="463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2914526142.4000001</v>
      </c>
      <c r="H3" s="3">
        <f>C3-G3</f>
        <v>41873857.599999905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3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55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66" t="s">
        <v>17</v>
      </c>
      <c r="I7" s="4"/>
      <c r="J7" s="3"/>
      <c r="K7" s="480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56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63"/>
      <c r="I8" s="4"/>
      <c r="J8" s="3"/>
      <c r="K8" s="456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57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57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65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56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65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58"/>
      <c r="L11" s="481" t="s">
        <v>21</v>
      </c>
      <c r="M11" s="470"/>
      <c r="N11" s="470"/>
      <c r="O11" s="471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65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68"/>
      <c r="C13" s="446" t="s">
        <v>21</v>
      </c>
      <c r="D13" s="482"/>
      <c r="E13" s="482"/>
      <c r="F13" s="482"/>
      <c r="G13" s="218">
        <f>SUM(G7:G12)</f>
        <v>121138758.40000001</v>
      </c>
      <c r="H13" s="3"/>
      <c r="I13" s="4"/>
      <c r="J13" s="3"/>
      <c r="K13" s="469" t="s">
        <v>22</v>
      </c>
      <c r="L13" s="470"/>
      <c r="M13" s="470"/>
      <c r="N13" s="470"/>
      <c r="O13" s="471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81" t="s">
        <v>22</v>
      </c>
      <c r="C14" s="476"/>
      <c r="D14" s="476"/>
      <c r="E14" s="476"/>
      <c r="F14" s="478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81" t="s">
        <v>28</v>
      </c>
      <c r="D17" s="470"/>
      <c r="E17" s="470"/>
      <c r="F17" s="471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81" t="s">
        <v>22</v>
      </c>
      <c r="C19" s="470"/>
      <c r="D19" s="470"/>
      <c r="E19" s="470"/>
      <c r="F19" s="471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81" t="s">
        <v>28</v>
      </c>
      <c r="D22" s="470"/>
      <c r="E22" s="470"/>
      <c r="F22" s="471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81" t="s">
        <v>22</v>
      </c>
      <c r="C24" s="470"/>
      <c r="D24" s="470"/>
      <c r="E24" s="470"/>
      <c r="F24" s="471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4"/>
      <c r="C25" s="119"/>
      <c r="D25" s="119"/>
      <c r="E25" s="119"/>
      <c r="F25" s="119"/>
      <c r="G25" s="244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4">
        <f>SUM(G64)</f>
        <v>179000000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55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72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56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65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56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56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74" t="s">
        <v>52</v>
      </c>
      <c r="I31" s="4"/>
      <c r="J31" s="3"/>
      <c r="K31" s="477" t="s">
        <v>22</v>
      </c>
      <c r="L31" s="476"/>
      <c r="M31" s="476"/>
      <c r="N31" s="476"/>
      <c r="O31" s="478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56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65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56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56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56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72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56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65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56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74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56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65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56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56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56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74" t="s">
        <v>68</v>
      </c>
      <c r="I41" s="4"/>
      <c r="J41" s="3"/>
      <c r="K41" s="469" t="s">
        <v>22</v>
      </c>
      <c r="L41" s="470"/>
      <c r="M41" s="470"/>
      <c r="N41" s="470"/>
      <c r="O41" s="471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56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65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56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65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56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65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56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65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56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65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56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65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56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65"/>
      <c r="I48" s="4"/>
      <c r="J48" s="3"/>
      <c r="K48" s="469" t="s">
        <v>22</v>
      </c>
      <c r="L48" s="470"/>
      <c r="M48" s="470"/>
      <c r="N48" s="470"/>
      <c r="O48" s="471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56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65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56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65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56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65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56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65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56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65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58"/>
      <c r="C54" s="481" t="s">
        <v>21</v>
      </c>
      <c r="D54" s="470"/>
      <c r="E54" s="470"/>
      <c r="F54" s="471"/>
      <c r="G54" s="11">
        <f>SUM(G28:G53)</f>
        <v>108800000</v>
      </c>
      <c r="H54" s="3"/>
      <c r="I54" s="4"/>
      <c r="J54" s="3"/>
      <c r="K54" s="469" t="s">
        <v>22</v>
      </c>
      <c r="L54" s="470"/>
      <c r="M54" s="470"/>
      <c r="N54" s="470"/>
      <c r="O54" s="471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55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56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56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56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56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74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56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65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56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69" t="s">
        <v>22</v>
      </c>
      <c r="L61" s="470"/>
      <c r="M61" s="470"/>
      <c r="N61" s="470"/>
      <c r="O61" s="471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56"/>
      <c r="C62" s="11" t="s">
        <v>536</v>
      </c>
      <c r="D62" s="11" t="s">
        <v>81</v>
      </c>
      <c r="E62" s="11">
        <v>1300000</v>
      </c>
      <c r="F62" s="11">
        <v>0</v>
      </c>
      <c r="G62" s="11">
        <f t="shared" si="4"/>
        <v>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58"/>
      <c r="C63" s="481" t="s">
        <v>21</v>
      </c>
      <c r="D63" s="470"/>
      <c r="E63" s="470"/>
      <c r="F63" s="471"/>
      <c r="G63" s="11">
        <f>SUM(G55:G62)</f>
        <v>70200000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81" t="s">
        <v>22</v>
      </c>
      <c r="C64" s="470"/>
      <c r="D64" s="470"/>
      <c r="E64" s="470"/>
      <c r="F64" s="471"/>
      <c r="G64" s="11">
        <f>SUM(G54,G63)</f>
        <v>179000000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55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4">
        <f>SUM(G82,G90,G95)</f>
        <v>1251782390</v>
      </c>
      <c r="H66" s="8"/>
      <c r="I66" s="4"/>
      <c r="J66" s="3"/>
      <c r="K66" s="456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56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58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69" t="s">
        <v>22</v>
      </c>
      <c r="L69" s="470"/>
      <c r="M69" s="470"/>
      <c r="N69" s="470"/>
      <c r="O69" s="471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84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72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74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65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74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72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74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65"/>
      <c r="I73" s="4"/>
      <c r="J73" s="3"/>
      <c r="K73" s="443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74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44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74"/>
      <c r="C75" s="287" t="s">
        <v>341</v>
      </c>
      <c r="D75" s="287"/>
      <c r="E75" s="287">
        <v>1</v>
      </c>
      <c r="F75" s="287">
        <v>352000000</v>
      </c>
      <c r="G75" s="287">
        <f t="shared" si="5"/>
        <v>352000000</v>
      </c>
      <c r="H75" s="119" t="s">
        <v>528</v>
      </c>
      <c r="I75" s="212"/>
      <c r="J75" s="3"/>
      <c r="K75" s="444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74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44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74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44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74"/>
      <c r="C78" s="270" t="s">
        <v>358</v>
      </c>
      <c r="D78" s="270"/>
      <c r="E78" s="270">
        <v>1</v>
      </c>
      <c r="F78" s="270">
        <v>42988000</v>
      </c>
      <c r="G78" s="270">
        <f t="shared" si="5"/>
        <v>42988000</v>
      </c>
      <c r="H78" s="235">
        <f>SUM(G74:G78)</f>
        <v>520018000</v>
      </c>
      <c r="I78" s="212"/>
      <c r="J78" s="3"/>
      <c r="K78" s="444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5"/>
      <c r="I79" s="212"/>
      <c r="J79" s="3"/>
      <c r="K79" s="444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47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5"/>
      <c r="I80" s="212"/>
      <c r="J80" s="3"/>
      <c r="K80" s="444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48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5"/>
      <c r="I81" s="212"/>
      <c r="J81" s="3"/>
      <c r="K81" s="444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1"/>
      <c r="D82" s="271"/>
      <c r="E82" s="271"/>
      <c r="F82" s="271"/>
      <c r="G82" s="272">
        <f>SUM(G69:G81)</f>
        <v>1249782390</v>
      </c>
      <c r="H82" s="253" t="s">
        <v>364</v>
      </c>
      <c r="I82" s="4"/>
      <c r="J82" s="3"/>
      <c r="K82" s="445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69" t="s">
        <v>22</v>
      </c>
      <c r="L83" s="470"/>
      <c r="M83" s="470"/>
      <c r="N83" s="470"/>
      <c r="O83" s="471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2"/>
      <c r="X85" s="463"/>
      <c r="Y85" s="463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2"/>
      <c r="X86" s="463"/>
      <c r="Y86" s="463"/>
      <c r="Z86" s="21"/>
    </row>
    <row r="87" spans="1:26" ht="16.5" customHeight="1">
      <c r="A87" s="3"/>
      <c r="B87" s="12" t="s">
        <v>106</v>
      </c>
      <c r="C87" s="288" t="s">
        <v>107</v>
      </c>
      <c r="D87" s="289"/>
      <c r="E87" s="289">
        <v>0</v>
      </c>
      <c r="F87" s="290">
        <v>20000000</v>
      </c>
      <c r="G87" s="289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64" t="s">
        <v>109</v>
      </c>
      <c r="R87" s="466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67" t="s">
        <v>111</v>
      </c>
      <c r="C88" s="289" t="s">
        <v>112</v>
      </c>
      <c r="D88" s="289"/>
      <c r="E88" s="289">
        <v>0</v>
      </c>
      <c r="F88" s="290">
        <v>8000000</v>
      </c>
      <c r="G88" s="289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65"/>
      <c r="R88" s="46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68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72" t="s">
        <v>115</v>
      </c>
      <c r="I89" s="4"/>
      <c r="J89" s="3"/>
      <c r="K89" s="469" t="s">
        <v>22</v>
      </c>
      <c r="L89" s="470"/>
      <c r="M89" s="470"/>
      <c r="N89" s="470"/>
      <c r="O89" s="471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65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55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56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58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69" t="s">
        <v>22</v>
      </c>
      <c r="L96" s="470"/>
      <c r="M96" s="470"/>
      <c r="N96" s="470"/>
      <c r="O96" s="471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40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11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55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11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56"/>
      <c r="C102" s="16" t="s">
        <v>128</v>
      </c>
      <c r="D102" s="16" t="s">
        <v>122</v>
      </c>
      <c r="E102" s="16">
        <v>0</v>
      </c>
      <c r="F102" s="53">
        <v>152000</v>
      </c>
      <c r="G102" s="11">
        <f t="shared" si="8"/>
        <v>0</v>
      </c>
      <c r="H102" s="41"/>
      <c r="I102" s="4"/>
      <c r="J102" s="3"/>
      <c r="K102" s="469" t="s">
        <v>22</v>
      </c>
      <c r="L102" s="470"/>
      <c r="M102" s="470"/>
      <c r="N102" s="470"/>
      <c r="O102" s="471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56"/>
      <c r="C103" s="16" t="s">
        <v>129</v>
      </c>
      <c r="D103" s="16" t="s">
        <v>122</v>
      </c>
      <c r="E103" s="16">
        <v>0</v>
      </c>
      <c r="F103" s="53">
        <v>20000</v>
      </c>
      <c r="G103" s="11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56"/>
      <c r="C104" s="16" t="s">
        <v>130</v>
      </c>
      <c r="D104" s="16" t="s">
        <v>122</v>
      </c>
      <c r="E104" s="216">
        <v>55</v>
      </c>
      <c r="F104" s="216">
        <v>150700</v>
      </c>
      <c r="G104" s="11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58"/>
      <c r="C105" s="11" t="s">
        <v>131</v>
      </c>
      <c r="D105" s="219" t="s">
        <v>122</v>
      </c>
      <c r="E105" s="218">
        <v>10</v>
      </c>
      <c r="F105" s="218">
        <v>132000</v>
      </c>
      <c r="G105" s="229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43" t="s">
        <v>132</v>
      </c>
      <c r="C106" s="16" t="s">
        <v>133</v>
      </c>
      <c r="D106" s="24" t="s">
        <v>134</v>
      </c>
      <c r="E106" s="218">
        <v>6</v>
      </c>
      <c r="F106" s="232">
        <f>7500000</f>
        <v>7500000</v>
      </c>
      <c r="G106" s="230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45"/>
      <c r="C107" s="211" t="s">
        <v>516</v>
      </c>
      <c r="D107" s="24"/>
      <c r="E107" s="244">
        <v>8</v>
      </c>
      <c r="F107" s="369">
        <f>10640000/8</f>
        <v>1330000</v>
      </c>
      <c r="G107" s="230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1" t="s">
        <v>136</v>
      </c>
      <c r="C108" s="11" t="s">
        <v>137</v>
      </c>
      <c r="D108" s="11" t="s">
        <v>138</v>
      </c>
      <c r="E108" s="211">
        <v>50</v>
      </c>
      <c r="F108" s="231">
        <v>385000</v>
      </c>
      <c r="G108" s="11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46" t="s">
        <v>457</v>
      </c>
      <c r="C109" s="230" t="s">
        <v>506</v>
      </c>
      <c r="D109" s="16"/>
      <c r="E109" s="16">
        <v>1</v>
      </c>
      <c r="F109" s="16">
        <v>5676000</v>
      </c>
      <c r="G109" s="11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46"/>
      <c r="C110" s="230" t="s">
        <v>508</v>
      </c>
      <c r="D110" s="211"/>
      <c r="E110" s="16">
        <v>1</v>
      </c>
      <c r="F110" s="211">
        <v>1531200</v>
      </c>
      <c r="G110" s="11">
        <f t="shared" si="8"/>
        <v>1531200</v>
      </c>
      <c r="H110" s="3"/>
      <c r="I110" s="212"/>
      <c r="J110" s="3"/>
      <c r="K110" s="26"/>
      <c r="L110" s="291"/>
      <c r="M110" s="292"/>
      <c r="N110" s="292"/>
      <c r="O110" s="292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46"/>
      <c r="C111" s="230" t="s">
        <v>509</v>
      </c>
      <c r="D111" s="211"/>
      <c r="E111" s="16">
        <v>1</v>
      </c>
      <c r="F111" s="211">
        <v>935000</v>
      </c>
      <c r="G111" s="11">
        <f t="shared" si="8"/>
        <v>935000</v>
      </c>
      <c r="H111" s="3"/>
      <c r="I111" s="212"/>
      <c r="J111" s="3"/>
      <c r="K111" s="26"/>
      <c r="L111" s="291"/>
      <c r="M111" s="292"/>
      <c r="N111" s="292"/>
      <c r="O111" s="292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46"/>
      <c r="C112" s="230" t="s">
        <v>510</v>
      </c>
      <c r="D112" s="211"/>
      <c r="E112" s="16">
        <v>1</v>
      </c>
      <c r="F112" s="211">
        <v>1873300</v>
      </c>
      <c r="G112" s="11">
        <f t="shared" si="8"/>
        <v>1873300</v>
      </c>
      <c r="H112" s="3"/>
      <c r="I112" s="212"/>
      <c r="J112" s="3"/>
      <c r="K112" s="26"/>
      <c r="L112" s="291"/>
      <c r="M112" s="292"/>
      <c r="N112" s="292"/>
      <c r="O112" s="292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46"/>
      <c r="C113" s="230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1"/>
      <c r="M113" s="292"/>
      <c r="N113" s="292"/>
      <c r="O113" s="292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46" t="s">
        <v>458</v>
      </c>
      <c r="C114" s="230" t="s">
        <v>514</v>
      </c>
      <c r="D114" s="211"/>
      <c r="E114" s="16">
        <v>1</v>
      </c>
      <c r="F114" s="211">
        <v>2332000</v>
      </c>
      <c r="G114" s="11">
        <f t="shared" si="8"/>
        <v>2332000</v>
      </c>
      <c r="H114" s="3"/>
      <c r="I114" s="212"/>
      <c r="J114" s="3"/>
      <c r="K114" s="26"/>
      <c r="L114" s="291"/>
      <c r="M114" s="292"/>
      <c r="N114" s="292"/>
      <c r="O114" s="292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46"/>
      <c r="C115" s="230" t="s">
        <v>515</v>
      </c>
      <c r="D115" s="211"/>
      <c r="E115" s="211">
        <v>1</v>
      </c>
      <c r="F115" s="211">
        <v>1496000</v>
      </c>
      <c r="G115" s="11">
        <f t="shared" si="8"/>
        <v>1496000</v>
      </c>
      <c r="H115" s="3"/>
      <c r="I115" s="212"/>
      <c r="J115" s="3"/>
      <c r="K115" s="26"/>
      <c r="L115" s="291"/>
      <c r="M115" s="292"/>
      <c r="N115" s="292"/>
      <c r="O115" s="292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46"/>
      <c r="C116" s="230" t="s">
        <v>511</v>
      </c>
      <c r="D116" s="211"/>
      <c r="E116" s="16">
        <v>1</v>
      </c>
      <c r="F116" s="211">
        <v>643500</v>
      </c>
      <c r="G116" s="11">
        <f t="shared" si="8"/>
        <v>643500</v>
      </c>
      <c r="H116" s="3"/>
      <c r="I116" s="212"/>
      <c r="J116" s="3"/>
      <c r="K116" s="26"/>
      <c r="L116" s="291"/>
      <c r="M116" s="292"/>
      <c r="N116" s="292"/>
      <c r="O116" s="292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46"/>
      <c r="C117" s="230" t="s">
        <v>512</v>
      </c>
      <c r="D117" s="211"/>
      <c r="E117" s="16">
        <v>1</v>
      </c>
      <c r="F117" s="211">
        <v>1155000</v>
      </c>
      <c r="G117" s="11">
        <f t="shared" si="8"/>
        <v>1155000</v>
      </c>
      <c r="H117" s="3"/>
      <c r="I117" s="212"/>
      <c r="J117" s="3"/>
      <c r="K117" s="26"/>
      <c r="L117" s="291"/>
      <c r="M117" s="292"/>
      <c r="N117" s="292"/>
      <c r="O117" s="292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46"/>
      <c r="C118" s="230" t="s">
        <v>513</v>
      </c>
      <c r="D118" s="211"/>
      <c r="E118" s="16">
        <v>1</v>
      </c>
      <c r="F118" s="211">
        <v>1925000</v>
      </c>
      <c r="G118" s="11">
        <f t="shared" si="8"/>
        <v>1925000</v>
      </c>
      <c r="H118" s="3"/>
      <c r="I118" s="212"/>
      <c r="J118" s="3"/>
      <c r="K118" s="26"/>
      <c r="L118" s="291"/>
      <c r="M118" s="292"/>
      <c r="N118" s="292"/>
      <c r="O118" s="292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46" t="s">
        <v>459</v>
      </c>
      <c r="C119" s="230" t="s">
        <v>507</v>
      </c>
      <c r="D119" s="211"/>
      <c r="E119" s="16">
        <v>1</v>
      </c>
      <c r="F119" s="211">
        <v>964480</v>
      </c>
      <c r="G119" s="11">
        <f t="shared" si="8"/>
        <v>964480</v>
      </c>
      <c r="H119" s="3"/>
      <c r="I119" s="212"/>
      <c r="J119" s="3"/>
      <c r="K119" s="26"/>
      <c r="L119" s="291"/>
      <c r="M119" s="292"/>
      <c r="N119" s="292"/>
      <c r="O119" s="292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46"/>
      <c r="C120" s="230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1"/>
      <c r="M120" s="292"/>
      <c r="N120" s="292"/>
      <c r="O120" s="292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46"/>
      <c r="C121" s="230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1"/>
      <c r="M121" s="292"/>
      <c r="N121" s="292"/>
      <c r="O121" s="292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46"/>
      <c r="C122" s="230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1"/>
      <c r="M122" s="292"/>
      <c r="N122" s="292"/>
      <c r="O122" s="292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46"/>
      <c r="C123" s="230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1"/>
      <c r="M123" s="292"/>
      <c r="N123" s="292"/>
      <c r="O123" s="292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46"/>
      <c r="C124" s="230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1"/>
      <c r="M124" s="292"/>
      <c r="N124" s="292"/>
      <c r="O124" s="292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3">
        <f>SUM(G140,G153,G158,G183,G192,G197,G205,G211,G217,G226,G232,G250)</f>
        <v>1161205494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55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74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58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65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69" t="s">
        <v>22</v>
      </c>
      <c r="L134" s="470"/>
      <c r="M134" s="470"/>
      <c r="N134" s="470"/>
      <c r="O134" s="471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4"/>
      <c r="L135" s="119"/>
      <c r="M135" s="119"/>
      <c r="N135" s="119"/>
      <c r="O135" s="119"/>
      <c r="P135" s="24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43" t="s">
        <v>361</v>
      </c>
      <c r="C137" s="11" t="s">
        <v>362</v>
      </c>
      <c r="D137" s="443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45"/>
      <c r="C138" s="11" t="s">
        <v>366</v>
      </c>
      <c r="D138" s="445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2">
        <f>SUM(G131:G139)</f>
        <v>683000000</v>
      </c>
      <c r="H140" s="323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83" t="s">
        <v>157</v>
      </c>
      <c r="L141" s="56" t="s">
        <v>158</v>
      </c>
      <c r="M141" s="56">
        <v>12000000</v>
      </c>
      <c r="N141" s="474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58"/>
      <c r="L142" s="11" t="s">
        <v>159</v>
      </c>
      <c r="M142" s="11">
        <v>100000000</v>
      </c>
      <c r="N142" s="465"/>
      <c r="O142" s="462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55" t="s">
        <v>161</v>
      </c>
      <c r="L143" s="11" t="s">
        <v>162</v>
      </c>
      <c r="M143" s="11">
        <v>40000000</v>
      </c>
      <c r="N143" s="474" t="s">
        <v>163</v>
      </c>
      <c r="O143" s="46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67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58"/>
      <c r="L144" s="11" t="s">
        <v>165</v>
      </c>
      <c r="M144" s="11">
        <v>20000000</v>
      </c>
      <c r="N144" s="465"/>
      <c r="O144" s="46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65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65"/>
      <c r="C146" s="294" t="s">
        <v>170</v>
      </c>
      <c r="D146" s="295"/>
      <c r="E146" s="295">
        <v>1</v>
      </c>
      <c r="F146" s="295">
        <f>486205+66667+120000</f>
        <v>672872</v>
      </c>
      <c r="G146" s="294">
        <f t="shared" si="14"/>
        <v>672872</v>
      </c>
      <c r="H146" s="472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65"/>
      <c r="C147" s="294" t="s">
        <v>171</v>
      </c>
      <c r="D147" s="295"/>
      <c r="E147" s="295">
        <v>1</v>
      </c>
      <c r="F147" s="295">
        <f>486205+66667+120000</f>
        <v>672872</v>
      </c>
      <c r="G147" s="294">
        <f t="shared" si="14"/>
        <v>672872</v>
      </c>
      <c r="H147" s="465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65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72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65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65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65"/>
      <c r="C150" s="216" t="s">
        <v>526</v>
      </c>
      <c r="D150" s="243"/>
      <c r="E150" s="31">
        <v>1</v>
      </c>
      <c r="F150" s="11">
        <v>760000</v>
      </c>
      <c r="G150" s="11">
        <f t="shared" si="14"/>
        <v>760000</v>
      </c>
      <c r="H150" s="379" t="s">
        <v>530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65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72" t="s">
        <v>172</v>
      </c>
      <c r="I151" s="4"/>
      <c r="J151" s="3"/>
      <c r="K151" s="475" t="s">
        <v>151</v>
      </c>
      <c r="L151" s="476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68"/>
      <c r="C152" s="3"/>
      <c r="D152" s="3"/>
      <c r="E152" s="3"/>
      <c r="F152" s="3"/>
      <c r="G152" s="3"/>
      <c r="H152" s="465"/>
      <c r="I152" s="4"/>
      <c r="J152" s="3"/>
      <c r="K152" s="57" t="s">
        <v>173</v>
      </c>
      <c r="L152" s="58">
        <f>500+400+300+200</f>
        <v>1400</v>
      </c>
      <c r="M152" s="464" t="s">
        <v>174</v>
      </c>
      <c r="N152" s="463"/>
      <c r="O152" s="463"/>
      <c r="P152" s="463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64" t="s">
        <v>176</v>
      </c>
      <c r="N153" s="463"/>
      <c r="O153" s="463"/>
      <c r="P153" s="46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74" t="s">
        <v>178</v>
      </c>
      <c r="N154" s="463"/>
      <c r="O154" s="463"/>
      <c r="P154" s="46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74" t="s">
        <v>181</v>
      </c>
      <c r="N155" s="463"/>
      <c r="O155" s="463"/>
      <c r="P155" s="46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64" t="s">
        <v>183</v>
      </c>
      <c r="N156" s="463"/>
      <c r="O156" s="463"/>
      <c r="P156" s="46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64" t="s">
        <v>185</v>
      </c>
      <c r="N157" s="463"/>
      <c r="O157" s="463"/>
      <c r="P157" s="46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55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56"/>
      <c r="C163" s="294" t="s">
        <v>188</v>
      </c>
      <c r="D163" s="295"/>
      <c r="E163" s="295">
        <v>1</v>
      </c>
      <c r="F163" s="295">
        <v>230000</v>
      </c>
      <c r="G163" s="294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56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56"/>
      <c r="C165" s="296" t="s">
        <v>189</v>
      </c>
      <c r="D165" s="297"/>
      <c r="E165" s="297">
        <v>1</v>
      </c>
      <c r="F165" s="295">
        <v>230000</v>
      </c>
      <c r="G165" s="294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57"/>
      <c r="C166" s="216" t="s">
        <v>346</v>
      </c>
      <c r="D166" s="242"/>
      <c r="E166" s="241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57"/>
      <c r="C167" s="216" t="s">
        <v>348</v>
      </c>
      <c r="D167" s="242"/>
      <c r="E167" s="241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56"/>
      <c r="C168" s="296" t="s">
        <v>354</v>
      </c>
      <c r="D168" s="298"/>
      <c r="E168" s="299">
        <v>20</v>
      </c>
      <c r="F168" s="294">
        <f>486205-0.5+66667</f>
        <v>552871.5</v>
      </c>
      <c r="G168" s="294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56"/>
      <c r="C169" s="216" t="s">
        <v>356</v>
      </c>
      <c r="D169" s="243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56"/>
      <c r="C170" s="300" t="s">
        <v>192</v>
      </c>
      <c r="D170" s="301"/>
      <c r="E170" s="299">
        <v>20</v>
      </c>
      <c r="F170" s="294">
        <v>140000</v>
      </c>
      <c r="G170" s="294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58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59" t="s">
        <v>405</v>
      </c>
      <c r="C172" s="216" t="s">
        <v>410</v>
      </c>
      <c r="D172" s="243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60"/>
      <c r="C173" s="216" t="s">
        <v>411</v>
      </c>
      <c r="D173" s="243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60"/>
      <c r="C174" s="380" t="s">
        <v>412</v>
      </c>
      <c r="D174" s="381"/>
      <c r="E174" s="382">
        <v>5</v>
      </c>
      <c r="F174" s="322">
        <f>11062500/5</f>
        <v>2212500</v>
      </c>
      <c r="G174" s="322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60"/>
      <c r="C175" s="216" t="s">
        <v>426</v>
      </c>
      <c r="D175" s="243"/>
      <c r="E175" s="31">
        <v>5</v>
      </c>
      <c r="F175" s="11">
        <f>1346800</f>
        <v>1346800</v>
      </c>
      <c r="G175" s="11">
        <f t="shared" si="16"/>
        <v>6734000</v>
      </c>
      <c r="H175" s="228" t="s">
        <v>527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60"/>
      <c r="C176" s="380" t="s">
        <v>483</v>
      </c>
      <c r="D176" s="381"/>
      <c r="E176" s="382">
        <v>3</v>
      </c>
      <c r="F176" s="322">
        <f>504669</f>
        <v>504669</v>
      </c>
      <c r="G176" s="322">
        <f t="shared" si="16"/>
        <v>1514007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60"/>
      <c r="C177" s="380" t="s">
        <v>485</v>
      </c>
      <c r="D177" s="381"/>
      <c r="E177" s="382">
        <v>3</v>
      </c>
      <c r="F177" s="322">
        <v>30279</v>
      </c>
      <c r="G177" s="322">
        <f t="shared" si="16"/>
        <v>90837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61"/>
      <c r="C178" s="380" t="s">
        <v>523</v>
      </c>
      <c r="D178" s="381"/>
      <c r="E178" s="382">
        <v>2</v>
      </c>
      <c r="F178" s="322">
        <f>504669+30279</f>
        <v>534948</v>
      </c>
      <c r="G178" s="322">
        <f t="shared" si="16"/>
        <v>1069896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55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56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72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57"/>
      <c r="C181" s="302" t="s">
        <v>345</v>
      </c>
      <c r="D181" s="303"/>
      <c r="E181" s="295">
        <v>1</v>
      </c>
      <c r="F181" s="299">
        <v>516000</v>
      </c>
      <c r="G181" s="294">
        <f t="shared" si="16"/>
        <v>516000</v>
      </c>
      <c r="H181" s="472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58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65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85744670</v>
      </c>
      <c r="H183" s="465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55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56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57"/>
      <c r="C189" s="294" t="s">
        <v>456</v>
      </c>
      <c r="D189" s="295"/>
      <c r="E189" s="299">
        <v>371600</v>
      </c>
      <c r="F189" s="294">
        <v>1</v>
      </c>
      <c r="G189" s="294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57"/>
      <c r="C190" s="294" t="s">
        <v>486</v>
      </c>
      <c r="D190" s="295"/>
      <c r="E190" s="299">
        <v>52500</v>
      </c>
      <c r="F190" s="294">
        <v>1</v>
      </c>
      <c r="G190" s="294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58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73"/>
      <c r="M202" s="463"/>
      <c r="N202" s="463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63"/>
      <c r="M203" s="463"/>
      <c r="N203" s="46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5" t="s">
        <v>210</v>
      </c>
      <c r="D210" s="295"/>
      <c r="E210" s="295">
        <v>1</v>
      </c>
      <c r="F210" s="294">
        <v>2043000</v>
      </c>
      <c r="G210" s="294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1" t="s">
        <v>214</v>
      </c>
      <c r="C216" s="294" t="s">
        <v>215</v>
      </c>
      <c r="D216" s="294"/>
      <c r="E216" s="294">
        <v>42</v>
      </c>
      <c r="F216" s="294">
        <v>25900</v>
      </c>
      <c r="G216" s="294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9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4" t="s">
        <v>140</v>
      </c>
      <c r="C221" s="299">
        <f>R125</f>
        <v>151120240</v>
      </c>
      <c r="D221" s="295"/>
      <c r="E221" s="295"/>
      <c r="F221" s="295"/>
      <c r="G221" s="294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4" t="s">
        <v>142</v>
      </c>
      <c r="C222" s="304">
        <f>R126</f>
        <v>186772440</v>
      </c>
      <c r="D222" s="297"/>
      <c r="E222" s="297"/>
      <c r="F222" s="297"/>
      <c r="G222" s="296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5" t="s">
        <v>158</v>
      </c>
      <c r="C223" s="306">
        <v>12743500</v>
      </c>
      <c r="D223" s="307"/>
      <c r="E223" s="307"/>
      <c r="F223" s="307"/>
      <c r="G223" s="308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1">
        <v>0</v>
      </c>
      <c r="D224" s="293"/>
      <c r="E224" s="293"/>
      <c r="F224" s="293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4"/>
      <c r="C227" s="244"/>
      <c r="D227" s="244"/>
      <c r="E227" s="244"/>
      <c r="F227" s="244"/>
      <c r="G227" s="244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69" t="s">
        <v>22</v>
      </c>
      <c r="C232" s="470"/>
      <c r="D232" s="470"/>
      <c r="E232" s="470"/>
      <c r="F232" s="471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7"/>
      <c r="E235" s="267"/>
      <c r="F235" s="268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52" t="s">
        <v>220</v>
      </c>
      <c r="C236" s="308" t="s">
        <v>446</v>
      </c>
      <c r="D236" s="308"/>
      <c r="E236" s="308">
        <v>1</v>
      </c>
      <c r="F236" s="308">
        <v>290000</v>
      </c>
      <c r="G236" s="308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53"/>
      <c r="C237" s="308" t="s">
        <v>447</v>
      </c>
      <c r="D237" s="308"/>
      <c r="E237" s="308">
        <v>1</v>
      </c>
      <c r="F237" s="308">
        <v>290000</v>
      </c>
      <c r="G237" s="308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53"/>
      <c r="C238" s="308" t="s">
        <v>448</v>
      </c>
      <c r="D238" s="308"/>
      <c r="E238" s="308">
        <v>1</v>
      </c>
      <c r="F238" s="308">
        <v>210000</v>
      </c>
      <c r="G238" s="308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54"/>
      <c r="C239" s="308" t="s">
        <v>449</v>
      </c>
      <c r="D239" s="308"/>
      <c r="E239" s="308">
        <v>1</v>
      </c>
      <c r="F239" s="308">
        <v>210000</v>
      </c>
      <c r="G239" s="308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49" t="s">
        <v>439</v>
      </c>
      <c r="C240" s="310" t="s">
        <v>440</v>
      </c>
      <c r="D240" s="310"/>
      <c r="E240" s="310">
        <v>1</v>
      </c>
      <c r="F240" s="310">
        <v>540000</v>
      </c>
      <c r="G240" s="310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50"/>
      <c r="C241" s="294" t="s">
        <v>441</v>
      </c>
      <c r="D241" s="294"/>
      <c r="E241" s="294">
        <v>1</v>
      </c>
      <c r="F241" s="294">
        <v>540000</v>
      </c>
      <c r="G241" s="294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50"/>
      <c r="C242" s="294" t="s">
        <v>442</v>
      </c>
      <c r="D242" s="294"/>
      <c r="E242" s="294">
        <v>1</v>
      </c>
      <c r="F242" s="294">
        <v>1260000</v>
      </c>
      <c r="G242" s="294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51"/>
      <c r="C243" s="294" t="s">
        <v>445</v>
      </c>
      <c r="D243" s="294"/>
      <c r="E243" s="294">
        <v>1</v>
      </c>
      <c r="F243" s="294">
        <v>1260000</v>
      </c>
      <c r="G243" s="294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10" t="s">
        <v>443</v>
      </c>
      <c r="C244" s="294" t="s">
        <v>444</v>
      </c>
      <c r="D244" s="294"/>
      <c r="E244" s="294">
        <v>1</v>
      </c>
      <c r="F244" s="294">
        <v>2700000</v>
      </c>
      <c r="G244" s="294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43" t="s">
        <v>537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44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44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44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45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73"/>
      <c r="K250" s="463"/>
      <c r="L250" s="463"/>
      <c r="M250" s="463"/>
      <c r="N250" s="463"/>
      <c r="O250" s="463"/>
      <c r="P250" s="46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63"/>
      <c r="K251" s="463"/>
      <c r="L251" s="463"/>
      <c r="M251" s="463"/>
      <c r="N251" s="463"/>
      <c r="O251" s="463"/>
      <c r="P251" s="46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50:P251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245:B24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3"/>
  <sheetViews>
    <sheetView zoomScaleNormal="100" workbookViewId="0">
      <pane ySplit="3" topLeftCell="A148" activePane="bottomLeft" state="frozen"/>
      <selection pane="bottomLeft" activeCell="G27" sqref="G27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20" t="s">
        <v>277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8" t="s">
        <v>228</v>
      </c>
      <c r="AE1" s="248" t="s">
        <v>229</v>
      </c>
      <c r="AF1" s="248" t="s">
        <v>230</v>
      </c>
      <c r="AG1" s="248" t="s">
        <v>231</v>
      </c>
      <c r="AH1" s="248" t="s">
        <v>232</v>
      </c>
      <c r="AI1" s="248" t="s">
        <v>233</v>
      </c>
      <c r="AJ1" s="248" t="s">
        <v>234</v>
      </c>
      <c r="AK1" s="248" t="s">
        <v>235</v>
      </c>
      <c r="AL1" s="248" t="s">
        <v>236</v>
      </c>
      <c r="AM1" s="248" t="s">
        <v>237</v>
      </c>
      <c r="AN1" s="248" t="s">
        <v>238</v>
      </c>
      <c r="AO1" s="248" t="s">
        <v>239</v>
      </c>
      <c r="AP1" s="248" t="s">
        <v>240</v>
      </c>
      <c r="AQ1" s="248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22" t="s">
        <v>7</v>
      </c>
      <c r="Q2" s="471"/>
      <c r="R2" s="522" t="s">
        <v>244</v>
      </c>
      <c r="S2" s="471"/>
      <c r="T2" s="522" t="s">
        <v>31</v>
      </c>
      <c r="U2" s="471"/>
      <c r="V2" s="522" t="s">
        <v>72</v>
      </c>
      <c r="W2" s="471"/>
      <c r="X2" s="522" t="s">
        <v>84</v>
      </c>
      <c r="Y2" s="471"/>
      <c r="Z2" s="522" t="s">
        <v>245</v>
      </c>
      <c r="AA2" s="471"/>
      <c r="AD2" s="249">
        <f t="shared" ref="AD2:AO2" si="0">SUMIF($G4:$G174, AD1, $H4:$H174)</f>
        <v>14600000</v>
      </c>
      <c r="AE2" s="249">
        <f t="shared" si="0"/>
        <v>17381628</v>
      </c>
      <c r="AF2" s="249">
        <f t="shared" si="0"/>
        <v>75237443</v>
      </c>
      <c r="AG2" s="249">
        <f t="shared" si="0"/>
        <v>31017560</v>
      </c>
      <c r="AH2" s="249">
        <f t="shared" si="0"/>
        <v>425800124.92500001</v>
      </c>
      <c r="AI2" s="249">
        <f t="shared" si="0"/>
        <v>32766221.925000001</v>
      </c>
      <c r="AJ2" s="249">
        <f t="shared" si="0"/>
        <v>472999723.92500001</v>
      </c>
      <c r="AK2" s="249">
        <f t="shared" si="0"/>
        <v>209497583.92500001</v>
      </c>
      <c r="AL2" s="249">
        <f t="shared" si="0"/>
        <v>583442764.92499995</v>
      </c>
      <c r="AM2" s="249">
        <f t="shared" si="0"/>
        <v>50865083.924999997</v>
      </c>
      <c r="AN2" s="249">
        <f t="shared" si="0"/>
        <v>155065083.92500001</v>
      </c>
      <c r="AO2" s="249">
        <f t="shared" si="0"/>
        <v>784373083.92499995</v>
      </c>
      <c r="AP2" s="249">
        <f>SUM(AD2:AO2)</f>
        <v>2853046302.3999996</v>
      </c>
      <c r="AQ2" s="250">
        <f>$A$2-$AP$2</f>
        <v>103353697.60000038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37" t="s">
        <v>248</v>
      </c>
      <c r="E3" s="538"/>
      <c r="F3" s="539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H176</f>
        <v>1143784654</v>
      </c>
      <c r="Y3" s="81">
        <f>K176</f>
        <v>0.984997625235142</v>
      </c>
      <c r="Z3" s="82">
        <f>H177</f>
        <v>2862046302.4000001</v>
      </c>
      <c r="AA3" s="83">
        <f>K177</f>
        <v>0.98199369728185559</v>
      </c>
      <c r="AD3" s="251">
        <f>AD2/$A$2</f>
        <v>4.9384386415911247E-3</v>
      </c>
      <c r="AE3" s="251">
        <f t="shared" ref="AE3:AO3" si="1">AE2/$A$2+AD3</f>
        <v>1.0817760790150184E-2</v>
      </c>
      <c r="AF3" s="251">
        <f t="shared" si="1"/>
        <v>3.6266767352185092E-2</v>
      </c>
      <c r="AG3" s="251">
        <f t="shared" si="1"/>
        <v>4.6758432891354354E-2</v>
      </c>
      <c r="AH3" s="251">
        <f t="shared" si="1"/>
        <v>0.19078499388614534</v>
      </c>
      <c r="AI3" s="251">
        <f t="shared" si="1"/>
        <v>0.20186814296103373</v>
      </c>
      <c r="AJ3" s="251">
        <f t="shared" si="1"/>
        <v>0.36185993159755114</v>
      </c>
      <c r="AK3" s="251">
        <f t="shared" si="1"/>
        <v>0.4327223263766744</v>
      </c>
      <c r="AL3" s="251">
        <f t="shared" si="1"/>
        <v>0.6300713877097146</v>
      </c>
      <c r="AM3" s="251">
        <f t="shared" si="1"/>
        <v>0.64727646277567319</v>
      </c>
      <c r="AN3" s="251">
        <f t="shared" si="1"/>
        <v>0.69972710677682326</v>
      </c>
      <c r="AO3" s="251">
        <f t="shared" si="1"/>
        <v>0.96504069219320798</v>
      </c>
      <c r="AP3" s="251">
        <f t="shared" ref="AP3:AQ3" si="2">AP2/$A$2</f>
        <v>0.96504069219320787</v>
      </c>
      <c r="AQ3" s="251">
        <f t="shared" si="2"/>
        <v>3.4959307806792177E-2</v>
      </c>
    </row>
    <row r="4" spans="1:43" ht="16.5" customHeight="1">
      <c r="A4" s="498" t="s">
        <v>7</v>
      </c>
      <c r="B4" s="499" t="s">
        <v>255</v>
      </c>
      <c r="C4" s="524">
        <f>예산!G14</f>
        <v>121138758.40000001</v>
      </c>
      <c r="D4" s="85" t="s">
        <v>15</v>
      </c>
      <c r="E4" s="535">
        <f>예산!G7</f>
        <v>5871208</v>
      </c>
      <c r="F4" s="471"/>
      <c r="G4" s="85" t="s">
        <v>229</v>
      </c>
      <c r="H4" s="86">
        <f>1192128+예산!E8</f>
        <v>2781628</v>
      </c>
      <c r="I4" s="87">
        <v>45776</v>
      </c>
      <c r="J4" s="85"/>
      <c r="K4" s="526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56"/>
      <c r="B5" s="456"/>
      <c r="C5" s="456"/>
      <c r="D5" s="237" t="s">
        <v>19</v>
      </c>
      <c r="E5" s="536">
        <f>예산!G8</f>
        <v>4768500</v>
      </c>
      <c r="F5" s="486"/>
      <c r="G5" s="85" t="s">
        <v>230</v>
      </c>
      <c r="H5" s="86">
        <f>예산!E7+예산!E8</f>
        <v>3405260</v>
      </c>
      <c r="I5" s="87"/>
      <c r="J5" s="85"/>
      <c r="K5" s="456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56"/>
      <c r="B6" s="456"/>
      <c r="C6" s="465"/>
      <c r="D6" s="239" t="s">
        <v>359</v>
      </c>
      <c r="E6" s="536">
        <f>예산!G9</f>
        <v>19608863.399999999</v>
      </c>
      <c r="F6" s="486"/>
      <c r="G6" s="236" t="s">
        <v>231</v>
      </c>
      <c r="H6" s="86">
        <f>SUM(예산!$E$7:$E$8)</f>
        <v>3405260</v>
      </c>
      <c r="I6" s="87"/>
      <c r="J6" s="85"/>
      <c r="K6" s="456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56"/>
      <c r="B7" s="456"/>
      <c r="C7" s="465"/>
      <c r="D7" s="238" t="s">
        <v>336</v>
      </c>
      <c r="E7" s="525">
        <f>예산!G10</f>
        <v>37350216</v>
      </c>
      <c r="F7" s="482"/>
      <c r="G7" s="236" t="s">
        <v>232</v>
      </c>
      <c r="H7" s="86">
        <f>SUM(예산!$E$9:$E$10)</f>
        <v>7119884.9249999998</v>
      </c>
      <c r="I7" s="87"/>
      <c r="J7" s="85"/>
      <c r="K7" s="45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56"/>
      <c r="B8" s="456"/>
      <c r="C8" s="465"/>
      <c r="D8" s="238" t="s">
        <v>387</v>
      </c>
      <c r="E8" s="533">
        <f>예산!G11</f>
        <v>32681439</v>
      </c>
      <c r="F8" s="534"/>
      <c r="G8" s="236" t="s">
        <v>233</v>
      </c>
      <c r="H8" s="86">
        <f>SUM(예산!$E$9:$E$11)+1047560</f>
        <v>12836221.925000001</v>
      </c>
      <c r="I8" s="87"/>
      <c r="J8" s="85"/>
      <c r="K8" s="45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56"/>
      <c r="B9" s="456"/>
      <c r="C9" s="456"/>
      <c r="D9" s="238" t="s">
        <v>413</v>
      </c>
      <c r="E9" s="533">
        <f>예산!G12</f>
        <v>20858532</v>
      </c>
      <c r="F9" s="534"/>
      <c r="G9" s="85" t="s">
        <v>234</v>
      </c>
      <c r="H9" s="86">
        <f>SUM(예산!$E$9:$E$12)</f>
        <v>15265083.925000001</v>
      </c>
      <c r="I9" s="87"/>
      <c r="J9" s="85"/>
      <c r="K9" s="45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56"/>
      <c r="B10" s="456"/>
      <c r="C10" s="456"/>
      <c r="D10" s="527"/>
      <c r="E10" s="528"/>
      <c r="F10" s="529"/>
      <c r="G10" s="85" t="s">
        <v>235</v>
      </c>
      <c r="H10" s="86">
        <f>SUM(예산!$E$9:$E$12)</f>
        <v>15265083.925000001</v>
      </c>
      <c r="I10" s="87"/>
      <c r="J10" s="85"/>
      <c r="K10" s="45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56"/>
      <c r="B11" s="456"/>
      <c r="C11" s="456"/>
      <c r="D11" s="527"/>
      <c r="E11" s="528"/>
      <c r="F11" s="529"/>
      <c r="G11" s="85" t="s">
        <v>236</v>
      </c>
      <c r="H11" s="86">
        <f>SUM(예산!$E$9:$E$12)</f>
        <v>15265083.925000001</v>
      </c>
      <c r="I11" s="87"/>
      <c r="J11" s="85"/>
      <c r="K11" s="45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56"/>
      <c r="B12" s="456"/>
      <c r="C12" s="456"/>
      <c r="D12" s="527"/>
      <c r="E12" s="528"/>
      <c r="F12" s="529"/>
      <c r="G12" s="85" t="s">
        <v>237</v>
      </c>
      <c r="H12" s="86">
        <f>SUM(예산!$E$9:$E$12)</f>
        <v>15265083.925000001</v>
      </c>
      <c r="I12" s="87"/>
      <c r="J12" s="85"/>
      <c r="K12" s="45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56"/>
      <c r="B13" s="456"/>
      <c r="C13" s="456"/>
      <c r="D13" s="527"/>
      <c r="E13" s="528"/>
      <c r="F13" s="529"/>
      <c r="G13" s="85" t="s">
        <v>238</v>
      </c>
      <c r="H13" s="86">
        <f>SUM(예산!$E$9:$E$12)</f>
        <v>15265083.925000001</v>
      </c>
      <c r="I13" s="87"/>
      <c r="J13" s="85"/>
      <c r="K13" s="45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56"/>
      <c r="B14" s="458"/>
      <c r="C14" s="458"/>
      <c r="D14" s="530"/>
      <c r="E14" s="531"/>
      <c r="F14" s="532"/>
      <c r="G14" s="85" t="s">
        <v>239</v>
      </c>
      <c r="H14" s="86">
        <f>SUM(예산!$E$9:$E$12)</f>
        <v>15265083.925000001</v>
      </c>
      <c r="I14" s="87"/>
      <c r="J14" s="85"/>
      <c r="K14" s="45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56"/>
      <c r="B15" s="487" t="s">
        <v>21</v>
      </c>
      <c r="C15" s="470"/>
      <c r="D15" s="471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56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8"/>
      <c r="B17" s="487" t="s">
        <v>21</v>
      </c>
      <c r="C17" s="470"/>
      <c r="D17" s="471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3" t="s">
        <v>257</v>
      </c>
      <c r="B18" s="470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23"/>
      <c r="J18" s="471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98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6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6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6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6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6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6"/>
      <c r="B25" s="85"/>
      <c r="C25" s="92"/>
      <c r="D25" s="85"/>
      <c r="E25" s="86"/>
      <c r="F25" s="85"/>
      <c r="G25" s="85" t="s">
        <v>234</v>
      </c>
      <c r="H25" s="10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6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6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6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6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58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03" t="s">
        <v>258</v>
      </c>
      <c r="B31" s="470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23"/>
      <c r="J31" s="471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4" t="s">
        <v>31</v>
      </c>
      <c r="B32" s="499" t="s">
        <v>259</v>
      </c>
      <c r="C32" s="11" t="s">
        <v>46</v>
      </c>
      <c r="D32" s="85" t="s">
        <v>494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05"/>
      <c r="B33" s="517"/>
      <c r="C33" s="11"/>
      <c r="D33" s="85" t="s">
        <v>495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05"/>
      <c r="B34" s="456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8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05"/>
      <c r="B35" s="456"/>
      <c r="C35" s="11" t="s">
        <v>101</v>
      </c>
      <c r="D35" s="85"/>
      <c r="E35" s="86">
        <f>예산!G72</f>
        <v>97163000</v>
      </c>
      <c r="F35" s="85"/>
      <c r="G35" s="85" t="s">
        <v>385</v>
      </c>
      <c r="H35" s="104">
        <f t="shared" si="8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05"/>
      <c r="B36" s="456"/>
      <c r="C36" s="11" t="s">
        <v>103</v>
      </c>
      <c r="D36" s="85"/>
      <c r="E36" s="86">
        <f>예산!G73</f>
        <v>98474200</v>
      </c>
      <c r="F36" s="85"/>
      <c r="G36" s="85" t="s">
        <v>385</v>
      </c>
      <c r="H36" s="104">
        <f t="shared" si="8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05"/>
      <c r="B37" s="457"/>
      <c r="C37" s="11" t="s">
        <v>341</v>
      </c>
      <c r="D37" s="85"/>
      <c r="E37" s="86">
        <v>352000000</v>
      </c>
      <c r="F37" s="85"/>
      <c r="G37" s="85" t="s">
        <v>379</v>
      </c>
      <c r="H37" s="104">
        <f t="shared" si="8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05"/>
      <c r="B38" s="457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8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05"/>
      <c r="B39" s="457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8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05"/>
      <c r="B40" s="457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8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5"/>
      <c r="B41" s="458"/>
      <c r="C41" s="246" t="s">
        <v>382</v>
      </c>
      <c r="D41" s="85"/>
      <c r="E41" s="86">
        <v>8030000</v>
      </c>
      <c r="F41" s="85"/>
      <c r="G41" s="85" t="s">
        <v>403</v>
      </c>
      <c r="H41" s="104">
        <f t="shared" si="8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5"/>
      <c r="B42" s="487" t="s">
        <v>21</v>
      </c>
      <c r="C42" s="470"/>
      <c r="D42" s="471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05"/>
      <c r="B43" s="499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05"/>
      <c r="B44" s="456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05"/>
      <c r="B45" s="458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9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05"/>
      <c r="B46" s="501" t="s">
        <v>21</v>
      </c>
      <c r="C46" s="502"/>
      <c r="D46" s="486"/>
      <c r="E46" s="95"/>
      <c r="F46" s="280"/>
      <c r="G46" s="280"/>
      <c r="H46" s="95">
        <f>SUM(H43:H45)</f>
        <v>2000000</v>
      </c>
      <c r="I46" s="281"/>
      <c r="J46" s="280"/>
      <c r="K46" s="282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6"/>
      <c r="B47" s="283" t="s">
        <v>452</v>
      </c>
      <c r="C47" s="286" t="s">
        <v>451</v>
      </c>
      <c r="D47" s="269"/>
      <c r="E47" s="266">
        <v>150000</v>
      </c>
      <c r="F47" s="238"/>
      <c r="G47" s="238" t="s">
        <v>385</v>
      </c>
      <c r="H47" s="266">
        <v>150000</v>
      </c>
      <c r="I47" s="284"/>
      <c r="J47" s="238"/>
      <c r="K47" s="285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03" t="s">
        <v>260</v>
      </c>
      <c r="B48" s="476"/>
      <c r="C48" s="273">
        <f>예산!G66</f>
        <v>1251782390</v>
      </c>
      <c r="D48" s="274"/>
      <c r="E48" s="275"/>
      <c r="F48" s="276"/>
      <c r="G48" s="277"/>
      <c r="H48" s="278">
        <f>H42+H46+H47</f>
        <v>1251687390</v>
      </c>
      <c r="I48" s="500"/>
      <c r="J48" s="478"/>
      <c r="K48" s="279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4" t="s">
        <v>72</v>
      </c>
      <c r="B49" s="499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5"/>
      <c r="B50" s="456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5"/>
      <c r="B51" s="456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5"/>
      <c r="B52" s="458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5"/>
      <c r="B53" s="507" t="s">
        <v>265</v>
      </c>
      <c r="C53" s="495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5"/>
      <c r="B54" s="508"/>
      <c r="C54" s="497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5"/>
      <c r="B55" s="508"/>
      <c r="C55" s="510" t="s">
        <v>139</v>
      </c>
      <c r="D55" s="513" t="s">
        <v>500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5"/>
      <c r="B56" s="508"/>
      <c r="C56" s="511"/>
      <c r="D56" s="514"/>
      <c r="E56" s="86"/>
      <c r="F56" s="85"/>
      <c r="G56" s="255"/>
      <c r="H56" s="86">
        <f>예산!$G110</f>
        <v>1531200</v>
      </c>
      <c r="I56" s="333"/>
      <c r="J56" s="236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5"/>
      <c r="B57" s="508"/>
      <c r="C57" s="511"/>
      <c r="D57" s="514"/>
      <c r="E57" s="86"/>
      <c r="F57" s="85"/>
      <c r="G57" s="255"/>
      <c r="H57" s="86">
        <f>예산!$G111</f>
        <v>935000</v>
      </c>
      <c r="I57" s="333"/>
      <c r="J57" s="236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5"/>
      <c r="B58" s="508"/>
      <c r="C58" s="511"/>
      <c r="D58" s="515"/>
      <c r="E58" s="86"/>
      <c r="F58" s="85"/>
      <c r="G58" s="255"/>
      <c r="H58" s="86">
        <f>예산!$G112</f>
        <v>1873300</v>
      </c>
      <c r="I58" s="333"/>
      <c r="J58" s="236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5"/>
      <c r="B59" s="508"/>
      <c r="C59" s="511"/>
      <c r="D59" s="513" t="s">
        <v>501</v>
      </c>
      <c r="E59" s="86"/>
      <c r="F59" s="85"/>
      <c r="G59" s="255"/>
      <c r="H59" s="86">
        <f>예산!$G113</f>
        <v>0</v>
      </c>
      <c r="I59" s="333"/>
      <c r="J59" s="236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5"/>
      <c r="B60" s="508"/>
      <c r="C60" s="511"/>
      <c r="D60" s="514"/>
      <c r="E60" s="86"/>
      <c r="F60" s="85"/>
      <c r="G60" s="255"/>
      <c r="H60" s="86">
        <f>예산!$G114</f>
        <v>2332000</v>
      </c>
      <c r="I60" s="333"/>
      <c r="J60" s="236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5"/>
      <c r="B61" s="508"/>
      <c r="C61" s="511"/>
      <c r="D61" s="514"/>
      <c r="E61" s="86"/>
      <c r="F61" s="85"/>
      <c r="G61" s="255"/>
      <c r="H61" s="86">
        <f>예산!$G116</f>
        <v>643500</v>
      </c>
      <c r="I61" s="333"/>
      <c r="J61" s="236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5"/>
      <c r="B62" s="508"/>
      <c r="C62" s="511"/>
      <c r="D62" s="514"/>
      <c r="E62" s="86"/>
      <c r="F62" s="85"/>
      <c r="G62" s="255"/>
      <c r="H62" s="86">
        <f>예산!$G117</f>
        <v>1155000</v>
      </c>
      <c r="I62" s="333"/>
      <c r="J62" s="236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5"/>
      <c r="B63" s="508"/>
      <c r="C63" s="511"/>
      <c r="D63" s="515"/>
      <c r="E63" s="86"/>
      <c r="F63" s="85"/>
      <c r="G63" s="255"/>
      <c r="H63" s="86">
        <f>예산!$G118</f>
        <v>1925000</v>
      </c>
      <c r="I63" s="333"/>
      <c r="J63" s="236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5"/>
      <c r="B64" s="508"/>
      <c r="C64" s="511"/>
      <c r="D64" s="513" t="s">
        <v>502</v>
      </c>
      <c r="E64" s="86"/>
      <c r="F64" s="85"/>
      <c r="G64" s="255"/>
      <c r="H64" s="86">
        <f>예산!$G119</f>
        <v>964480</v>
      </c>
      <c r="I64" s="333"/>
      <c r="J64" s="236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05"/>
      <c r="B65" s="508"/>
      <c r="C65" s="511"/>
      <c r="D65" s="514"/>
      <c r="E65" s="86"/>
      <c r="F65" s="85"/>
      <c r="G65" s="255"/>
      <c r="H65" s="86">
        <f>예산!$G120</f>
        <v>0</v>
      </c>
      <c r="I65" s="333"/>
      <c r="J65" s="236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05"/>
      <c r="B66" s="508"/>
      <c r="C66" s="511"/>
      <c r="D66" s="514"/>
      <c r="E66" s="86"/>
      <c r="F66" s="85"/>
      <c r="G66" s="255"/>
      <c r="H66" s="86">
        <f>예산!$G121</f>
        <v>0</v>
      </c>
      <c r="I66" s="333"/>
      <c r="J66" s="236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06"/>
      <c r="B67" s="509"/>
      <c r="C67" s="512"/>
      <c r="D67" s="515"/>
      <c r="E67" s="86"/>
      <c r="F67" s="85"/>
      <c r="G67" s="255"/>
      <c r="H67" s="86">
        <f>예산!$G122</f>
        <v>0</v>
      </c>
      <c r="I67" s="333"/>
      <c r="J67" s="236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90" t="s">
        <v>267</v>
      </c>
      <c r="B68" s="491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92"/>
      <c r="J68" s="493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98" t="s">
        <v>84</v>
      </c>
      <c r="B69" s="516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6"/>
      <c r="B70" s="517"/>
      <c r="C70" s="495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0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6"/>
      <c r="B71" s="517"/>
      <c r="C71" s="496"/>
      <c r="D71" s="85" t="s">
        <v>399</v>
      </c>
      <c r="E71" s="86">
        <v>5000000</v>
      </c>
      <c r="F71" s="85"/>
      <c r="G71" s="85" t="s">
        <v>377</v>
      </c>
      <c r="H71" s="104">
        <f t="shared" si="10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6"/>
      <c r="B72" s="517"/>
      <c r="C72" s="496"/>
      <c r="D72" s="85" t="s">
        <v>376</v>
      </c>
      <c r="E72" s="86">
        <v>800000</v>
      </c>
      <c r="F72" s="85"/>
      <c r="G72" s="85" t="s">
        <v>377</v>
      </c>
      <c r="H72" s="104">
        <f t="shared" si="10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7"/>
      <c r="B73" s="517"/>
      <c r="C73" s="496"/>
      <c r="D73" s="85" t="s">
        <v>434</v>
      </c>
      <c r="E73" s="313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7"/>
      <c r="B74" s="517"/>
      <c r="C74" s="496"/>
      <c r="D74" s="85" t="s">
        <v>435</v>
      </c>
      <c r="E74" s="313">
        <v>2914000</v>
      </c>
      <c r="F74" s="85"/>
      <c r="G74" s="85" t="s">
        <v>378</v>
      </c>
      <c r="H74" s="247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7"/>
      <c r="B75" s="517"/>
      <c r="C75" s="496"/>
      <c r="D75" s="85" t="s">
        <v>433</v>
      </c>
      <c r="E75" s="313">
        <v>4500000</v>
      </c>
      <c r="F75" s="85"/>
      <c r="G75" s="85" t="s">
        <v>378</v>
      </c>
      <c r="H75" s="247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7"/>
      <c r="B76" s="517"/>
      <c r="C76" s="496"/>
      <c r="D76" s="237" t="s">
        <v>432</v>
      </c>
      <c r="E76" s="317">
        <v>6000000</v>
      </c>
      <c r="F76" s="237"/>
      <c r="G76" s="237" t="s">
        <v>384</v>
      </c>
      <c r="H76" s="320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7"/>
      <c r="B77" s="517"/>
      <c r="C77" s="518"/>
      <c r="D77" s="238" t="s">
        <v>388</v>
      </c>
      <c r="E77" s="324">
        <v>6000000</v>
      </c>
      <c r="F77" s="238"/>
      <c r="G77" s="238" t="s">
        <v>383</v>
      </c>
      <c r="H77" s="266">
        <f>E77</f>
        <v>6000000</v>
      </c>
      <c r="I77" s="258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7"/>
      <c r="B78" s="517"/>
      <c r="C78" s="519"/>
      <c r="D78" s="264"/>
      <c r="E78" s="264"/>
      <c r="F78" s="264"/>
      <c r="G78" s="264"/>
      <c r="H78" s="264"/>
      <c r="I78" s="258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7"/>
      <c r="B79" s="517"/>
      <c r="C79" s="495" t="s">
        <v>386</v>
      </c>
      <c r="D79" s="321" t="s">
        <v>388</v>
      </c>
      <c r="E79" s="247">
        <v>3300000</v>
      </c>
      <c r="F79" s="321"/>
      <c r="G79" s="321" t="s">
        <v>377</v>
      </c>
      <c r="H79" s="247">
        <f t="shared" si="10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7"/>
      <c r="B80" s="517"/>
      <c r="C80" s="496"/>
      <c r="D80" s="85" t="s">
        <v>372</v>
      </c>
      <c r="E80" s="86">
        <v>3300000</v>
      </c>
      <c r="F80" s="85"/>
      <c r="G80" s="85" t="s">
        <v>377</v>
      </c>
      <c r="H80" s="247">
        <f t="shared" si="10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7"/>
      <c r="B81" s="517"/>
      <c r="C81" s="496"/>
      <c r="D81" s="85" t="s">
        <v>389</v>
      </c>
      <c r="E81" s="86">
        <v>800000</v>
      </c>
      <c r="F81" s="85"/>
      <c r="G81" s="85" t="s">
        <v>377</v>
      </c>
      <c r="H81" s="247">
        <f t="shared" si="10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7"/>
      <c r="B82" s="517"/>
      <c r="C82" s="496"/>
      <c r="D82" s="85" t="s">
        <v>390</v>
      </c>
      <c r="E82" s="86">
        <v>2300000</v>
      </c>
      <c r="F82" s="85"/>
      <c r="G82" s="85" t="s">
        <v>377</v>
      </c>
      <c r="H82" s="247">
        <f t="shared" si="10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7"/>
      <c r="B83" s="517"/>
      <c r="C83" s="497"/>
      <c r="D83" s="85" t="s">
        <v>391</v>
      </c>
      <c r="E83" s="86">
        <v>2300000</v>
      </c>
      <c r="F83" s="85"/>
      <c r="G83" s="85" t="s">
        <v>377</v>
      </c>
      <c r="H83" s="247">
        <f t="shared" si="10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7"/>
      <c r="B84" s="517"/>
      <c r="C84" s="495" t="s">
        <v>436</v>
      </c>
      <c r="D84" s="85" t="s">
        <v>455</v>
      </c>
      <c r="E84" s="313">
        <f>600000*22</f>
        <v>13200000</v>
      </c>
      <c r="F84" s="85"/>
      <c r="G84" s="85" t="s">
        <v>394</v>
      </c>
      <c r="H84" s="247">
        <f t="shared" si="10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7"/>
      <c r="B85" s="517"/>
      <c r="C85" s="496"/>
      <c r="D85" s="85" t="s">
        <v>437</v>
      </c>
      <c r="E85" s="313">
        <v>2000000</v>
      </c>
      <c r="F85" s="85"/>
      <c r="G85" s="85" t="s">
        <v>394</v>
      </c>
      <c r="H85" s="247">
        <f t="shared" si="10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7"/>
      <c r="B86" s="517"/>
      <c r="C86" s="496"/>
      <c r="D86" s="85" t="s">
        <v>438</v>
      </c>
      <c r="E86" s="313">
        <f>2*1000000</f>
        <v>2000000</v>
      </c>
      <c r="F86" s="85"/>
      <c r="G86" s="85" t="s">
        <v>394</v>
      </c>
      <c r="H86" s="247">
        <f t="shared" si="10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7"/>
      <c r="B87" s="517"/>
      <c r="C87" s="496"/>
      <c r="D87" s="85" t="s">
        <v>454</v>
      </c>
      <c r="E87" s="313">
        <f>3*500000</f>
        <v>1500000</v>
      </c>
      <c r="F87" s="85"/>
      <c r="G87" s="85" t="s">
        <v>394</v>
      </c>
      <c r="H87" s="247">
        <f t="shared" si="10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7"/>
      <c r="B88" s="517"/>
      <c r="C88" s="497"/>
      <c r="D88" s="85" t="s">
        <v>464</v>
      </c>
      <c r="E88" s="313">
        <f>SUM(E84:E87)</f>
        <v>18700000</v>
      </c>
      <c r="F88" s="85"/>
      <c r="G88" s="85" t="s">
        <v>394</v>
      </c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7"/>
      <c r="B89" s="494" t="s">
        <v>421</v>
      </c>
      <c r="C89" s="92" t="s">
        <v>422</v>
      </c>
      <c r="D89" s="85" t="s">
        <v>424</v>
      </c>
      <c r="E89" s="313">
        <f>14*1000000</f>
        <v>14000000</v>
      </c>
      <c r="F89" s="85"/>
      <c r="G89" s="85" t="s">
        <v>378</v>
      </c>
      <c r="H89" s="247">
        <f t="shared" si="10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7"/>
      <c r="B90" s="494"/>
      <c r="C90" s="92" t="s">
        <v>423</v>
      </c>
      <c r="D90" s="85" t="s">
        <v>425</v>
      </c>
      <c r="E90" s="313">
        <f>67*1000000</f>
        <v>67000000</v>
      </c>
      <c r="F90" s="85"/>
      <c r="G90" s="85" t="s">
        <v>378</v>
      </c>
      <c r="H90" s="247">
        <f t="shared" si="10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7"/>
      <c r="B91" s="494"/>
      <c r="C91" s="92"/>
      <c r="D91" s="85"/>
      <c r="E91" s="86"/>
      <c r="F91" s="85"/>
      <c r="G91" s="85"/>
      <c r="H91" s="247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6"/>
      <c r="B92" s="252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7">
        <f t="shared" si="10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7"/>
      <c r="B93" s="245"/>
      <c r="C93" s="495" t="s">
        <v>404</v>
      </c>
      <c r="D93" s="85" t="s">
        <v>428</v>
      </c>
      <c r="E93" s="86">
        <v>1000000</v>
      </c>
      <c r="F93" s="85"/>
      <c r="G93" s="85" t="s">
        <v>378</v>
      </c>
      <c r="H93" s="247">
        <f t="shared" si="10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7"/>
      <c r="B94" s="245"/>
      <c r="C94" s="496"/>
      <c r="D94" s="85" t="s">
        <v>429</v>
      </c>
      <c r="E94" s="86">
        <v>1000000</v>
      </c>
      <c r="F94" s="85"/>
      <c r="G94" s="85" t="s">
        <v>378</v>
      </c>
      <c r="H94" s="247">
        <f t="shared" si="10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7"/>
      <c r="B95" s="245"/>
      <c r="C95" s="496"/>
      <c r="D95" s="85" t="s">
        <v>432</v>
      </c>
      <c r="E95" s="313">
        <v>6000000</v>
      </c>
      <c r="F95" s="85"/>
      <c r="G95" s="85" t="s">
        <v>378</v>
      </c>
      <c r="H95" s="247">
        <f t="shared" si="10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7"/>
      <c r="B96" s="245"/>
      <c r="C96" s="496"/>
      <c r="D96" s="85" t="s">
        <v>388</v>
      </c>
      <c r="E96" s="313">
        <v>2000000</v>
      </c>
      <c r="F96" s="85"/>
      <c r="G96" s="85" t="s">
        <v>378</v>
      </c>
      <c r="H96" s="247">
        <f t="shared" si="10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7"/>
      <c r="B97" s="245"/>
      <c r="C97" s="496"/>
      <c r="D97" s="85" t="s">
        <v>482</v>
      </c>
      <c r="E97" s="86">
        <v>2000000</v>
      </c>
      <c r="F97" s="85"/>
      <c r="G97" s="85" t="s">
        <v>378</v>
      </c>
      <c r="H97" s="247">
        <f t="shared" si="10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7"/>
      <c r="B98" s="245"/>
      <c r="C98" s="497"/>
      <c r="D98" s="85"/>
      <c r="E98" s="86"/>
      <c r="F98" s="85"/>
      <c r="G98" s="85"/>
      <c r="H98" s="247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6"/>
      <c r="B99" s="499" t="s">
        <v>271</v>
      </c>
      <c r="C99" s="92"/>
      <c r="D99" s="85" t="s">
        <v>431</v>
      </c>
      <c r="E99" s="313">
        <v>6750000</v>
      </c>
      <c r="F99" s="85"/>
      <c r="G99" s="85" t="s">
        <v>378</v>
      </c>
      <c r="H99" s="247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6"/>
      <c r="B100" s="456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6"/>
      <c r="B101" s="456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6"/>
      <c r="B102" s="456"/>
      <c r="C102" s="92"/>
      <c r="D102" s="85">
        <v>4</v>
      </c>
      <c r="E102" s="86"/>
      <c r="F102" s="85"/>
      <c r="G102" s="85" t="s">
        <v>379</v>
      </c>
      <c r="H102" s="86">
        <f t="shared" si="10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6"/>
      <c r="B103" s="458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6"/>
      <c r="B104" s="499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7">
        <f t="shared" ref="H104:H107" si="11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6"/>
      <c r="B105" s="456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1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6"/>
      <c r="B106" s="456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1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6"/>
      <c r="B107" s="458"/>
      <c r="C107" s="92"/>
      <c r="D107" s="85" t="s">
        <v>465</v>
      </c>
      <c r="E107" s="313">
        <v>2000000</v>
      </c>
      <c r="F107" s="85"/>
      <c r="G107" s="85" t="s">
        <v>378</v>
      </c>
      <c r="H107" s="86">
        <f t="shared" si="11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6"/>
      <c r="B108" s="499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6"/>
      <c r="B109" s="456"/>
      <c r="C109" s="92" t="s">
        <v>283</v>
      </c>
      <c r="D109" s="85" t="s">
        <v>284</v>
      </c>
      <c r="E109" s="313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6"/>
      <c r="B110" s="456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6"/>
      <c r="B111" s="456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6"/>
      <c r="B112" s="456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6"/>
      <c r="B113" s="458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6"/>
      <c r="B114" s="487" t="s">
        <v>21</v>
      </c>
      <c r="C114" s="470"/>
      <c r="D114" s="471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6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6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6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6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6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6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6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56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6"/>
      <c r="B123" s="487" t="s">
        <v>21</v>
      </c>
      <c r="C123" s="470"/>
      <c r="D123" s="471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6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6"/>
      <c r="B125" s="487" t="s">
        <v>21</v>
      </c>
      <c r="C125" s="470"/>
      <c r="D125" s="471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56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56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2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56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2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56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2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56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2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6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385</v>
      </c>
      <c r="H131" s="86">
        <f t="shared" si="12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7"/>
      <c r="B132" s="85"/>
      <c r="C132" s="11" t="s">
        <v>397</v>
      </c>
      <c r="D132" s="85"/>
      <c r="E132" s="120">
        <f>예산!F167</f>
        <v>700000</v>
      </c>
      <c r="F132" s="85"/>
      <c r="G132" s="85" t="s">
        <v>385</v>
      </c>
      <c r="H132" s="86">
        <f t="shared" si="12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7"/>
      <c r="B133" s="85"/>
      <c r="C133" s="11" t="s">
        <v>396</v>
      </c>
      <c r="D133" s="85"/>
      <c r="E133" s="259">
        <f>예산!F166</f>
        <v>990000</v>
      </c>
      <c r="F133" s="237"/>
      <c r="G133" s="237" t="s">
        <v>385</v>
      </c>
      <c r="H133" s="260">
        <f t="shared" si="12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7"/>
      <c r="B134" s="85"/>
      <c r="D134" s="256"/>
      <c r="E134" s="264"/>
      <c r="F134" s="238"/>
      <c r="G134" s="238"/>
      <c r="H134" s="265"/>
      <c r="I134" s="258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56"/>
      <c r="B135" s="85"/>
      <c r="C135" s="11" t="s">
        <v>196</v>
      </c>
      <c r="D135" s="255"/>
      <c r="E135" s="265">
        <f>예산!$G179</f>
        <v>20000000</v>
      </c>
      <c r="F135" s="238"/>
      <c r="G135" s="238" t="s">
        <v>238</v>
      </c>
      <c r="H135" s="265">
        <f>E135</f>
        <v>20000000</v>
      </c>
      <c r="I135" s="258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56"/>
      <c r="B136" s="85"/>
      <c r="C136" s="14" t="s">
        <v>197</v>
      </c>
      <c r="D136" s="255"/>
      <c r="E136" s="265">
        <f>예산!$G180</f>
        <v>0</v>
      </c>
      <c r="F136" s="238"/>
      <c r="G136" s="238" t="s">
        <v>237</v>
      </c>
      <c r="H136" s="265">
        <f t="shared" ref="H136:H138" si="13">E136</f>
        <v>0</v>
      </c>
      <c r="I136" s="258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56"/>
      <c r="B137" s="85"/>
      <c r="C137" s="11" t="s">
        <v>199</v>
      </c>
      <c r="D137" s="255"/>
      <c r="E137" s="265">
        <f>예산!$G182</f>
        <v>10000000</v>
      </c>
      <c r="F137" s="238"/>
      <c r="G137" s="238" t="s">
        <v>238</v>
      </c>
      <c r="H137" s="265">
        <f t="shared" si="13"/>
        <v>10000000</v>
      </c>
      <c r="I137" s="258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56"/>
      <c r="B138" s="85"/>
      <c r="C138" s="92" t="s">
        <v>395</v>
      </c>
      <c r="D138" s="255"/>
      <c r="E138" s="266">
        <f>예산!G181</f>
        <v>516000</v>
      </c>
      <c r="F138" s="238"/>
      <c r="G138" s="238" t="s">
        <v>373</v>
      </c>
      <c r="H138" s="265">
        <f t="shared" si="13"/>
        <v>516000</v>
      </c>
      <c r="I138" s="258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56"/>
      <c r="B139" s="85"/>
      <c r="C139" s="216" t="s">
        <v>427</v>
      </c>
      <c r="D139" s="257"/>
      <c r="E139" s="264">
        <f>예산!G174</f>
        <v>11062500</v>
      </c>
      <c r="F139" s="264"/>
      <c r="G139" s="218" t="s">
        <v>378</v>
      </c>
      <c r="H139" s="264">
        <f>E139</f>
        <v>11062500</v>
      </c>
      <c r="I139" s="258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7"/>
      <c r="B140" s="255"/>
      <c r="C140" s="216" t="s">
        <v>426</v>
      </c>
      <c r="D140" s="257"/>
      <c r="E140" s="264">
        <f>예산!G175</f>
        <v>6734000</v>
      </c>
      <c r="F140" s="264"/>
      <c r="G140" s="218" t="s">
        <v>378</v>
      </c>
      <c r="H140" s="264">
        <f>E140</f>
        <v>6734000</v>
      </c>
      <c r="I140" s="258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56"/>
      <c r="B141" s="487" t="s">
        <v>21</v>
      </c>
      <c r="C141" s="470"/>
      <c r="D141" s="471"/>
      <c r="E141" s="261">
        <f>예산!G183</f>
        <v>85744670</v>
      </c>
      <c r="F141" s="262"/>
      <c r="G141" s="263"/>
      <c r="H141" s="261">
        <f>SUM(H126:H140)</f>
        <v>83069930</v>
      </c>
      <c r="I141" s="90"/>
      <c r="J141" s="89"/>
      <c r="K141" s="91">
        <f>H141/E141</f>
        <v>0.96880575783894207</v>
      </c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56"/>
      <c r="B142" s="85" t="s">
        <v>116</v>
      </c>
      <c r="C142" s="11" t="s">
        <v>118</v>
      </c>
      <c r="D142" s="85"/>
      <c r="E142" s="86">
        <f>예산!$G187</f>
        <v>1000000</v>
      </c>
      <c r="F142" s="85"/>
      <c r="G142" s="85" t="s">
        <v>234</v>
      </c>
      <c r="H142" s="86">
        <f>예산!$G187</f>
        <v>1000000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56"/>
      <c r="B143" s="85"/>
      <c r="C143" s="11" t="s">
        <v>119</v>
      </c>
      <c r="D143" s="85"/>
      <c r="E143" s="86">
        <f>예산!$G188</f>
        <v>100000</v>
      </c>
      <c r="F143" s="85"/>
      <c r="G143" s="85" t="s">
        <v>234</v>
      </c>
      <c r="H143" s="86">
        <f>예산!$G188</f>
        <v>100000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56"/>
      <c r="B144" s="85"/>
      <c r="C144" s="26" t="s">
        <v>120</v>
      </c>
      <c r="D144" s="85"/>
      <c r="E144" s="86"/>
      <c r="F144" s="85"/>
      <c r="G144" s="85"/>
      <c r="H144" s="86"/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56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56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56"/>
      <c r="B147" s="487" t="s">
        <v>21</v>
      </c>
      <c r="C147" s="470"/>
      <c r="D147" s="471"/>
      <c r="E147" s="88">
        <f>예산!G192</f>
        <v>1524100</v>
      </c>
      <c r="F147" s="94"/>
      <c r="G147" s="89"/>
      <c r="H147" s="88">
        <f>SUM(H142:H146)</f>
        <v>1100000</v>
      </c>
      <c r="I147" s="90"/>
      <c r="J147" s="89"/>
      <c r="K147" s="91">
        <f>H147/E147</f>
        <v>0.72173741880454034</v>
      </c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56"/>
      <c r="B148" s="85" t="s">
        <v>200</v>
      </c>
      <c r="C148" s="92"/>
      <c r="D148" s="85"/>
      <c r="E148" s="86">
        <f>예산!$G196</f>
        <v>150000</v>
      </c>
      <c r="F148" s="85"/>
      <c r="G148" s="85" t="s">
        <v>239</v>
      </c>
      <c r="H148" s="86">
        <f>예산!$G196</f>
        <v>150000</v>
      </c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56"/>
      <c r="B149" s="487" t="s">
        <v>21</v>
      </c>
      <c r="C149" s="470"/>
      <c r="D149" s="471"/>
      <c r="E149" s="88">
        <f>E148</f>
        <v>150000</v>
      </c>
      <c r="F149" s="94"/>
      <c r="G149" s="89"/>
      <c r="H149" s="88">
        <f>H148</f>
        <v>150000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56"/>
      <c r="B150" s="85" t="s">
        <v>121</v>
      </c>
      <c r="C150" s="11" t="s">
        <v>124</v>
      </c>
      <c r="D150" s="11" t="s">
        <v>201</v>
      </c>
      <c r="E150" s="86">
        <f>예산!$G201</f>
        <v>900000</v>
      </c>
      <c r="F150" s="85"/>
      <c r="G150" s="85" t="s">
        <v>379</v>
      </c>
      <c r="H150" s="86">
        <f>예산!$G201</f>
        <v>900000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56"/>
      <c r="B151" s="85"/>
      <c r="C151" s="11" t="s">
        <v>202</v>
      </c>
      <c r="D151" s="11" t="s">
        <v>203</v>
      </c>
      <c r="E151" s="86">
        <f>예산!$G202</f>
        <v>100000</v>
      </c>
      <c r="F151" s="85"/>
      <c r="G151" s="85" t="s">
        <v>234</v>
      </c>
      <c r="H151" s="86">
        <f>예산!$G202</f>
        <v>100000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56"/>
      <c r="B152" s="85"/>
      <c r="C152" s="11" t="s">
        <v>204</v>
      </c>
      <c r="D152" s="11" t="s">
        <v>205</v>
      </c>
      <c r="E152" s="86">
        <f>예산!$G203</f>
        <v>8829000</v>
      </c>
      <c r="F152" s="85"/>
      <c r="G152" s="85" t="s">
        <v>385</v>
      </c>
      <c r="H152" s="86">
        <f>예산!$G203</f>
        <v>8829000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56"/>
      <c r="B153" s="85"/>
      <c r="C153" s="11" t="s">
        <v>206</v>
      </c>
      <c r="D153" s="11" t="s">
        <v>207</v>
      </c>
      <c r="E153" s="86">
        <f>예산!$G204</f>
        <v>1830000</v>
      </c>
      <c r="F153" s="85"/>
      <c r="G153" s="85" t="s">
        <v>379</v>
      </c>
      <c r="H153" s="86">
        <f>예산!$G204</f>
        <v>1830000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56"/>
      <c r="B154" s="85"/>
      <c r="C154" s="92"/>
      <c r="D154" s="85"/>
      <c r="E154" s="86"/>
      <c r="F154" s="85"/>
      <c r="G154" s="85"/>
      <c r="H154" s="86"/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56"/>
      <c r="B155" s="85"/>
      <c r="C155" s="92"/>
      <c r="D155" s="85"/>
      <c r="E155" s="86"/>
      <c r="F155" s="85"/>
      <c r="G155" s="85"/>
      <c r="H155" s="86"/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56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56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56"/>
      <c r="B158" s="487" t="s">
        <v>21</v>
      </c>
      <c r="C158" s="470"/>
      <c r="D158" s="471"/>
      <c r="E158" s="88">
        <f>예산!G205</f>
        <v>11659000</v>
      </c>
      <c r="F158" s="94"/>
      <c r="G158" s="89"/>
      <c r="H158" s="88">
        <f>SUM(H150:H157)</f>
        <v>11659000</v>
      </c>
      <c r="I158" s="90"/>
      <c r="J158" s="89"/>
      <c r="K158" s="91">
        <f>H158/E158</f>
        <v>1</v>
      </c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56"/>
      <c r="B159" s="85" t="s">
        <v>274</v>
      </c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56"/>
      <c r="B160" s="85"/>
      <c r="C160" s="27" t="s">
        <v>209</v>
      </c>
      <c r="D160" s="85"/>
      <c r="E160" s="86">
        <f>예산!$G209</f>
        <v>25000</v>
      </c>
      <c r="F160" s="85"/>
      <c r="G160" s="85" t="s">
        <v>239</v>
      </c>
      <c r="H160" s="86">
        <f>예산!$G209</f>
        <v>25000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56"/>
      <c r="B161" s="85"/>
      <c r="C161" s="27" t="s">
        <v>210</v>
      </c>
      <c r="D161" s="85"/>
      <c r="E161" s="86">
        <f>예산!$G210</f>
        <v>2043000</v>
      </c>
      <c r="F161" s="85"/>
      <c r="G161" s="85" t="s">
        <v>239</v>
      </c>
      <c r="H161" s="86">
        <f>예산!$G210</f>
        <v>2043000</v>
      </c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56"/>
      <c r="B162" s="487" t="s">
        <v>21</v>
      </c>
      <c r="C162" s="470"/>
      <c r="D162" s="471"/>
      <c r="E162" s="88">
        <f>예산!G211</f>
        <v>2068000</v>
      </c>
      <c r="F162" s="94"/>
      <c r="G162" s="89"/>
      <c r="H162" s="88">
        <f>SUM(H159:H161)</f>
        <v>2068000</v>
      </c>
      <c r="I162" s="90"/>
      <c r="J162" s="89"/>
      <c r="K162" s="91">
        <f>H162/E162</f>
        <v>1</v>
      </c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56"/>
      <c r="B163" s="85" t="s">
        <v>211</v>
      </c>
      <c r="C163" s="11" t="s">
        <v>212</v>
      </c>
      <c r="D163" s="11" t="s">
        <v>213</v>
      </c>
      <c r="E163" s="86">
        <f>예산!$G215</f>
        <v>3430000</v>
      </c>
      <c r="F163" s="85"/>
      <c r="G163" s="85" t="s">
        <v>234</v>
      </c>
      <c r="H163" s="86">
        <f>예산!$G215</f>
        <v>3430000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56"/>
      <c r="B164" s="85"/>
      <c r="C164" s="26" t="s">
        <v>214</v>
      </c>
      <c r="D164" s="11" t="s">
        <v>215</v>
      </c>
      <c r="E164" s="86">
        <f>예산!$G216</f>
        <v>1087800</v>
      </c>
      <c r="F164" s="85"/>
      <c r="G164" s="85" t="s">
        <v>231</v>
      </c>
      <c r="H164" s="86">
        <f>예산!$G216</f>
        <v>1087800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56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56"/>
      <c r="B166" s="487" t="s">
        <v>21</v>
      </c>
      <c r="C166" s="470"/>
      <c r="D166" s="471"/>
      <c r="E166" s="88">
        <f>예산!G217</f>
        <v>4517800</v>
      </c>
      <c r="F166" s="94"/>
      <c r="G166" s="89"/>
      <c r="H166" s="88">
        <f>SUM(H163:H165)</f>
        <v>4517800</v>
      </c>
      <c r="I166" s="90"/>
      <c r="J166" s="89"/>
      <c r="K166" s="91">
        <f>H166/E166</f>
        <v>1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56"/>
      <c r="B167" s="85" t="s">
        <v>135</v>
      </c>
      <c r="C167" s="92" t="s">
        <v>285</v>
      </c>
      <c r="D167" s="85"/>
      <c r="E167" s="86">
        <f>예산!$G221</f>
        <v>151120240</v>
      </c>
      <c r="F167" s="85"/>
      <c r="G167" s="85" t="s">
        <v>232</v>
      </c>
      <c r="H167" s="86">
        <f>예산!$G221</f>
        <v>151120240</v>
      </c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56"/>
      <c r="B168" s="85"/>
      <c r="C168" s="92" t="s">
        <v>286</v>
      </c>
      <c r="D168" s="85"/>
      <c r="E168" s="86">
        <f>예산!$G222</f>
        <v>186772440</v>
      </c>
      <c r="F168" s="85"/>
      <c r="G168" s="85" t="s">
        <v>385</v>
      </c>
      <c r="H168" s="86">
        <f>예산!$G222</f>
        <v>186772440</v>
      </c>
      <c r="I168" s="87"/>
      <c r="J168" s="85"/>
      <c r="K168" s="93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56"/>
      <c r="B169" s="85"/>
      <c r="C169" s="92" t="s">
        <v>158</v>
      </c>
      <c r="D169" s="85"/>
      <c r="E169" s="86">
        <f>예산!$G223</f>
        <v>12743500</v>
      </c>
      <c r="F169" s="85"/>
      <c r="G169" s="85" t="s">
        <v>230</v>
      </c>
      <c r="H169" s="86">
        <f>예산!$G223</f>
        <v>12743500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56"/>
      <c r="B170" s="487" t="s">
        <v>21</v>
      </c>
      <c r="C170" s="470"/>
      <c r="D170" s="471"/>
      <c r="E170" s="88">
        <f>예산!G226</f>
        <v>350636180</v>
      </c>
      <c r="F170" s="94"/>
      <c r="G170" s="89"/>
      <c r="H170" s="88">
        <f>SUM(H167:H169)</f>
        <v>350636180</v>
      </c>
      <c r="I170" s="90"/>
      <c r="J170" s="89"/>
      <c r="K170" s="91">
        <f>H170/E170</f>
        <v>1</v>
      </c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56"/>
      <c r="B171" s="85" t="s">
        <v>143</v>
      </c>
      <c r="C171" s="92" t="s">
        <v>223</v>
      </c>
      <c r="D171" s="85"/>
      <c r="E171" s="86"/>
      <c r="F171" s="85"/>
      <c r="G171" s="85" t="s">
        <v>232</v>
      </c>
      <c r="H171" s="86">
        <f>SUM(예산!$G$240:$G$243)</f>
        <v>3600000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56"/>
      <c r="B172" s="85"/>
      <c r="C172" s="11" t="s">
        <v>220</v>
      </c>
      <c r="D172" s="18" t="s">
        <v>221</v>
      </c>
      <c r="E172" s="86"/>
      <c r="F172" s="85"/>
      <c r="G172" s="85" t="s">
        <v>232</v>
      </c>
      <c r="H172" s="86">
        <f>SUM(예산!$G$236:$G$239)</f>
        <v>1000000</v>
      </c>
      <c r="I172" s="87"/>
      <c r="J172" s="85"/>
      <c r="K172" s="93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56"/>
      <c r="B173" s="85"/>
      <c r="C173" s="11" t="s">
        <v>443</v>
      </c>
      <c r="D173" s="18" t="s">
        <v>222</v>
      </c>
      <c r="E173" s="86"/>
      <c r="F173" s="85"/>
      <c r="G173" s="85" t="s">
        <v>232</v>
      </c>
      <c r="H173" s="86">
        <f>SUM(예산!G244)</f>
        <v>2700000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56"/>
      <c r="B174" s="85"/>
      <c r="C174" s="92"/>
      <c r="D174" s="85"/>
      <c r="E174" s="86"/>
      <c r="F174" s="85"/>
      <c r="G174" s="85"/>
      <c r="H174" s="86"/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58"/>
      <c r="B175" s="487" t="s">
        <v>21</v>
      </c>
      <c r="C175" s="470"/>
      <c r="D175" s="471"/>
      <c r="E175" s="88">
        <f>예산!G250</f>
        <v>18700000</v>
      </c>
      <c r="F175" s="94"/>
      <c r="G175" s="89"/>
      <c r="H175" s="95">
        <f>SUM(H171:H174)</f>
        <v>7300000</v>
      </c>
      <c r="I175" s="90"/>
      <c r="J175" s="89"/>
      <c r="K175" s="91">
        <f>H175/E175</f>
        <v>0.39037433155080214</v>
      </c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88" t="s">
        <v>275</v>
      </c>
      <c r="B176" s="489"/>
      <c r="C176" s="96">
        <f>예산!G128</f>
        <v>1161205494</v>
      </c>
      <c r="D176" s="107"/>
      <c r="E176" s="108">
        <f>SUM(E175,E166,E162,E158,E149,E147,E141,E125,E123,E114,E170)</f>
        <v>1161205494</v>
      </c>
      <c r="F176" s="109">
        <f>SUM(E175,E170,E166,E162,E158,E149,E147,E141,E123,E125)</f>
        <v>478205494</v>
      </c>
      <c r="G176" s="110"/>
      <c r="H176" s="101">
        <f>SUM(H175,H170,H166,H162,H158,H149,H147,H141,H125,H123,H114)</f>
        <v>1143784654</v>
      </c>
      <c r="I176" s="485"/>
      <c r="J176" s="486"/>
      <c r="K176" s="102">
        <f t="shared" ref="K176:K177" si="14">H176/C176</f>
        <v>0.984997625235142</v>
      </c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111" t="s">
        <v>276</v>
      </c>
      <c r="B177" s="112"/>
      <c r="C177" s="113">
        <f>SUM(C176,C68,C48,C31,C18)</f>
        <v>2914526142.4000001</v>
      </c>
      <c r="D177" s="112"/>
      <c r="E177" s="114"/>
      <c r="F177" s="112"/>
      <c r="G177" s="112"/>
      <c r="H177" s="115">
        <f>SUM(H176,H68,H48,H31,H18)</f>
        <v>2862046302.4000001</v>
      </c>
      <c r="I177" s="116"/>
      <c r="J177" s="112"/>
      <c r="K177" s="117">
        <f t="shared" si="14"/>
        <v>0.98199369728185559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5:D175"/>
    <mergeCell ref="B147:D147"/>
    <mergeCell ref="B141:D141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6:J176"/>
    <mergeCell ref="B166:D166"/>
    <mergeCell ref="A176:B176"/>
    <mergeCell ref="A68:B68"/>
    <mergeCell ref="I68:J68"/>
    <mergeCell ref="B89:B91"/>
    <mergeCell ref="B162:D162"/>
    <mergeCell ref="B114:D114"/>
    <mergeCell ref="B123:D123"/>
    <mergeCell ref="B125:D125"/>
    <mergeCell ref="B149:D149"/>
    <mergeCell ref="B158:D158"/>
    <mergeCell ref="C93:C98"/>
    <mergeCell ref="A69:A175"/>
    <mergeCell ref="B99:B103"/>
    <mergeCell ref="B170:D170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53" t="s">
        <v>291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</row>
    <row r="2" spans="1:15" ht="17.25" customHeight="1">
      <c r="A2" s="555" t="s">
        <v>292</v>
      </c>
      <c r="B2" s="558" t="s">
        <v>293</v>
      </c>
      <c r="C2" s="559"/>
      <c r="D2" s="559"/>
      <c r="E2" s="559"/>
      <c r="F2" s="559"/>
      <c r="G2" s="560"/>
      <c r="H2" s="129" t="s">
        <v>294</v>
      </c>
      <c r="I2" s="562" t="s">
        <v>295</v>
      </c>
      <c r="J2" s="559"/>
      <c r="K2" s="563"/>
      <c r="M2" s="130"/>
    </row>
    <row r="3" spans="1:15" ht="16.5" customHeight="1">
      <c r="A3" s="556"/>
      <c r="B3" s="468"/>
      <c r="C3" s="561"/>
      <c r="D3" s="561"/>
      <c r="E3" s="561"/>
      <c r="F3" s="561"/>
      <c r="G3" s="547"/>
      <c r="H3" s="131" t="s">
        <v>296</v>
      </c>
      <c r="I3" s="468"/>
      <c r="J3" s="561"/>
      <c r="K3" s="564"/>
      <c r="M3" s="565" t="s">
        <v>297</v>
      </c>
    </row>
    <row r="4" spans="1:15" ht="16.5" customHeight="1">
      <c r="A4" s="556"/>
      <c r="B4" s="132" t="s">
        <v>298</v>
      </c>
      <c r="C4" s="566" t="s">
        <v>299</v>
      </c>
      <c r="D4" s="133" t="s">
        <v>300</v>
      </c>
      <c r="E4" s="566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63"/>
    </row>
    <row r="5" spans="1:15" ht="16.5" customHeight="1">
      <c r="A5" s="557"/>
      <c r="B5" s="136" t="s">
        <v>306</v>
      </c>
      <c r="C5" s="458"/>
      <c r="D5" s="137" t="s">
        <v>307</v>
      </c>
      <c r="E5" s="458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63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95.548349818472744</v>
      </c>
      <c r="I6" s="147"/>
      <c r="J6" s="148" t="s">
        <v>313</v>
      </c>
      <c r="K6" s="149"/>
      <c r="M6" s="463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5.9425023675916195</v>
      </c>
      <c r="I7" s="153"/>
      <c r="J7" s="148" t="s">
        <v>313</v>
      </c>
      <c r="K7" s="154"/>
      <c r="M7" s="463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179</v>
      </c>
      <c r="G8" s="152">
        <f t="shared" si="0"/>
        <v>179</v>
      </c>
      <c r="H8" s="146">
        <f t="shared" si="1"/>
        <v>5.6307927312977544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49.967770345886379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2.7852712799346757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1161.205494</v>
      </c>
      <c r="G11" s="158">
        <f t="shared" si="0"/>
        <v>1161.205494</v>
      </c>
      <c r="H11" s="146">
        <f t="shared" si="1"/>
        <v>30.644820895462498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2914.5261424</v>
      </c>
      <c r="G12" s="165">
        <f t="shared" si="2"/>
        <v>2914.5261424</v>
      </c>
      <c r="H12" s="166">
        <f t="shared" si="2"/>
        <v>94.971157620172932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5.0288423798270738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5.0288423798270738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3070.1261423999999</v>
      </c>
      <c r="G15" s="179">
        <f t="shared" si="4"/>
        <v>3070.1261423999999</v>
      </c>
      <c r="H15" s="180">
        <f t="shared" si="4"/>
        <v>100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41" t="s">
        <v>318</v>
      </c>
      <c r="B17" s="463"/>
      <c r="C17" s="542">
        <f>SUM(B15,D15,F15,G15)</f>
        <v>14509.502284800001</v>
      </c>
      <c r="D17" s="463"/>
      <c r="E17" s="463"/>
      <c r="F17" s="463"/>
      <c r="G17" s="463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45" t="s">
        <v>8</v>
      </c>
      <c r="B20" s="546"/>
      <c r="C20" s="543" t="s">
        <v>319</v>
      </c>
      <c r="D20" s="543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68"/>
      <c r="B21" s="547"/>
      <c r="C21" s="458"/>
      <c r="D21" s="458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40">
        <f>SUM(C22:D28)</f>
        <v>104005000</v>
      </c>
      <c r="H22" s="540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63"/>
      <c r="H23" s="463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43" t="s">
        <v>84</v>
      </c>
      <c r="B24" s="543" t="s">
        <v>321</v>
      </c>
      <c r="C24" s="551">
        <v>39000000</v>
      </c>
      <c r="D24" s="552"/>
      <c r="E24" s="186">
        <f t="shared" si="5"/>
        <v>39000000</v>
      </c>
      <c r="F24" s="540">
        <f>SUM(E24:E28)</f>
        <v>89205000</v>
      </c>
      <c r="G24" s="463"/>
      <c r="H24" s="463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56"/>
      <c r="B25" s="458"/>
      <c r="C25" s="458"/>
      <c r="D25" s="458"/>
      <c r="E25" s="186">
        <f t="shared" si="5"/>
        <v>0</v>
      </c>
      <c r="F25" s="463"/>
      <c r="G25" s="463"/>
      <c r="H25" s="463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56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63"/>
      <c r="G26" s="463"/>
      <c r="H26" s="463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56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63"/>
      <c r="G27" s="463"/>
      <c r="H27" s="463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58"/>
      <c r="B28" s="187" t="s">
        <v>179</v>
      </c>
      <c r="C28" s="188">
        <v>6000000</v>
      </c>
      <c r="D28" s="189"/>
      <c r="E28" s="186">
        <f t="shared" si="5"/>
        <v>6000000</v>
      </c>
      <c r="F28" s="463"/>
      <c r="G28" s="463"/>
      <c r="H28" s="463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44" t="s">
        <v>315</v>
      </c>
      <c r="B29" s="471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63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40" t="s">
        <v>22</v>
      </c>
      <c r="B31" s="463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48" t="s">
        <v>322</v>
      </c>
      <c r="B32" s="463"/>
      <c r="C32" s="194">
        <v>61800000</v>
      </c>
      <c r="D32" s="195">
        <f>37500000+13330000</f>
        <v>50830000</v>
      </c>
      <c r="E32" s="549" t="s">
        <v>323</v>
      </c>
      <c r="F32" s="463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0" t="s">
        <v>324</v>
      </c>
      <c r="B36" s="463"/>
      <c r="C36" s="463"/>
      <c r="D36" s="463"/>
      <c r="E36" s="463"/>
      <c r="F36" s="463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53" t="s">
        <v>325</v>
      </c>
      <c r="B1" s="554"/>
      <c r="C1" s="554"/>
      <c r="D1" s="554"/>
      <c r="E1" s="554"/>
      <c r="F1" s="554"/>
      <c r="G1" s="554"/>
      <c r="H1" s="554"/>
    </row>
    <row r="2" spans="1:8" ht="24.75" customHeight="1">
      <c r="A2" s="577" t="s">
        <v>292</v>
      </c>
      <c r="B2" s="560"/>
      <c r="C2" s="579" t="s">
        <v>326</v>
      </c>
      <c r="D2" s="129" t="s">
        <v>296</v>
      </c>
      <c r="E2" s="580" t="s">
        <v>299</v>
      </c>
      <c r="F2" s="581" t="s">
        <v>295</v>
      </c>
      <c r="G2" s="582"/>
      <c r="H2" s="583"/>
    </row>
    <row r="3" spans="1:8" ht="24.75" customHeight="1">
      <c r="A3" s="578"/>
      <c r="B3" s="547"/>
      <c r="C3" s="458"/>
      <c r="D3" s="137" t="s">
        <v>303</v>
      </c>
      <c r="E3" s="458"/>
      <c r="F3" s="196" t="s">
        <v>327</v>
      </c>
      <c r="G3" s="196" t="s">
        <v>328</v>
      </c>
      <c r="H3" s="197" t="s">
        <v>329</v>
      </c>
    </row>
    <row r="4" spans="1:8" ht="24.75" customHeight="1">
      <c r="A4" s="576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3.9457257709060305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57"/>
      <c r="B5" s="170" t="s">
        <v>26</v>
      </c>
      <c r="C5" s="171">
        <f>예산!G19/1000000</f>
        <v>93.36</v>
      </c>
      <c r="D5" s="198">
        <f t="shared" si="0"/>
        <v>3.04091739784405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68" t="s">
        <v>21</v>
      </c>
      <c r="B6" s="471"/>
      <c r="C6" s="165">
        <f>SUM(C4,C5)</f>
        <v>214.49875839999999</v>
      </c>
      <c r="D6" s="199">
        <f t="shared" ref="D6:F6" si="1">SUM(D4:D5)</f>
        <v>6.9866431687500805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179</v>
      </c>
      <c r="D7" s="202">
        <f>(C7/$C$27)*100</f>
        <v>5.8303793296281592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68" t="s">
        <v>21</v>
      </c>
      <c r="B8" s="471"/>
      <c r="C8" s="165">
        <f t="shared" ref="C8:D8" si="2">SUM(C7)</f>
        <v>179</v>
      </c>
      <c r="D8" s="199">
        <f t="shared" si="2"/>
        <v>5.8303793296281592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76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40.707851470331171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57"/>
      <c r="B10" s="170" t="s">
        <v>56</v>
      </c>
      <c r="C10" s="171">
        <f>예산!G90/1000000</f>
        <v>2</v>
      </c>
      <c r="D10" s="198">
        <f t="shared" si="3"/>
        <v>6.5143903124336974E-2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3.5190573608009021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76" t="s">
        <v>332</v>
      </c>
      <c r="B12" s="170" t="s">
        <v>86</v>
      </c>
      <c r="C12" s="171">
        <f>예산!G140/1000000</f>
        <v>683</v>
      </c>
      <c r="D12" s="198">
        <f t="shared" si="3"/>
        <v>22.246642916961076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56"/>
      <c r="B13" s="170" t="s">
        <v>94</v>
      </c>
      <c r="C13" s="171">
        <f>예산!G153/1000000</f>
        <v>3.2057440000000001</v>
      </c>
      <c r="D13" s="198">
        <f t="shared" si="3"/>
        <v>0.10441733828871226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56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56"/>
      <c r="B15" s="170" t="s">
        <v>100</v>
      </c>
      <c r="C15" s="171">
        <f>예산!G183/1000000</f>
        <v>85.744669999999999</v>
      </c>
      <c r="D15" s="198">
        <f t="shared" si="3"/>
        <v>2.7928712379541212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56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56"/>
      <c r="B17" s="170" t="s">
        <v>116</v>
      </c>
      <c r="C17" s="171">
        <f>예산!G192/1000000</f>
        <v>1.5241</v>
      </c>
      <c r="D17" s="198">
        <f t="shared" si="3"/>
        <v>4.9642911375900989E-2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56"/>
      <c r="B18" s="170" t="s">
        <v>200</v>
      </c>
      <c r="C18" s="171">
        <f>예산!G197/1000000</f>
        <v>0.15</v>
      </c>
      <c r="D18" s="198">
        <f t="shared" si="3"/>
        <v>4.8857927343252732E-3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56"/>
      <c r="B19" s="170" t="s">
        <v>121</v>
      </c>
      <c r="C19" s="171">
        <f>예산!G205/1000000</f>
        <v>11.659000000000001</v>
      </c>
      <c r="D19" s="198">
        <f t="shared" si="3"/>
        <v>0.37975638326332239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56"/>
      <c r="B20" s="170" t="s">
        <v>333</v>
      </c>
      <c r="C20" s="171">
        <f>예산!G211/1000000</f>
        <v>2.0680000000000001</v>
      </c>
      <c r="D20" s="198">
        <f t="shared" si="3"/>
        <v>6.7358795830564422E-2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56"/>
      <c r="B21" s="170" t="s">
        <v>135</v>
      </c>
      <c r="C21" s="171">
        <f>예산!G226/1000000</f>
        <v>350.63618000000002</v>
      </c>
      <c r="D21" s="198">
        <f t="shared" si="3"/>
        <v>11.420904670903791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56"/>
      <c r="B22" s="170" t="s">
        <v>211</v>
      </c>
      <c r="C22" s="171">
        <f>예산!G217/1000000</f>
        <v>4.5178000000000003</v>
      </c>
      <c r="D22" s="198">
        <f t="shared" si="3"/>
        <v>0.14715356276756481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57"/>
      <c r="B23" s="170" t="s">
        <v>143</v>
      </c>
      <c r="C23" s="171">
        <f>예산!G250/1000000</f>
        <v>18.7</v>
      </c>
      <c r="D23" s="198">
        <f t="shared" si="3"/>
        <v>0.60909549421255071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68" t="s">
        <v>21</v>
      </c>
      <c r="B24" s="471"/>
      <c r="C24" s="165">
        <f t="shared" ref="C24:F24" si="4">SUM(C9:C23)</f>
        <v>2521.0273840000004</v>
      </c>
      <c r="D24" s="199">
        <f t="shared" si="4"/>
        <v>82.114781838548339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69" t="s">
        <v>315</v>
      </c>
      <c r="B25" s="471"/>
      <c r="C25" s="171">
        <f>예산!C253/1000000</f>
        <v>155.6</v>
      </c>
      <c r="D25" s="198">
        <f>(C25/$C$27)*100</f>
        <v>5.068195663073416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68" t="s">
        <v>21</v>
      </c>
      <c r="B26" s="471"/>
      <c r="C26" s="165">
        <f t="shared" ref="C26:D26" si="5">SUM(C25)</f>
        <v>155.6</v>
      </c>
      <c r="D26" s="199">
        <f t="shared" si="5"/>
        <v>5.068195663073416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70" t="s">
        <v>316</v>
      </c>
      <c r="B27" s="571"/>
      <c r="C27" s="179">
        <f t="shared" ref="C27:D27" si="6">SUM(C6,C8,C24,C26)</f>
        <v>3070.1261424000004</v>
      </c>
      <c r="D27" s="205">
        <f t="shared" si="6"/>
        <v>99.999999999999986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67" t="s">
        <v>8</v>
      </c>
      <c r="B30" s="471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41">
        <f>SUM(E31:E37)</f>
        <v>88875000</v>
      </c>
    </row>
    <row r="32" spans="1:8" ht="54.75" customHeight="1">
      <c r="A32" s="572" t="s">
        <v>31</v>
      </c>
      <c r="B32" s="573"/>
      <c r="C32" s="574">
        <v>2000000</v>
      </c>
      <c r="D32" s="574">
        <v>0</v>
      </c>
      <c r="E32" s="575">
        <f>SUM(C32:D33)</f>
        <v>2000000</v>
      </c>
      <c r="G32" s="463"/>
    </row>
    <row r="33" spans="1:7" ht="16.5" customHeight="1">
      <c r="A33" s="458"/>
      <c r="B33" s="458"/>
      <c r="C33" s="458"/>
      <c r="D33" s="458"/>
      <c r="E33" s="465"/>
      <c r="G33" s="463"/>
    </row>
    <row r="34" spans="1:7" ht="16.5" customHeight="1">
      <c r="A34" s="572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41">
        <f>SUM(E34:E37)</f>
        <v>74875000</v>
      </c>
      <c r="G34" s="463"/>
    </row>
    <row r="35" spans="1:7" ht="16.5" customHeight="1">
      <c r="A35" s="456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63"/>
      <c r="G35" s="463"/>
    </row>
    <row r="36" spans="1:7" ht="16.5" customHeight="1">
      <c r="A36" s="456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63"/>
      <c r="G36" s="463"/>
    </row>
    <row r="37" spans="1:7" ht="16.5" customHeight="1">
      <c r="A37" s="458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63"/>
      <c r="G37" s="463"/>
    </row>
    <row r="38" spans="1:7" ht="16.5" customHeight="1">
      <c r="A38" s="567" t="s">
        <v>315</v>
      </c>
      <c r="B38" s="471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90" t="s">
        <v>416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22" t="s">
        <v>7</v>
      </c>
      <c r="Q2" s="471"/>
      <c r="R2" s="522" t="s">
        <v>244</v>
      </c>
      <c r="S2" s="471"/>
      <c r="T2" s="522" t="s">
        <v>31</v>
      </c>
      <c r="U2" s="471"/>
      <c r="V2" s="522" t="s">
        <v>72</v>
      </c>
      <c r="W2" s="471"/>
      <c r="X2" s="522" t="s">
        <v>84</v>
      </c>
      <c r="Y2" s="471"/>
      <c r="Z2" s="522" t="s">
        <v>245</v>
      </c>
      <c r="AA2" s="471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37" t="s">
        <v>248</v>
      </c>
      <c r="E3" s="538"/>
      <c r="F3" s="539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498" t="s">
        <v>7</v>
      </c>
      <c r="B4" s="499" t="s">
        <v>255</v>
      </c>
      <c r="C4" s="524">
        <f>예산!G14</f>
        <v>121138758.40000001</v>
      </c>
      <c r="D4" s="85" t="s">
        <v>15</v>
      </c>
      <c r="E4" s="535">
        <f>예산!G7</f>
        <v>5871208</v>
      </c>
      <c r="F4" s="471"/>
      <c r="G4" s="312" t="s">
        <v>229</v>
      </c>
      <c r="H4" s="313">
        <f>1192128+예산!E8</f>
        <v>2781628</v>
      </c>
      <c r="I4" s="87">
        <v>45776</v>
      </c>
      <c r="J4" s="85"/>
      <c r="K4" s="526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56"/>
      <c r="B5" s="456"/>
      <c r="C5" s="456"/>
      <c r="D5" s="85" t="s">
        <v>19</v>
      </c>
      <c r="E5" s="535">
        <f>예산!G8</f>
        <v>4768500</v>
      </c>
      <c r="F5" s="471"/>
      <c r="G5" s="312" t="s">
        <v>230</v>
      </c>
      <c r="H5" s="313">
        <f>예산!E7+예산!E8</f>
        <v>3405260</v>
      </c>
      <c r="I5" s="87"/>
      <c r="J5" s="85"/>
      <c r="K5" s="456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56"/>
      <c r="B6" s="456"/>
      <c r="C6" s="456"/>
      <c r="D6" s="85" t="s">
        <v>256</v>
      </c>
      <c r="E6" s="535">
        <f>예산!G10</f>
        <v>37350216</v>
      </c>
      <c r="F6" s="471"/>
      <c r="G6" s="312" t="s">
        <v>231</v>
      </c>
      <c r="H6" s="313">
        <f>SUM(예산!$E$7:$E$8)</f>
        <v>3405260</v>
      </c>
      <c r="I6" s="87"/>
      <c r="J6" s="85"/>
      <c r="K6" s="456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56"/>
      <c r="B7" s="456"/>
      <c r="C7" s="456"/>
      <c r="D7" s="85" t="s">
        <v>256</v>
      </c>
      <c r="E7" s="535">
        <f>예산!G11</f>
        <v>32681439</v>
      </c>
      <c r="F7" s="471"/>
      <c r="G7" s="312" t="s">
        <v>232</v>
      </c>
      <c r="H7" s="313">
        <f>SUM(예산!$E$9:$E$10)</f>
        <v>7119884.9249999998</v>
      </c>
      <c r="I7" s="87"/>
      <c r="J7" s="85"/>
      <c r="K7" s="45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56"/>
      <c r="B8" s="456"/>
      <c r="C8" s="456"/>
      <c r="D8" s="587"/>
      <c r="E8" s="588"/>
      <c r="F8" s="546"/>
      <c r="G8" s="312" t="s">
        <v>233</v>
      </c>
      <c r="H8" s="313">
        <f>SUM(예산!$E$9:$E$11)+1047560</f>
        <v>12836221.925000001</v>
      </c>
      <c r="I8" s="87"/>
      <c r="J8" s="85"/>
      <c r="K8" s="45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56"/>
      <c r="B9" s="456"/>
      <c r="C9" s="456"/>
      <c r="D9" s="465"/>
      <c r="E9" s="463"/>
      <c r="F9" s="589"/>
      <c r="G9" s="312" t="s">
        <v>234</v>
      </c>
      <c r="H9" s="313">
        <f>SUM(예산!$E$9:$E$12)</f>
        <v>15265083.925000001</v>
      </c>
      <c r="I9" s="87"/>
      <c r="J9" s="85"/>
      <c r="K9" s="45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56"/>
      <c r="B10" s="456"/>
      <c r="C10" s="456"/>
      <c r="D10" s="465"/>
      <c r="E10" s="463"/>
      <c r="F10" s="589"/>
      <c r="G10" s="85" t="s">
        <v>235</v>
      </c>
      <c r="H10" s="86">
        <f>SUM(예산!$E$9:$E$12)</f>
        <v>15265083.925000001</v>
      </c>
      <c r="I10" s="87"/>
      <c r="J10" s="85"/>
      <c r="K10" s="45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56"/>
      <c r="B11" s="456"/>
      <c r="C11" s="456"/>
      <c r="D11" s="465"/>
      <c r="E11" s="463"/>
      <c r="F11" s="589"/>
      <c r="G11" s="85" t="s">
        <v>236</v>
      </c>
      <c r="H11" s="86">
        <f>SUM(예산!$E$9:$E$12)</f>
        <v>15265083.925000001</v>
      </c>
      <c r="I11" s="87"/>
      <c r="J11" s="85"/>
      <c r="K11" s="45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56"/>
      <c r="B12" s="456"/>
      <c r="C12" s="456"/>
      <c r="D12" s="465"/>
      <c r="E12" s="463"/>
      <c r="F12" s="589"/>
      <c r="G12" s="85" t="s">
        <v>237</v>
      </c>
      <c r="H12" s="86">
        <f>SUM(예산!$E$9:$E$12)</f>
        <v>15265083.925000001</v>
      </c>
      <c r="I12" s="87"/>
      <c r="J12" s="85"/>
      <c r="K12" s="45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56"/>
      <c r="B13" s="456"/>
      <c r="C13" s="456"/>
      <c r="D13" s="465"/>
      <c r="E13" s="463"/>
      <c r="F13" s="589"/>
      <c r="G13" s="85" t="s">
        <v>383</v>
      </c>
      <c r="H13" s="86">
        <f>SUM(예산!$E$9:$E$12)</f>
        <v>15265083.925000001</v>
      </c>
      <c r="I13" s="87"/>
      <c r="J13" s="85"/>
      <c r="K13" s="45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56"/>
      <c r="B14" s="458"/>
      <c r="C14" s="458"/>
      <c r="D14" s="468"/>
      <c r="E14" s="561"/>
      <c r="F14" s="547"/>
      <c r="G14" s="85" t="s">
        <v>379</v>
      </c>
      <c r="H14" s="86">
        <f>SUM(예산!$E$9:$E$12)</f>
        <v>15265083.925000001</v>
      </c>
      <c r="I14" s="87"/>
      <c r="J14" s="85"/>
      <c r="K14" s="45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56"/>
      <c r="B15" s="487" t="s">
        <v>21</v>
      </c>
      <c r="C15" s="470"/>
      <c r="D15" s="471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56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8"/>
      <c r="B17" s="487" t="s">
        <v>21</v>
      </c>
      <c r="C17" s="470"/>
      <c r="D17" s="471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3" t="s">
        <v>257</v>
      </c>
      <c r="B18" s="470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23"/>
      <c r="J18" s="471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98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312" t="s">
        <v>228</v>
      </c>
      <c r="H19" s="314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6"/>
      <c r="B20" s="85"/>
      <c r="C20" s="103"/>
      <c r="D20" s="85"/>
      <c r="E20" s="86"/>
      <c r="F20" s="85"/>
      <c r="G20" s="312" t="s">
        <v>229</v>
      </c>
      <c r="H20" s="314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6"/>
      <c r="B21" s="85"/>
      <c r="C21" s="92"/>
      <c r="D21" s="85"/>
      <c r="E21" s="86"/>
      <c r="F21" s="85"/>
      <c r="G21" s="312" t="s">
        <v>230</v>
      </c>
      <c r="H21" s="314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6"/>
      <c r="B22" s="85"/>
      <c r="C22" s="92"/>
      <c r="D22" s="85"/>
      <c r="E22" s="86"/>
      <c r="F22" s="85"/>
      <c r="G22" s="312" t="s">
        <v>231</v>
      </c>
      <c r="H22" s="31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6"/>
      <c r="B23" s="85"/>
      <c r="C23" s="92"/>
      <c r="D23" s="85"/>
      <c r="E23" s="86"/>
      <c r="F23" s="85"/>
      <c r="G23" s="312" t="s">
        <v>232</v>
      </c>
      <c r="H23" s="314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6"/>
      <c r="B24" s="85"/>
      <c r="C24" s="92"/>
      <c r="D24" s="85"/>
      <c r="E24" s="86"/>
      <c r="F24" s="85"/>
      <c r="G24" s="312" t="s">
        <v>233</v>
      </c>
      <c r="H24" s="314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6"/>
      <c r="B25" s="85"/>
      <c r="C25" s="92"/>
      <c r="D25" s="85"/>
      <c r="E25" s="86"/>
      <c r="F25" s="85"/>
      <c r="G25" s="312" t="s">
        <v>234</v>
      </c>
      <c r="H25" s="31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6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6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6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6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58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3" t="s">
        <v>258</v>
      </c>
      <c r="B31" s="470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23"/>
      <c r="J31" s="471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98" t="s">
        <v>31</v>
      </c>
      <c r="B32" s="499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56"/>
      <c r="B33" s="456"/>
      <c r="C33" s="11" t="s">
        <v>99</v>
      </c>
      <c r="D33" s="85"/>
      <c r="E33" s="86">
        <f>예산!G71</f>
        <v>29920000</v>
      </c>
      <c r="F33" s="85"/>
      <c r="G33" s="312" t="s">
        <v>377</v>
      </c>
      <c r="H33" s="314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56"/>
      <c r="B34" s="456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56"/>
      <c r="B35" s="456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7"/>
      <c r="B36" s="457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7"/>
      <c r="B37" s="457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7"/>
      <c r="B38" s="457"/>
      <c r="C38" s="11" t="s">
        <v>380</v>
      </c>
      <c r="D38" s="85"/>
      <c r="E38" s="86">
        <v>42998000</v>
      </c>
      <c r="F38" s="85"/>
      <c r="G38" s="312" t="s">
        <v>385</v>
      </c>
      <c r="H38" s="314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7"/>
      <c r="B39" s="457"/>
      <c r="C39" s="11" t="s">
        <v>381</v>
      </c>
      <c r="D39" s="85"/>
      <c r="E39" s="86">
        <v>22000000</v>
      </c>
      <c r="F39" s="85"/>
      <c r="G39" s="312" t="s">
        <v>385</v>
      </c>
      <c r="H39" s="314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56"/>
      <c r="B40" s="458"/>
      <c r="C40" s="246" t="s">
        <v>382</v>
      </c>
      <c r="D40" s="85"/>
      <c r="E40" s="86">
        <v>8030000</v>
      </c>
      <c r="F40" s="85"/>
      <c r="G40" s="312" t="s">
        <v>403</v>
      </c>
      <c r="H40" s="314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56"/>
      <c r="B41" s="487" t="s">
        <v>21</v>
      </c>
      <c r="C41" s="470"/>
      <c r="D41" s="471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56"/>
      <c r="B42" s="499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56"/>
      <c r="B43" s="456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56"/>
      <c r="B44" s="458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58"/>
      <c r="B45" s="487" t="s">
        <v>21</v>
      </c>
      <c r="C45" s="470"/>
      <c r="D45" s="471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03" t="s">
        <v>260</v>
      </c>
      <c r="B46" s="470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23"/>
      <c r="J46" s="471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4" t="s">
        <v>72</v>
      </c>
      <c r="B47" s="499" t="s">
        <v>280</v>
      </c>
      <c r="C47" s="103" t="s">
        <v>262</v>
      </c>
      <c r="D47" s="85"/>
      <c r="E47" s="86">
        <f>예산!$G100</f>
        <v>3075509</v>
      </c>
      <c r="F47" s="85"/>
      <c r="G47" s="312" t="s">
        <v>230</v>
      </c>
      <c r="H47" s="313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5"/>
      <c r="B48" s="456"/>
      <c r="C48" s="103" t="s">
        <v>263</v>
      </c>
      <c r="D48" s="85"/>
      <c r="E48" s="86">
        <f>예산!$G104+예산!$G105</f>
        <v>9608500</v>
      </c>
      <c r="F48" s="85"/>
      <c r="G48" s="312" t="s">
        <v>231</v>
      </c>
      <c r="H48" s="313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5"/>
      <c r="B49" s="456"/>
      <c r="C49" s="92" t="s">
        <v>264</v>
      </c>
      <c r="D49" s="85"/>
      <c r="E49" s="86">
        <f>예산!$G108</f>
        <v>19250000</v>
      </c>
      <c r="F49" s="85"/>
      <c r="G49" s="312" t="s">
        <v>230</v>
      </c>
      <c r="H49" s="313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5"/>
      <c r="B50" s="458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5"/>
      <c r="B51" s="507" t="s">
        <v>265</v>
      </c>
      <c r="C51" s="495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5"/>
      <c r="B52" s="508"/>
      <c r="C52" s="497"/>
      <c r="D52" s="85"/>
      <c r="E52" s="86">
        <v>10640000</v>
      </c>
      <c r="F52" s="85"/>
      <c r="G52" s="312" t="s">
        <v>377</v>
      </c>
      <c r="H52" s="317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5"/>
      <c r="B53" s="508"/>
      <c r="C53" s="510" t="s">
        <v>139</v>
      </c>
      <c r="D53" s="85"/>
      <c r="E53" s="86">
        <f>예산!$G109</f>
        <v>5676000</v>
      </c>
      <c r="F53" s="85"/>
      <c r="G53" s="255" t="s">
        <v>385</v>
      </c>
      <c r="H53" s="266">
        <f>예산!$G109</f>
        <v>5676000</v>
      </c>
      <c r="I53" s="319"/>
      <c r="J53" s="237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5"/>
      <c r="B54" s="508"/>
      <c r="C54" s="511"/>
      <c r="D54" s="236"/>
      <c r="E54" s="86"/>
      <c r="F54" s="85"/>
      <c r="G54" s="255"/>
      <c r="H54" s="266"/>
      <c r="I54" s="284"/>
      <c r="J54" s="238"/>
      <c r="K54" s="318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5"/>
      <c r="B55" s="508"/>
      <c r="C55" s="511"/>
      <c r="D55" s="236"/>
      <c r="E55" s="86"/>
      <c r="F55" s="85"/>
      <c r="G55" s="255"/>
      <c r="H55" s="266"/>
      <c r="I55" s="284"/>
      <c r="J55" s="238"/>
      <c r="K55" s="318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5"/>
      <c r="B56" s="508"/>
      <c r="C56" s="511"/>
      <c r="D56" s="236"/>
      <c r="E56" s="86"/>
      <c r="F56" s="85"/>
      <c r="G56" s="255"/>
      <c r="H56" s="266"/>
      <c r="I56" s="284"/>
      <c r="J56" s="238"/>
      <c r="K56" s="318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5"/>
      <c r="B57" s="508"/>
      <c r="C57" s="511"/>
      <c r="D57" s="236"/>
      <c r="E57" s="86"/>
      <c r="F57" s="85"/>
      <c r="G57" s="255"/>
      <c r="H57" s="266"/>
      <c r="I57" s="284"/>
      <c r="J57" s="238"/>
      <c r="K57" s="318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5"/>
      <c r="B58" s="508"/>
      <c r="C58" s="511"/>
      <c r="D58" s="236"/>
      <c r="E58" s="86"/>
      <c r="F58" s="85"/>
      <c r="G58" s="255"/>
      <c r="H58" s="266"/>
      <c r="I58" s="284"/>
      <c r="J58" s="238"/>
      <c r="K58" s="318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5"/>
      <c r="B59" s="508"/>
      <c r="C59" s="511"/>
      <c r="D59" s="236"/>
      <c r="E59" s="86"/>
      <c r="F59" s="85"/>
      <c r="G59" s="255"/>
      <c r="H59" s="266"/>
      <c r="I59" s="284"/>
      <c r="J59" s="238"/>
      <c r="K59" s="318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5"/>
      <c r="B60" s="508"/>
      <c r="C60" s="511"/>
      <c r="D60" s="236"/>
      <c r="E60" s="86"/>
      <c r="F60" s="85"/>
      <c r="G60" s="255"/>
      <c r="H60" s="266"/>
      <c r="I60" s="284"/>
      <c r="J60" s="238"/>
      <c r="K60" s="318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5"/>
      <c r="B61" s="508"/>
      <c r="C61" s="511"/>
      <c r="D61" s="236"/>
      <c r="E61" s="86"/>
      <c r="F61" s="85"/>
      <c r="G61" s="255"/>
      <c r="H61" s="266"/>
      <c r="I61" s="284"/>
      <c r="J61" s="238"/>
      <c r="K61" s="318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5"/>
      <c r="B62" s="508"/>
      <c r="C62" s="511"/>
      <c r="D62" s="236"/>
      <c r="E62" s="86"/>
      <c r="F62" s="85"/>
      <c r="G62" s="255"/>
      <c r="H62" s="266"/>
      <c r="I62" s="284"/>
      <c r="J62" s="238"/>
      <c r="K62" s="318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5"/>
      <c r="B63" s="508"/>
      <c r="C63" s="511"/>
      <c r="D63" s="236"/>
      <c r="E63" s="86"/>
      <c r="F63" s="85"/>
      <c r="G63" s="255"/>
      <c r="H63" s="266"/>
      <c r="I63" s="284"/>
      <c r="J63" s="238"/>
      <c r="K63" s="318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5"/>
      <c r="B64" s="508"/>
      <c r="C64" s="511"/>
      <c r="D64" s="236"/>
      <c r="E64" s="86"/>
      <c r="F64" s="85"/>
      <c r="G64" s="255"/>
      <c r="H64" s="266"/>
      <c r="I64" s="284"/>
      <c r="J64" s="238"/>
      <c r="K64" s="318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06"/>
      <c r="B65" s="509"/>
      <c r="C65" s="512"/>
      <c r="D65" s="236"/>
      <c r="E65" s="86"/>
      <c r="F65" s="85"/>
      <c r="G65" s="255"/>
      <c r="H65" s="266"/>
      <c r="I65" s="284"/>
      <c r="J65" s="238"/>
      <c r="K65" s="318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03" t="s">
        <v>267</v>
      </c>
      <c r="B66" s="470"/>
      <c r="C66" s="96">
        <f>예산!G97</f>
        <v>108039500</v>
      </c>
      <c r="D66" s="97"/>
      <c r="E66" s="98"/>
      <c r="F66" s="99"/>
      <c r="G66" s="100"/>
      <c r="H66" s="278">
        <f>SUM(H47:H53)</f>
        <v>73075500</v>
      </c>
      <c r="I66" s="500"/>
      <c r="J66" s="478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98" t="s">
        <v>84</v>
      </c>
      <c r="B67" s="516" t="s">
        <v>268</v>
      </c>
      <c r="C67" s="103" t="s">
        <v>269</v>
      </c>
      <c r="D67" s="85" t="s">
        <v>270</v>
      </c>
      <c r="E67" s="86">
        <v>5500000</v>
      </c>
      <c r="F67" s="85"/>
      <c r="G67" s="312" t="s">
        <v>230</v>
      </c>
      <c r="H67" s="314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56"/>
      <c r="B68" s="517"/>
      <c r="C68" s="495" t="s">
        <v>374</v>
      </c>
      <c r="D68" s="85" t="s">
        <v>375</v>
      </c>
      <c r="E68" s="86">
        <v>5000000</v>
      </c>
      <c r="F68" s="85"/>
      <c r="G68" s="312" t="s">
        <v>377</v>
      </c>
      <c r="H68" s="314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56"/>
      <c r="B69" s="517"/>
      <c r="C69" s="496"/>
      <c r="D69" s="85" t="s">
        <v>399</v>
      </c>
      <c r="E69" s="86">
        <v>5000000</v>
      </c>
      <c r="F69" s="85"/>
      <c r="G69" s="312" t="s">
        <v>377</v>
      </c>
      <c r="H69" s="314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6"/>
      <c r="B70" s="517"/>
      <c r="C70" s="496"/>
      <c r="D70" s="85" t="s">
        <v>376</v>
      </c>
      <c r="E70" s="86">
        <v>800000</v>
      </c>
      <c r="F70" s="85"/>
      <c r="G70" s="312" t="s">
        <v>377</v>
      </c>
      <c r="H70" s="314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7"/>
      <c r="B71" s="517"/>
      <c r="C71" s="496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7"/>
      <c r="B72" s="517"/>
      <c r="C72" s="496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7"/>
      <c r="B73" s="517"/>
      <c r="C73" s="496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7"/>
      <c r="B74" s="517"/>
      <c r="C74" s="497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7"/>
      <c r="B75" s="517"/>
      <c r="C75" s="495" t="s">
        <v>386</v>
      </c>
      <c r="D75" s="85" t="s">
        <v>388</v>
      </c>
      <c r="E75" s="86">
        <v>3300000</v>
      </c>
      <c r="F75" s="85"/>
      <c r="G75" s="312" t="s">
        <v>377</v>
      </c>
      <c r="H75" s="315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7"/>
      <c r="B76" s="517"/>
      <c r="C76" s="496"/>
      <c r="D76" s="85" t="s">
        <v>372</v>
      </c>
      <c r="E76" s="86">
        <v>3300000</v>
      </c>
      <c r="F76" s="85"/>
      <c r="G76" s="312" t="s">
        <v>377</v>
      </c>
      <c r="H76" s="315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7"/>
      <c r="B77" s="517"/>
      <c r="C77" s="496"/>
      <c r="D77" s="85" t="s">
        <v>389</v>
      </c>
      <c r="E77" s="86">
        <v>800000</v>
      </c>
      <c r="F77" s="85"/>
      <c r="G77" s="312" t="s">
        <v>377</v>
      </c>
      <c r="H77" s="315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7"/>
      <c r="B78" s="517"/>
      <c r="C78" s="496"/>
      <c r="D78" s="85" t="s">
        <v>390</v>
      </c>
      <c r="E78" s="86">
        <v>2300000</v>
      </c>
      <c r="F78" s="85"/>
      <c r="G78" s="312" t="s">
        <v>377</v>
      </c>
      <c r="H78" s="315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7"/>
      <c r="B79" s="517"/>
      <c r="C79" s="497"/>
      <c r="D79" s="85" t="s">
        <v>391</v>
      </c>
      <c r="E79" s="86">
        <v>2300000</v>
      </c>
      <c r="F79" s="85"/>
      <c r="G79" s="312" t="s">
        <v>377</v>
      </c>
      <c r="H79" s="315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7"/>
      <c r="B80" s="494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7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7"/>
      <c r="B81" s="494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7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7"/>
      <c r="B82" s="494"/>
      <c r="C82" s="92"/>
      <c r="D82" s="85"/>
      <c r="E82" s="86"/>
      <c r="F82" s="85"/>
      <c r="G82" s="85"/>
      <c r="H82" s="247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6"/>
      <c r="B83" s="252"/>
      <c r="C83" s="92" t="s">
        <v>400</v>
      </c>
      <c r="D83" s="85" t="s">
        <v>401</v>
      </c>
      <c r="E83" s="86">
        <v>1000000</v>
      </c>
      <c r="F83" s="85"/>
      <c r="G83" s="312" t="s">
        <v>402</v>
      </c>
      <c r="H83" s="315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7"/>
      <c r="B84" s="245"/>
      <c r="C84" s="495" t="s">
        <v>404</v>
      </c>
      <c r="D84" s="85" t="s">
        <v>428</v>
      </c>
      <c r="E84" s="86">
        <v>1000000</v>
      </c>
      <c r="F84" s="85"/>
      <c r="G84" s="312" t="s">
        <v>403</v>
      </c>
      <c r="H84" s="315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7"/>
      <c r="B85" s="245"/>
      <c r="C85" s="496"/>
      <c r="D85" s="85" t="s">
        <v>429</v>
      </c>
      <c r="E85" s="86">
        <v>1000000</v>
      </c>
      <c r="F85" s="85"/>
      <c r="G85" s="312" t="s">
        <v>403</v>
      </c>
      <c r="H85" s="315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7"/>
      <c r="B86" s="245"/>
      <c r="C86" s="496"/>
      <c r="D86" s="85">
        <v>3</v>
      </c>
      <c r="E86" s="86">
        <v>2000000</v>
      </c>
      <c r="F86" s="85"/>
      <c r="G86" s="85"/>
      <c r="H86" s="247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7"/>
      <c r="B87" s="245"/>
      <c r="C87" s="496"/>
      <c r="D87" s="85"/>
      <c r="E87" s="86">
        <v>2000000</v>
      </c>
      <c r="F87" s="85"/>
      <c r="G87" s="85"/>
      <c r="H87" s="247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7"/>
      <c r="B88" s="245"/>
      <c r="C88" s="496"/>
      <c r="D88" s="85"/>
      <c r="E88" s="86">
        <v>2000000</v>
      </c>
      <c r="F88" s="85"/>
      <c r="G88" s="85"/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7"/>
      <c r="B89" s="245"/>
      <c r="C89" s="497"/>
      <c r="D89" s="85"/>
      <c r="E89" s="86"/>
      <c r="F89" s="85"/>
      <c r="G89" s="85"/>
      <c r="H89" s="247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6"/>
      <c r="B90" s="499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6"/>
      <c r="B91" s="456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6"/>
      <c r="B92" s="456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6"/>
      <c r="B93" s="456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6"/>
      <c r="B94" s="458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6"/>
      <c r="B95" s="499" t="s">
        <v>144</v>
      </c>
      <c r="C95" s="92" t="s">
        <v>371</v>
      </c>
      <c r="D95" s="85" t="s">
        <v>372</v>
      </c>
      <c r="E95" s="86">
        <v>1000000</v>
      </c>
      <c r="F95" s="85"/>
      <c r="G95" s="312" t="s">
        <v>373</v>
      </c>
      <c r="H95" s="315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6"/>
      <c r="B96" s="456"/>
      <c r="C96" s="92"/>
      <c r="D96" s="85" t="s">
        <v>389</v>
      </c>
      <c r="E96" s="86">
        <v>1800000</v>
      </c>
      <c r="F96" s="85"/>
      <c r="G96" s="312" t="s">
        <v>385</v>
      </c>
      <c r="H96" s="313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6"/>
      <c r="B97" s="456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6"/>
      <c r="B98" s="458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6"/>
      <c r="B99" s="499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2" t="s">
        <v>377</v>
      </c>
      <c r="H99" s="313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6"/>
      <c r="B100" s="456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6"/>
      <c r="B101" s="456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6"/>
      <c r="B102" s="456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6"/>
      <c r="B103" s="456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6"/>
      <c r="B104" s="458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6"/>
      <c r="B105" s="487" t="s">
        <v>21</v>
      </c>
      <c r="C105" s="470"/>
      <c r="D105" s="471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6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6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6"/>
      <c r="B108" s="85"/>
      <c r="C108" s="11" t="s">
        <v>170</v>
      </c>
      <c r="D108" s="85"/>
      <c r="E108" s="86">
        <f>예산!$G146</f>
        <v>672872</v>
      </c>
      <c r="F108" s="85"/>
      <c r="G108" s="312" t="s">
        <v>230</v>
      </c>
      <c r="H108" s="313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6"/>
      <c r="B109" s="85"/>
      <c r="C109" s="11" t="s">
        <v>171</v>
      </c>
      <c r="D109" s="85"/>
      <c r="E109" s="86">
        <f>예산!$G147</f>
        <v>672872</v>
      </c>
      <c r="F109" s="85"/>
      <c r="G109" s="312" t="s">
        <v>230</v>
      </c>
      <c r="H109" s="313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6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6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6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6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6"/>
      <c r="B114" s="487" t="s">
        <v>21</v>
      </c>
      <c r="C114" s="470"/>
      <c r="D114" s="471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6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6"/>
      <c r="B116" s="487" t="s">
        <v>21</v>
      </c>
      <c r="C116" s="470"/>
      <c r="D116" s="471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6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2" t="s">
        <v>230</v>
      </c>
      <c r="H117" s="313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6"/>
      <c r="B118" s="85"/>
      <c r="C118" s="12" t="s">
        <v>189</v>
      </c>
      <c r="D118" s="85"/>
      <c r="E118" s="86">
        <f>예산!$G165</f>
        <v>230000</v>
      </c>
      <c r="F118" s="85"/>
      <c r="G118" s="312" t="s">
        <v>230</v>
      </c>
      <c r="H118" s="313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6"/>
      <c r="B119" s="85"/>
      <c r="C119" s="12" t="s">
        <v>190</v>
      </c>
      <c r="D119" s="85"/>
      <c r="E119" s="86">
        <f>예산!$G168</f>
        <v>11057430</v>
      </c>
      <c r="F119" s="85"/>
      <c r="G119" s="312" t="s">
        <v>230</v>
      </c>
      <c r="H119" s="313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6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6"/>
      <c r="B121" s="85"/>
      <c r="C121" s="12" t="s">
        <v>192</v>
      </c>
      <c r="D121" s="85"/>
      <c r="E121" s="86">
        <f>예산!$G170</f>
        <v>2800000</v>
      </c>
      <c r="F121" s="85"/>
      <c r="G121" s="312" t="s">
        <v>230</v>
      </c>
      <c r="H121" s="313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56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7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7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7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56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56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56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56"/>
      <c r="B129" s="85"/>
      <c r="C129" s="92" t="s">
        <v>395</v>
      </c>
      <c r="D129" s="85"/>
      <c r="E129" s="86">
        <f>예산!G181</f>
        <v>516000</v>
      </c>
      <c r="F129" s="85"/>
      <c r="G129" s="312" t="s">
        <v>373</v>
      </c>
      <c r="H129" s="316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56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7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6"/>
      <c r="B132" s="584" t="s">
        <v>21</v>
      </c>
      <c r="C132" s="585"/>
      <c r="D132" s="586"/>
      <c r="E132" s="88">
        <f>예산!G183</f>
        <v>85744670</v>
      </c>
      <c r="F132" s="94"/>
      <c r="G132" s="89"/>
      <c r="H132" s="88">
        <f>SUM(H117:H130)</f>
        <v>85273430</v>
      </c>
      <c r="I132" s="90"/>
      <c r="J132" s="89"/>
      <c r="K132" s="91">
        <f>H132/E132</f>
        <v>0.99450414818786992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6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6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56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56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56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56"/>
      <c r="B138" s="487" t="s">
        <v>21</v>
      </c>
      <c r="C138" s="470"/>
      <c r="D138" s="471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56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6"/>
      <c r="B140" s="487" t="s">
        <v>21</v>
      </c>
      <c r="C140" s="470"/>
      <c r="D140" s="471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56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56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56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56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56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56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56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56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56"/>
      <c r="B149" s="487" t="s">
        <v>21</v>
      </c>
      <c r="C149" s="470"/>
      <c r="D149" s="471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56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56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56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56"/>
      <c r="B153" s="487" t="s">
        <v>21</v>
      </c>
      <c r="C153" s="470"/>
      <c r="D153" s="471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56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56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2" t="s">
        <v>231</v>
      </c>
      <c r="H155" s="313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56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56"/>
      <c r="B157" s="487" t="s">
        <v>21</v>
      </c>
      <c r="C157" s="470"/>
      <c r="D157" s="471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56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2" t="s">
        <v>232</v>
      </c>
      <c r="H158" s="313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56"/>
      <c r="B159" s="85"/>
      <c r="C159" s="92" t="s">
        <v>286</v>
      </c>
      <c r="D159" s="85"/>
      <c r="E159" s="86">
        <f>예산!$G222</f>
        <v>186772440</v>
      </c>
      <c r="F159" s="85"/>
      <c r="G159" s="312" t="s">
        <v>385</v>
      </c>
      <c r="H159" s="313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56"/>
      <c r="B160" s="85"/>
      <c r="C160" s="92" t="s">
        <v>158</v>
      </c>
      <c r="D160" s="85"/>
      <c r="E160" s="86">
        <f>예산!$G223</f>
        <v>12743500</v>
      </c>
      <c r="F160" s="85"/>
      <c r="G160" s="312" t="s">
        <v>230</v>
      </c>
      <c r="H160" s="313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56"/>
      <c r="B161" s="487" t="s">
        <v>21</v>
      </c>
      <c r="C161" s="470"/>
      <c r="D161" s="471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56"/>
      <c r="B162" s="85" t="s">
        <v>143</v>
      </c>
      <c r="C162" s="92" t="s">
        <v>223</v>
      </c>
      <c r="D162" s="85"/>
      <c r="E162" s="86"/>
      <c r="F162" s="85"/>
      <c r="G162" s="312" t="s">
        <v>232</v>
      </c>
      <c r="H162" s="313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56"/>
      <c r="B163" s="85"/>
      <c r="C163" s="11" t="s">
        <v>220</v>
      </c>
      <c r="D163" s="18" t="s">
        <v>221</v>
      </c>
      <c r="E163" s="86"/>
      <c r="F163" s="85"/>
      <c r="G163" s="312" t="s">
        <v>232</v>
      </c>
      <c r="H163" s="313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56"/>
      <c r="B164" s="85"/>
      <c r="C164" s="11" t="s">
        <v>443</v>
      </c>
      <c r="D164" s="18" t="s">
        <v>222</v>
      </c>
      <c r="E164" s="86"/>
      <c r="F164" s="85"/>
      <c r="G164" s="312" t="s">
        <v>232</v>
      </c>
      <c r="H164" s="313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56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58"/>
      <c r="B166" s="487" t="s">
        <v>21</v>
      </c>
      <c r="C166" s="470"/>
      <c r="D166" s="471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88" t="s">
        <v>275</v>
      </c>
      <c r="B167" s="489"/>
      <c r="C167" s="96">
        <f>예산!G128</f>
        <v>1161205494</v>
      </c>
      <c r="D167" s="107"/>
      <c r="E167" s="108">
        <f>SUM(E166,E157,E153,E149,E140,E138,E132,E116,E114,E105)</f>
        <v>810569314</v>
      </c>
      <c r="F167" s="109"/>
      <c r="G167" s="110"/>
      <c r="H167" s="101">
        <f>SUM(H166,H161,H157,H153,H149,H140,H138,H132,H116,H114,H105)</f>
        <v>1070100154</v>
      </c>
      <c r="I167" s="485"/>
      <c r="J167" s="486"/>
      <c r="K167" s="102">
        <f t="shared" ref="K167:K168" si="10">H167/C167</f>
        <v>0.92154244836874666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2914526142.4000001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0.94911202275994377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90" t="s">
        <v>287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93" t="s">
        <v>7</v>
      </c>
      <c r="Q2" s="471"/>
      <c r="R2" s="522" t="s">
        <v>244</v>
      </c>
      <c r="S2" s="471"/>
      <c r="T2" s="593" t="s">
        <v>31</v>
      </c>
      <c r="U2" s="471"/>
      <c r="V2" s="593" t="s">
        <v>72</v>
      </c>
      <c r="W2" s="471"/>
      <c r="X2" s="593" t="s">
        <v>84</v>
      </c>
      <c r="Y2" s="471"/>
      <c r="Z2" s="593" t="s">
        <v>245</v>
      </c>
      <c r="AA2" s="471"/>
    </row>
    <row r="3" spans="1:27" ht="16.5" customHeight="1">
      <c r="A3" s="72" t="s">
        <v>246</v>
      </c>
      <c r="B3" s="73" t="s">
        <v>247</v>
      </c>
      <c r="C3" s="74" t="s">
        <v>0</v>
      </c>
      <c r="D3" s="537" t="s">
        <v>248</v>
      </c>
      <c r="E3" s="538"/>
      <c r="F3" s="539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498" t="s">
        <v>7</v>
      </c>
      <c r="B4" s="499" t="s">
        <v>255</v>
      </c>
      <c r="C4" s="524">
        <f>예산!P5</f>
        <v>4028892</v>
      </c>
      <c r="D4" s="85" t="s">
        <v>15</v>
      </c>
      <c r="E4" s="535">
        <f>예산!P7</f>
        <v>2439392</v>
      </c>
      <c r="F4" s="471"/>
      <c r="G4" s="85" t="s">
        <v>228</v>
      </c>
      <c r="H4" s="86">
        <f>예산!N7+예산!N8</f>
        <v>3405260</v>
      </c>
      <c r="I4" s="87">
        <v>45776</v>
      </c>
      <c r="J4" s="85"/>
      <c r="K4" s="526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56"/>
      <c r="B5" s="456"/>
      <c r="C5" s="456"/>
      <c r="D5" s="85" t="s">
        <v>19</v>
      </c>
      <c r="E5" s="535">
        <f>예산!P8</f>
        <v>1589500</v>
      </c>
      <c r="F5" s="471"/>
      <c r="G5" s="85" t="s">
        <v>229</v>
      </c>
      <c r="H5" s="86">
        <f>예산!N7-1192128</f>
        <v>623632</v>
      </c>
      <c r="I5" s="87"/>
      <c r="J5" s="85"/>
      <c r="K5" s="456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56"/>
      <c r="B6" s="456"/>
      <c r="C6" s="456"/>
      <c r="D6" s="85" t="s">
        <v>256</v>
      </c>
      <c r="E6" s="535"/>
      <c r="F6" s="471"/>
      <c r="G6" s="85"/>
      <c r="H6" s="86"/>
      <c r="I6" s="87"/>
      <c r="J6" s="85"/>
      <c r="K6" s="456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56"/>
      <c r="B7" s="456"/>
      <c r="C7" s="456"/>
      <c r="D7" s="85" t="s">
        <v>256</v>
      </c>
      <c r="E7" s="535"/>
      <c r="F7" s="471"/>
      <c r="G7" s="85"/>
      <c r="H7" s="86"/>
      <c r="I7" s="87"/>
      <c r="J7" s="85"/>
      <c r="K7" s="45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56"/>
      <c r="B8" s="456"/>
      <c r="C8" s="456"/>
      <c r="D8" s="587"/>
      <c r="E8" s="588"/>
      <c r="F8" s="546"/>
      <c r="G8" s="85"/>
      <c r="H8" s="86"/>
      <c r="I8" s="87"/>
      <c r="J8" s="85"/>
      <c r="K8" s="45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56"/>
      <c r="B9" s="456"/>
      <c r="C9" s="456"/>
      <c r="D9" s="465"/>
      <c r="E9" s="463"/>
      <c r="F9" s="589"/>
      <c r="G9" s="85"/>
      <c r="H9" s="86"/>
      <c r="I9" s="87"/>
      <c r="J9" s="85"/>
      <c r="K9" s="45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56"/>
      <c r="B10" s="456"/>
      <c r="C10" s="456"/>
      <c r="D10" s="465"/>
      <c r="E10" s="463"/>
      <c r="F10" s="589"/>
      <c r="G10" s="85"/>
      <c r="H10" s="86"/>
      <c r="I10" s="87"/>
      <c r="J10" s="85"/>
      <c r="K10" s="45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56"/>
      <c r="B11" s="456"/>
      <c r="C11" s="456"/>
      <c r="D11" s="465"/>
      <c r="E11" s="463"/>
      <c r="F11" s="589"/>
      <c r="G11" s="85"/>
      <c r="H11" s="86"/>
      <c r="I11" s="87"/>
      <c r="J11" s="85"/>
      <c r="K11" s="45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56"/>
      <c r="B12" s="456"/>
      <c r="C12" s="456"/>
      <c r="D12" s="465"/>
      <c r="E12" s="463"/>
      <c r="F12" s="589"/>
      <c r="G12" s="85"/>
      <c r="H12" s="86"/>
      <c r="I12" s="87"/>
      <c r="J12" s="85"/>
      <c r="K12" s="45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56"/>
      <c r="B13" s="456"/>
      <c r="C13" s="456"/>
      <c r="D13" s="465"/>
      <c r="E13" s="463"/>
      <c r="F13" s="589"/>
      <c r="G13" s="85"/>
      <c r="H13" s="86"/>
      <c r="I13" s="87"/>
      <c r="J13" s="85"/>
      <c r="K13" s="45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56"/>
      <c r="B14" s="458"/>
      <c r="C14" s="458"/>
      <c r="D14" s="468"/>
      <c r="E14" s="561"/>
      <c r="F14" s="547"/>
      <c r="G14" s="85"/>
      <c r="H14" s="86"/>
      <c r="I14" s="87"/>
      <c r="J14" s="85"/>
      <c r="K14" s="458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56"/>
      <c r="B15" s="487" t="s">
        <v>21</v>
      </c>
      <c r="C15" s="470"/>
      <c r="D15" s="471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56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8"/>
      <c r="B17" s="487" t="s">
        <v>21</v>
      </c>
      <c r="C17" s="470"/>
      <c r="D17" s="471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3" t="s">
        <v>257</v>
      </c>
      <c r="B18" s="470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23"/>
      <c r="J18" s="471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98" t="s">
        <v>244</v>
      </c>
      <c r="B19" s="499" t="s">
        <v>244</v>
      </c>
      <c r="C19" s="591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6"/>
      <c r="B20" s="456"/>
      <c r="C20" s="456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6"/>
      <c r="B21" s="456"/>
      <c r="C21" s="456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6"/>
      <c r="B22" s="456"/>
      <c r="C22" s="456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6"/>
      <c r="B23" s="456"/>
      <c r="C23" s="456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6"/>
      <c r="B24" s="456"/>
      <c r="C24" s="456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6"/>
      <c r="B25" s="456"/>
      <c r="C25" s="456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6"/>
      <c r="B26" s="456"/>
      <c r="C26" s="456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6"/>
      <c r="B27" s="456"/>
      <c r="C27" s="456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6"/>
      <c r="B28" s="456"/>
      <c r="C28" s="456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8"/>
      <c r="B29" s="458"/>
      <c r="C29" s="592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03" t="s">
        <v>258</v>
      </c>
      <c r="B30" s="470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23"/>
      <c r="J30" s="471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98" t="s">
        <v>31</v>
      </c>
      <c r="B31" s="499" t="s">
        <v>259</v>
      </c>
      <c r="C31" s="591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56"/>
      <c r="B32" s="456"/>
      <c r="C32" s="456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56"/>
      <c r="B33" s="456"/>
      <c r="C33" s="456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56"/>
      <c r="B34" s="456"/>
      <c r="C34" s="456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56"/>
      <c r="B35" s="458"/>
      <c r="C35" s="458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6"/>
      <c r="B36" s="487" t="s">
        <v>21</v>
      </c>
      <c r="C36" s="470"/>
      <c r="D36" s="471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6"/>
      <c r="B37" s="499" t="s">
        <v>70</v>
      </c>
      <c r="C37" s="524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6"/>
      <c r="B38" s="456"/>
      <c r="C38" s="456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6"/>
      <c r="B39" s="458"/>
      <c r="C39" s="458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58"/>
      <c r="B40" s="487" t="s">
        <v>21</v>
      </c>
      <c r="C40" s="470"/>
      <c r="D40" s="471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3" t="s">
        <v>260</v>
      </c>
      <c r="B41" s="470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23"/>
      <c r="J41" s="471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98" t="s">
        <v>72</v>
      </c>
      <c r="B42" s="499" t="s">
        <v>261</v>
      </c>
      <c r="C42" s="591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56"/>
      <c r="B43" s="456"/>
      <c r="C43" s="456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56"/>
      <c r="B44" s="456"/>
      <c r="C44" s="456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56"/>
      <c r="B45" s="458"/>
      <c r="C45" s="458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56"/>
      <c r="B46" s="499" t="s">
        <v>265</v>
      </c>
      <c r="C46" s="524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58"/>
      <c r="B47" s="458"/>
      <c r="C47" s="592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3" t="s">
        <v>267</v>
      </c>
      <c r="B48" s="470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23"/>
      <c r="J48" s="471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8" t="s">
        <v>84</v>
      </c>
      <c r="B49" s="499" t="s">
        <v>94</v>
      </c>
      <c r="C49" s="524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56"/>
      <c r="B50" s="456"/>
      <c r="C50" s="456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56"/>
      <c r="B51" s="456"/>
      <c r="C51" s="456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56"/>
      <c r="B52" s="456"/>
      <c r="C52" s="456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56"/>
      <c r="B53" s="456"/>
      <c r="C53" s="456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56"/>
      <c r="B54" s="456"/>
      <c r="C54" s="456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56"/>
      <c r="B55" s="456"/>
      <c r="C55" s="456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56"/>
      <c r="B56" s="458"/>
      <c r="C56" s="458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56"/>
      <c r="B57" s="487" t="s">
        <v>21</v>
      </c>
      <c r="C57" s="470"/>
      <c r="D57" s="471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56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56"/>
      <c r="B59" s="487" t="s">
        <v>21</v>
      </c>
      <c r="C59" s="470"/>
      <c r="D59" s="471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56"/>
      <c r="B60" s="499" t="s">
        <v>135</v>
      </c>
      <c r="C60" s="524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56"/>
      <c r="B61" s="456"/>
      <c r="C61" s="456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56"/>
      <c r="B62" s="456"/>
      <c r="C62" s="456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56"/>
      <c r="B63" s="456"/>
      <c r="C63" s="456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56"/>
      <c r="B64" s="456"/>
      <c r="C64" s="456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56"/>
      <c r="B65" s="456"/>
      <c r="C65" s="456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56"/>
      <c r="B66" s="456"/>
      <c r="C66" s="456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56"/>
      <c r="B67" s="456"/>
      <c r="C67" s="456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56"/>
      <c r="B68" s="456"/>
      <c r="C68" s="456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56"/>
      <c r="B69" s="456"/>
      <c r="C69" s="456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6"/>
      <c r="B70" s="458"/>
      <c r="C70" s="458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6"/>
      <c r="B71" s="487" t="s">
        <v>21</v>
      </c>
      <c r="C71" s="470"/>
      <c r="D71" s="471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6"/>
      <c r="B72" s="499" t="s">
        <v>116</v>
      </c>
      <c r="C72" s="524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6"/>
      <c r="B73" s="456"/>
      <c r="C73" s="456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6"/>
      <c r="B74" s="456"/>
      <c r="C74" s="456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6"/>
      <c r="B75" s="456"/>
      <c r="C75" s="456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6"/>
      <c r="B76" s="458"/>
      <c r="C76" s="458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6"/>
      <c r="B77" s="487" t="s">
        <v>21</v>
      </c>
      <c r="C77" s="470"/>
      <c r="D77" s="471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6"/>
      <c r="B78" s="499" t="s">
        <v>105</v>
      </c>
      <c r="C78" s="524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6"/>
      <c r="B79" s="456"/>
      <c r="C79" s="456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6"/>
      <c r="B80" s="456"/>
      <c r="C80" s="456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6"/>
      <c r="B81" s="456"/>
      <c r="C81" s="456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6"/>
      <c r="B82" s="456"/>
      <c r="C82" s="456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6"/>
      <c r="B83" s="456"/>
      <c r="C83" s="456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6"/>
      <c r="B84" s="456"/>
      <c r="C84" s="456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6"/>
      <c r="B85" s="458"/>
      <c r="C85" s="458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6"/>
      <c r="B86" s="487" t="s">
        <v>21</v>
      </c>
      <c r="C86" s="470"/>
      <c r="D86" s="471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6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85"/>
      <c r="J87" s="486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6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6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6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6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6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6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6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6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6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6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6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6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6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6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6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6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6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6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6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6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6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6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6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6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6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6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6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6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6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6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6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6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6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8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2025-10-13T06:47:09Z</dcterms:modified>
</cp:coreProperties>
</file>