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shs\Desktop\local-laptop\SSSU-third\"/>
    </mc:Choice>
  </mc:AlternateContent>
  <xr:revisionPtr revIDLastSave="0" documentId="13_ncr:1_{A7C88176-27F7-4315-8CB4-4ED1E540C66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E12" i="7" l="1"/>
  <c r="E13" i="7" s="1"/>
  <c r="I10" i="7"/>
  <c r="H30" i="3"/>
  <c r="H29" i="3"/>
  <c r="H26" i="3"/>
  <c r="H27" i="3"/>
  <c r="H28" i="3"/>
  <c r="H25" i="3"/>
  <c r="J10" i="7"/>
  <c r="H176" i="3"/>
  <c r="E176" i="3"/>
  <c r="H143" i="3"/>
  <c r="H141" i="3"/>
  <c r="E141" i="3"/>
  <c r="F175" i="1" l="1"/>
  <c r="G178" i="1"/>
  <c r="C10" i="7" l="1"/>
  <c r="F149" i="1"/>
  <c r="G149" i="1" s="1"/>
  <c r="F148" i="1"/>
  <c r="G150" i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E88" i="3" s="1"/>
  <c r="G79" i="1"/>
  <c r="G237" i="1"/>
  <c r="G238" i="1"/>
  <c r="G239" i="1"/>
  <c r="G241" i="1"/>
  <c r="G242" i="1"/>
  <c r="G243" i="1"/>
  <c r="G244" i="1"/>
  <c r="H175" i="3" s="1"/>
  <c r="H99" i="3"/>
  <c r="E87" i="3"/>
  <c r="H87" i="3" s="1"/>
  <c r="E86" i="3"/>
  <c r="H86" i="3" s="1"/>
  <c r="H85" i="3"/>
  <c r="H76" i="3"/>
  <c r="H73" i="3"/>
  <c r="H74" i="3"/>
  <c r="H75" i="3"/>
  <c r="H97" i="2"/>
  <c r="E90" i="3"/>
  <c r="H90" i="3"/>
  <c r="E89" i="3"/>
  <c r="H89" i="3" s="1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 s="1"/>
  <c r="AF8" i="3" s="1"/>
  <c r="AG8" i="3" s="1"/>
  <c r="AE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I7" i="3"/>
  <c r="G225" i="1"/>
  <c r="G224" i="1"/>
  <c r="E9" i="1"/>
  <c r="H11" i="2" s="1"/>
  <c r="Q8" i="1"/>
  <c r="G232" i="1"/>
  <c r="C16" i="6" s="1"/>
  <c r="G236" i="1"/>
  <c r="G250" i="1" s="1"/>
  <c r="G7" i="1"/>
  <c r="E4" i="2" s="1"/>
  <c r="G137" i="1"/>
  <c r="H4" i="3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AO7" i="3" s="1"/>
  <c r="H24" i="3"/>
  <c r="H23" i="3"/>
  <c r="H22" i="3"/>
  <c r="H21" i="3"/>
  <c r="H20" i="3"/>
  <c r="H19" i="3"/>
  <c r="AD2" i="3"/>
  <c r="H5" i="3"/>
  <c r="G240" i="1"/>
  <c r="G223" i="1"/>
  <c r="H160" i="2" s="1"/>
  <c r="G216" i="1"/>
  <c r="H166" i="3" s="1"/>
  <c r="G215" i="1"/>
  <c r="H154" i="2" s="1"/>
  <c r="G210" i="1"/>
  <c r="H152" i="2" s="1"/>
  <c r="G209" i="1"/>
  <c r="H162" i="3" s="1"/>
  <c r="G204" i="1"/>
  <c r="H144" i="2" s="1"/>
  <c r="Z3" i="2" s="1"/>
  <c r="G203" i="1"/>
  <c r="E154" i="3" s="1"/>
  <c r="G202" i="1"/>
  <c r="E153" i="3" s="1"/>
  <c r="G201" i="1"/>
  <c r="E152" i="3" s="1"/>
  <c r="G196" i="1"/>
  <c r="H150" i="3" s="1"/>
  <c r="H151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T3" i="4"/>
  <c r="H125" i="3"/>
  <c r="F24" i="5"/>
  <c r="E55" i="3"/>
  <c r="R3" i="2"/>
  <c r="AA3" i="2"/>
  <c r="Y3" i="2"/>
  <c r="AH8" i="3" l="1"/>
  <c r="AI8" i="3" s="1"/>
  <c r="AJ8" i="3" s="1"/>
  <c r="H84" i="3"/>
  <c r="AK7" i="3"/>
  <c r="AH7" i="3"/>
  <c r="AL7" i="3"/>
  <c r="AE2" i="3"/>
  <c r="H31" i="3"/>
  <c r="R3" i="3" s="1"/>
  <c r="AP7" i="3"/>
  <c r="AK8" i="3"/>
  <c r="AL8" i="3" s="1"/>
  <c r="AM8" i="3" s="1"/>
  <c r="AN8" i="3" s="1"/>
  <c r="AO8" i="3" s="1"/>
  <c r="H114" i="3"/>
  <c r="H151" i="2"/>
  <c r="E58" i="4"/>
  <c r="E59" i="4" s="1"/>
  <c r="E141" i="2"/>
  <c r="E144" i="2"/>
  <c r="E43" i="2"/>
  <c r="H8" i="3"/>
  <c r="AI2" i="3" s="1"/>
  <c r="H10" i="3"/>
  <c r="AK2" i="3" s="1"/>
  <c r="H13" i="3"/>
  <c r="E7" i="2"/>
  <c r="E15" i="2" s="1"/>
  <c r="E50" i="3"/>
  <c r="L157" i="1"/>
  <c r="H11" i="3"/>
  <c r="H12" i="3"/>
  <c r="H7" i="2"/>
  <c r="H9" i="2"/>
  <c r="H12" i="2"/>
  <c r="H155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AG2" i="3" s="1"/>
  <c r="E106" i="2"/>
  <c r="H53" i="2"/>
  <c r="E49" i="2"/>
  <c r="H49" i="2"/>
  <c r="E151" i="2"/>
  <c r="E171" i="3"/>
  <c r="E124" i="3"/>
  <c r="E145" i="3"/>
  <c r="E4" i="3"/>
  <c r="H145" i="3"/>
  <c r="E42" i="4"/>
  <c r="E48" i="4" s="1"/>
  <c r="H174" i="3"/>
  <c r="E33" i="2"/>
  <c r="H33" i="2" s="1"/>
  <c r="H134" i="2"/>
  <c r="H138" i="2" s="1"/>
  <c r="E126" i="3"/>
  <c r="H126" i="3" s="1"/>
  <c r="E131" i="3"/>
  <c r="H131" i="3" s="1"/>
  <c r="H171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15" i="2"/>
  <c r="AN2" i="2"/>
  <c r="E128" i="3"/>
  <c r="H128" i="3" s="1"/>
  <c r="E118" i="3"/>
  <c r="H154" i="3"/>
  <c r="G183" i="1"/>
  <c r="C253" i="1"/>
  <c r="H118" i="3"/>
  <c r="H109" i="2"/>
  <c r="H143" i="2"/>
  <c r="X3" i="2" s="1"/>
  <c r="E162" i="3"/>
  <c r="G54" i="1"/>
  <c r="E163" i="3"/>
  <c r="G140" i="1"/>
  <c r="E114" i="3" s="1"/>
  <c r="H163" i="3"/>
  <c r="H164" i="3" s="1"/>
  <c r="E150" i="3"/>
  <c r="E151" i="3" s="1"/>
  <c r="K151" i="3" s="1"/>
  <c r="E31" i="4"/>
  <c r="E36" i="4" s="1"/>
  <c r="E41" i="4" s="1"/>
  <c r="E154" i="2"/>
  <c r="E139" i="2"/>
  <c r="E140" i="2" s="1"/>
  <c r="K140" i="2" s="1"/>
  <c r="H162" i="2"/>
  <c r="E166" i="3"/>
  <c r="H152" i="3"/>
  <c r="E152" i="2"/>
  <c r="H8" i="2"/>
  <c r="AI2" i="2" s="1"/>
  <c r="E143" i="2"/>
  <c r="E5" i="3"/>
  <c r="E155" i="3"/>
  <c r="H13" i="2"/>
  <c r="G18" i="1"/>
  <c r="G19" i="1" s="1"/>
  <c r="C5" i="6" s="1"/>
  <c r="H10" i="2"/>
  <c r="E158" i="2"/>
  <c r="H169" i="3"/>
  <c r="E169" i="3"/>
  <c r="H158" i="2"/>
  <c r="P96" i="1"/>
  <c r="E74" i="4"/>
  <c r="E77" i="4" s="1"/>
  <c r="G106" i="1"/>
  <c r="E129" i="3"/>
  <c r="H129" i="3" s="1"/>
  <c r="E120" i="2"/>
  <c r="H120" i="2" s="1"/>
  <c r="G6" i="7"/>
  <c r="E33" i="3"/>
  <c r="H33" i="3" s="1"/>
  <c r="A2" i="3"/>
  <c r="AD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5" i="3"/>
  <c r="G211" i="1"/>
  <c r="G153" i="1"/>
  <c r="E160" i="2"/>
  <c r="E111" i="2"/>
  <c r="E32" i="3"/>
  <c r="H32" i="3" s="1"/>
  <c r="H165" i="3"/>
  <c r="H168" i="3" s="1"/>
  <c r="G217" i="1"/>
  <c r="E110" i="2"/>
  <c r="E121" i="2"/>
  <c r="H121" i="2" s="1"/>
  <c r="AF2" i="2" s="1"/>
  <c r="AF3" i="2" s="1"/>
  <c r="G5" i="7"/>
  <c r="H153" i="3"/>
  <c r="E108" i="2"/>
  <c r="H108" i="2"/>
  <c r="H117" i="3"/>
  <c r="E142" i="2"/>
  <c r="E133" i="2"/>
  <c r="H173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4" i="3"/>
  <c r="E144" i="3"/>
  <c r="AM2" i="2"/>
  <c r="AE3" i="3" l="1"/>
  <c r="I6" i="7"/>
  <c r="P56" i="1"/>
  <c r="H15" i="3"/>
  <c r="AJ2" i="2"/>
  <c r="AJ3" i="2" s="1"/>
  <c r="C48" i="4"/>
  <c r="K48" i="4" s="1"/>
  <c r="W3" i="4" s="1"/>
  <c r="P3" i="4"/>
  <c r="E15" i="3"/>
  <c r="AM2" i="3"/>
  <c r="E71" i="4"/>
  <c r="E87" i="4" s="1"/>
  <c r="E160" i="3"/>
  <c r="H177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70" i="3"/>
  <c r="H172" i="3" s="1"/>
  <c r="E170" i="3"/>
  <c r="E159" i="2"/>
  <c r="E143" i="3"/>
  <c r="E132" i="2"/>
  <c r="J126" i="2"/>
  <c r="AN2" i="3"/>
  <c r="AK2" i="2"/>
  <c r="AK3" i="2" s="1"/>
  <c r="C16" i="2"/>
  <c r="E17" i="2" s="1"/>
  <c r="C16" i="3"/>
  <c r="H16" i="3" s="1"/>
  <c r="AH2" i="3"/>
  <c r="H160" i="3"/>
  <c r="C15" i="6"/>
  <c r="E138" i="2"/>
  <c r="K138" i="2" s="1"/>
  <c r="J135" i="3"/>
  <c r="F13" i="5"/>
  <c r="C25" i="6"/>
  <c r="C26" i="6" s="1"/>
  <c r="E161" i="2"/>
  <c r="C21" i="6"/>
  <c r="E172" i="3"/>
  <c r="C17" i="6"/>
  <c r="R56" i="1"/>
  <c r="C87" i="4"/>
  <c r="E149" i="3"/>
  <c r="C13" i="6"/>
  <c r="E123" i="3"/>
  <c r="E114" i="2"/>
  <c r="C20" i="6"/>
  <c r="E164" i="3"/>
  <c r="K164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H123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7" i="3"/>
  <c r="K177" i="3" s="1"/>
  <c r="C23" i="6"/>
  <c r="Z3" i="4"/>
  <c r="E168" i="3"/>
  <c r="K168" i="3" s="1"/>
  <c r="E157" i="2"/>
  <c r="C22" i="6"/>
  <c r="H161" i="2"/>
  <c r="AH2" i="2"/>
  <c r="AH3" i="2" s="1"/>
  <c r="AN3" i="2"/>
  <c r="AJ2" i="3"/>
  <c r="H149" i="3"/>
  <c r="AF3" i="3" l="1"/>
  <c r="AG3" i="3" s="1"/>
  <c r="AH3" i="3" s="1"/>
  <c r="AI3" i="3" s="1"/>
  <c r="AJ3" i="3" s="1"/>
  <c r="AK3" i="3" s="1"/>
  <c r="G128" i="1"/>
  <c r="C167" i="2" s="1"/>
  <c r="K160" i="3"/>
  <c r="K149" i="2"/>
  <c r="K114" i="2"/>
  <c r="K48" i="3"/>
  <c r="U3" i="3" s="1"/>
  <c r="K105" i="2"/>
  <c r="K172" i="3"/>
  <c r="K132" i="2"/>
  <c r="K166" i="2"/>
  <c r="C4" i="6"/>
  <c r="C6" i="6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3" i="3"/>
  <c r="K161" i="2"/>
  <c r="H167" i="2"/>
  <c r="E178" i="3"/>
  <c r="K123" i="3"/>
  <c r="K87" i="4"/>
  <c r="Y3" i="4" s="1"/>
  <c r="C88" i="4"/>
  <c r="K88" i="4" s="1"/>
  <c r="AA3" i="4" s="1"/>
  <c r="F178" i="3"/>
  <c r="I11" i="7" s="1"/>
  <c r="I12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K149" i="3"/>
  <c r="H178" i="3"/>
  <c r="F11" i="5" l="1"/>
  <c r="G11" i="5" s="1"/>
  <c r="C178" i="3"/>
  <c r="K178" i="3" s="1"/>
  <c r="Y3" i="3" s="1"/>
  <c r="C27" i="6"/>
  <c r="D17" i="6" s="1"/>
  <c r="P3" i="2"/>
  <c r="H168" i="2"/>
  <c r="AP2" i="3"/>
  <c r="AP3" i="3" s="1"/>
  <c r="C19" i="2"/>
  <c r="C31" i="2" s="1"/>
  <c r="F8" i="5"/>
  <c r="G8" i="5" s="1"/>
  <c r="C19" i="3"/>
  <c r="C31" i="3" s="1"/>
  <c r="AL3" i="3"/>
  <c r="AM3" i="3" s="1"/>
  <c r="AN3" i="3" s="1"/>
  <c r="AO3" i="3" s="1"/>
  <c r="AP3" i="2"/>
  <c r="I4" i="7"/>
  <c r="K18" i="3"/>
  <c r="Q3" i="3" s="1"/>
  <c r="P3" i="3"/>
  <c r="I9" i="7"/>
  <c r="F10" i="5"/>
  <c r="G9" i="7"/>
  <c r="C68" i="3"/>
  <c r="C66" i="2"/>
  <c r="G3" i="1"/>
  <c r="H179" i="3"/>
  <c r="X3" i="3"/>
  <c r="D7" i="6" l="1"/>
  <c r="D8" i="6" s="1"/>
  <c r="D12" i="6"/>
  <c r="D14" i="6"/>
  <c r="D22" i="6"/>
  <c r="D25" i="6"/>
  <c r="D26" i="6" s="1"/>
  <c r="D18" i="6"/>
  <c r="D19" i="6"/>
  <c r="D9" i="6"/>
  <c r="D23" i="6"/>
  <c r="D15" i="6"/>
  <c r="D21" i="6"/>
  <c r="D13" i="6"/>
  <c r="D16" i="6"/>
  <c r="D4" i="6"/>
  <c r="D20" i="6"/>
  <c r="D11" i="6"/>
  <c r="D5" i="6"/>
  <c r="D10" i="6"/>
  <c r="K31" i="2"/>
  <c r="S3" i="2" s="1"/>
  <c r="E31" i="2"/>
  <c r="E31" i="3"/>
  <c r="K31" i="3"/>
  <c r="S3" i="3" s="1"/>
  <c r="AQ2" i="3"/>
  <c r="AQ3" i="3" s="1"/>
  <c r="C168" i="2"/>
  <c r="K168" i="2" s="1"/>
  <c r="K66" i="2"/>
  <c r="W3" i="2" s="1"/>
  <c r="G12" i="7"/>
  <c r="G13" i="7" s="1"/>
  <c r="H3" i="1"/>
  <c r="K68" i="3"/>
  <c r="W3" i="3" s="1"/>
  <c r="C179" i="3"/>
  <c r="K179" i="3" s="1"/>
  <c r="AA3" i="3" s="1"/>
  <c r="G10" i="5"/>
  <c r="G12" i="5" s="1"/>
  <c r="G15" i="5" s="1"/>
  <c r="F12" i="5"/>
  <c r="F15" i="5" s="1"/>
  <c r="Z3" i="3"/>
  <c r="D6" i="6" l="1"/>
  <c r="D24" i="6"/>
  <c r="C17" i="5"/>
  <c r="H10" i="5" s="1"/>
  <c r="J13" i="7"/>
  <c r="J12" i="7"/>
  <c r="D27" i="6" l="1"/>
  <c r="H13" i="5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<sst xmlns="http://schemas.openxmlformats.org/spreadsheetml/2006/main" count="1414" uniqueCount="544">
  <si>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</si>
  <si>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</si>
  <si>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</si>
  <si>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</si>
  <si>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</si>
  <si>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</si>
  <si>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</si>
  <si>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</si>
  <si>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</si>
  <si>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</si>
  <si>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</si>
  <si>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</si>
  <si>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</si>
  <si>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</si>
  <si>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</si>
  <si>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</si>
  <si>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</si>
  <si>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</si>
  <si>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</si>
  <si>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</si>
  <si>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</si>
  <si>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</si>
  <si>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</si>
  <si>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</si>
  <si>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</si>
  <si>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</si>
  <si>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</si>
  <si>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</si>
  <si>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</si>
  <si>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</si>
  <si>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</si>
  <si>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</si>
  <si>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</si>
  <si>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</si>
  <si>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</si>
  <si>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</si>
  <si>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</si>
  <si>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</si>
  <si>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</si>
  <si>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</si>
  <si>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</si>
  <si>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</si>
  <si>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</si>
  <si>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</si>
  <si>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</si>
  <si>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</si>
  <si>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</si>
  <si>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</si>
  <si>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</si>
  <si>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</si>
  <si>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</si>
  <si>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</si>
  <si>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</si>
  <si>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</si>
  <si>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</si>
  <si>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</si>
  <si>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</si>
  <si>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</si>
  <si>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</si>
  <si>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</si>
  <si>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</si>
  <si>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</si>
  <si>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</si>
  <si>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</si>
  <si>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</si>
  <si>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</si>
  <si>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</si>
  <si>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</si>
  <si>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</si>
  <si>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</si>
  <si>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</si>
  <si>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</si>
  <si>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</si>
  <si>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</si>
  <si>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</si>
  <si>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</si>
  <si>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</si>
  <si>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</si>
  <si>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</si>
  <si>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</si>
  <si>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</si>
  <si>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</si>
  <si>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</si>
  <si>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</si>
  <si>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</si>
  <si>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</si>
  <si>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</si>
  <si>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</si>
  <si>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</si>
  <si>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</si>
  <si>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</si>
  <si>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</si>
  <si>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</si>
  <si>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</si>
  <si>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</si>
  <si>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</si>
  <si>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</si>
  <si>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</si>
  <si>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</si>
  <si>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</si>
  <si>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</si>
  <si>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</si>
  <si>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</si>
  <si>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</si>
  <si>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</si>
  <si>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</si>
  <si>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</si>
  <si>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</si>
  <si>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</si>
  <si>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</si>
  <si>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</si>
  <si>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</si>
  <si>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</si>
  <si>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</si>
  <si>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</si>
  <si>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</si>
  <si>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</si>
  <si>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</si>
  <si>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</si>
  <si>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</si>
  <si>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</si>
  <si>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</si>
  <si>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</si>
  <si>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</si>
  <si>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</si>
  <si>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</si>
  <si>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</si>
  <si>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</si>
  <si>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</si>
  <si>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</si>
  <si>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</si>
  <si>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</si>
  <si>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</si>
  <si>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</si>
  <si>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</si>
  <si>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</si>
  <si>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</si>
  <si>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</si>
  <si>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</si>
  <si>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</si>
  <si>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</si>
  <si>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</si>
  <si>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</si>
  <si>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</si>
  <si>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</si>
  <si>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</si>
  <si>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</si>
  <si>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</si>
  <si>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</si>
  <si>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</si>
  <si>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</si>
  <si>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</si>
  <si>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</si>
  <si>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</si>
  <si>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</si>
  <si>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</si>
  <si>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</si>
  <si>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</si>
  <si>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</si>
  <si>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</si>
  <si>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</si>
  <si>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</si>
  <si>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</si>
  <si>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</si>
  <si>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</si>
  <si>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</si>
  <si>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</si>
  <si>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</si>
  <si>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</si>
  <si>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</si>
  <si>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</si>
  <si>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</si>
  <si>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</si>
  <si>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</si>
  <si>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</si>
  <si>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</si>
  <si>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</si>
  <si>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</si>
  <si>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</si>
  <si>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</si>
  <si>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</si>
  <si>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</si>
  <si>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</si>
  <si>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</si>
  <si>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</si>
  <si>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</si>
  <si>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</si>
  <si>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</si>
  <si>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</si>
  <si>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</si>
  <si>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</si>
  <si>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</si>
  <si>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</si>
  <si>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</si>
  <si>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</si>
  <si>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</si>
  <si>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</si>
  <si>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</si>
  <si>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</si>
  <si>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</si>
  <si>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</si>
  <si>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</si>
  <si>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</si>
  <si>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</si>
  <si>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</si>
  <si>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</si>
  <si>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</si>
  <si>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</si>
  <si>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</si>
  <si>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</si>
  <si>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</si>
  <si>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</si>
  <si>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</si>
  <si>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</si>
  <si>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</si>
  <si>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</si>
  <si>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</si>
  <si>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</si>
  <si>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</si>
  <si>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</si>
  <si>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</si>
  <si>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</si>
  <si>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</si>
  <si>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</si>
  <si>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</si>
  <si>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</si>
  <si>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</si>
  <si>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</si>
  <si>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</si>
  <si>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</si>
  <si>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</si>
  <si>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</si>
  <si>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</si>
  <si>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</si>
  <si>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</si>
  <si>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</si>
  <si>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</si>
  <si>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</si>
  <si>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</si>
  <si>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</si>
  <si>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</si>
  <si>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</si>
  <si>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</si>
  <si>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</si>
  <si>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</si>
  <si>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</si>
  <si>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</si>
  <si>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</si>
  <si>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</si>
  <si>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</si>
  <si>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</si>
  <si>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</si>
  <si>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</si>
  <si>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</si>
  <si>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</si>
  <si>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</si>
  <si>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</si>
  <si>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</si>
  <si>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</si>
  <si>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</si>
  <si>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</si>
  <si>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</si>
  <si>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</si>
  <si>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</si>
  <si>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</si>
  <si>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</si>
  <si>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</si>
  <si>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</si>
  <si>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</si>
  <si>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</si>
  <si>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</si>
  <si>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</si>
  <si>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</si>
  <si>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</si>
  <si>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</si>
  <si>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</si>
  <si>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</si>
  <si>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</si>
  <si>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</si>
  <si>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</si>
  <si>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</si>
  <si>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</si>
  <si>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</si>
  <si>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</si>
  <si>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</si>
  <si>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</si>
  <si>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</si>
  <si>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</si>
  <si>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</si>
  <si>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</si>
  <si>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</si>
  <si>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</si>
  <si>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</si>
  <si>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</si>
  <si>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</si>
  <si>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</si>
  <si>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</si>
  <si>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</si>
  <si>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</si>
  <si>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</si>
  <si>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</si>
  <si>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</si>
  <si>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</si>
  <si>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</si>
  <si>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</si>
  <si>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</si>
  <si>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</si>
  <si>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</si>
  <si>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</si>
  <si>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</si>
  <si>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</si>
  <si>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</si>
  <si>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</si>
  <si>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</si>
  <si>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</si>
  <si>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</si>
  <si>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</si>
  <si>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</si>
  <si>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</si>
  <si>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</si>
  <si>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</si>
  <si>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</si>
  <si>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</si>
  <si>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</si>
  <si>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</si>
  <si>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</si>
  <si>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</si>
  <si>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</si>
  <si>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</si>
  <si>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</si>
  <si>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</si>
  <si>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</si>
  <si>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</si>
  <si>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</si>
  <si>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</si>
  <si>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</si>
  <si>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</si>
  <si>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</si>
  <si>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</si>
  <si>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</si>
  <si>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</si>
  <si>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</si>
  <si>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</si>
  <si>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</si>
  <si>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</si>
  <si>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</si>
  <si>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</si>
  <si>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</si>
  <si>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</si>
  <si>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</si>
  <si>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</si>
  <si>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</si>
  <si>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</si>
  <si>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</si>
  <si>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</si>
  <si>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</si>
  <si>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</si>
  <si>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</si>
  <si>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</si>
  <si>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</si>
  <si>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</si>
  <si>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</si>
  <si>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</si>
  <si>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</si>
  <si>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</si>
  <si>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</si>
  <si>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</si>
  <si>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</si>
  <si>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</si>
  <si>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</si>
  <si>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</si>
  <si>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</si>
  <si>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</si>
  <si>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</si>
  <si>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</si>
  <si>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</si>
  <si>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</si>
  <si>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</si>
  <si>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</si>
  <si>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</si>
  <si>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</si>
  <si>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</si>
  <si>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</si>
  <si>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</si>
  <si>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</si>
  <si>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</si>
  <si>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</si>
  <si>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</si>
  <si>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</si>
  <si>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</si>
  <si>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</si>
  <si>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</si>
  <si>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</si>
  <si>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</si>
  <si>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</si>
  <si>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</si>
  <si>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</si>
  <si>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</si>
  <si>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</si>
  <si>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</si>
  <si>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</si>
  <si>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</si>
  <si>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</si>
  <si>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</si>
  <si>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</si>
  <si>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</si>
  <si>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</si>
  <si>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</si>
  <si>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</si>
  <si>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</si>
  <si>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</si>
  <si>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</si>
  <si>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</si>
  <si>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</si>
  <si>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</si>
  <si>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</si>
  <si>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</si>
  <si>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</si>
  <si>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</si>
  <si>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</si>
  <si>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</si>
  <si>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</si>
  <si>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</si>
  <si>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</si>
  <si>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</si>
  <si>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</si>
  <si>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</si>
  <si>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</si>
  <si>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</si>
  <si>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</si>
  <si>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</si>
  <si>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</si>
  <si>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</si>
  <si>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</si>
  <si>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</si>
  <si>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</si>
  <si>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</si>
  <si>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</si>
  <si>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</si>
  <si>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</si>
  <si>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</si>
  <si>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</si>
  <si>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</si>
  <si>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</si>
  <si>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</si>
  <si>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</si>
  <si>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</si>
  <si>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</si>
  <si>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</si>
  <si>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</si>
  <si>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</si>
  <si>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</si>
  <si>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</si>
  <si>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</si>
  <si>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</si>
  <si>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</si>
  <si>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</si>
  <si>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</si>
  <si>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</si>
  <si>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</si>
  <si>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</si>
  <si>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</si>
  <si>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</si>
  <si>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</si>
  <si>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</si>
  <si>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</si>
  <si>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</si>
  <si>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</si>
  <si>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</si>
  <si>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</si>
  <si>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</si>
  <si>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</si>
  <si>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</si>
  <si>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</si>
  <si>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</si>
  <si>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</si>
  <si>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</si>
  <si>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</si>
  <si>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</si>
  <si>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</si>
  <si>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</si>
  <si>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</si>
  <si>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</si>
  <si>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</si>
  <si>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</si>
  <si>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사용률</t>
  </si>
  <si>
    <t>예측 사용률</t>
  </si>
  <si>
    <t>시설, 장비</t>
  </si>
  <si>
    <t>이월예정액</t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</si>
  <si>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</si>
  <si>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</si>
  <si>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</si>
  <si>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</si>
  <si>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</si>
  <si>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</si>
  <si>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</si>
  <si>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</si>
  <si>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</si>
  <si>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</si>
  <si>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</si>
  <si>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</si>
  <si>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</si>
  <si>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</si>
  <si>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</si>
  <si>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</si>
  <si>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</si>
  <si>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</si>
  <si>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</si>
  <si>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</si>
  <si>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</si>
  <si>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</si>
  <si>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</si>
  <si>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</si>
  <si>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첨융 칩 제작 공정처리비(23%) + 재료/공정처리비 지원 (20%)</t>
    <phoneticPr fontId="27" type="noConversion"/>
  </si>
  <si>
    <t>월별 순차지급 (40%) + 인센티브 (23%) 3차년도 종료후 일괄 지급</t>
    <phoneticPr fontId="27" type="noConversion"/>
  </si>
  <si>
    <t>Y</t>
    <phoneticPr fontId="27" type="noConversion"/>
  </si>
  <si>
    <t>O</t>
    <phoneticPr fontId="27" type="noConversion"/>
  </si>
  <si>
    <t>11월 말 첨융 GPU 3대 + 프로브 스테이션 + B1500 도입 예정 (42%)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</si>
  <si>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</si>
  <si>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</si>
  <si>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</si>
  <si>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숙박비 40*1 + 기차표 16(왕복) +식비 5*2 + 일비 5*2 = 76</t>
    <phoneticPr fontId="27" type="noConversion"/>
  </si>
  <si>
    <t>(0)</t>
    <phoneticPr fontId="27" type="noConversion"/>
  </si>
  <si>
    <t>[천원]</t>
    <phoneticPr fontId="27" type="noConversion"/>
  </si>
  <si>
    <r>
      <t xml:space="preserve">예정 사용 내용 </t>
    </r>
    <r>
      <rPr>
        <sz val="12"/>
        <color rgb="FF292929"/>
        <rFont val="함초롬돋움"/>
        <family val="3"/>
        <charset val="129"/>
      </rPr>
      <t>(소진예정%)</t>
    </r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</si>
  <si>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</si>
  <si>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</si>
  <si>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</si>
  <si>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t>유니위크 분담금, 간담회 등 (16%)</t>
    <phoneticPr fontId="27" type="noConversion"/>
  </si>
  <si>
    <t>(Δ: +16,488)</t>
    <phoneticPr fontId="27" type="noConversion"/>
  </si>
  <si>
    <t>MIT 학회등록비 + ESTA</t>
    <phoneticPr fontId="27" type="noConversion"/>
  </si>
  <si>
    <t>총 1140만원 : 추후 취합</t>
    <phoneticPr fontId="27" type="noConversion"/>
  </si>
  <si>
    <t>편성 금액 [천원]</t>
    <phoneticPr fontId="27" type="noConversion"/>
  </si>
  <si>
    <t>변경 [천원]</t>
    <phoneticPr fontId="27" type="noConversion"/>
  </si>
  <si>
    <t>ALD : 입찰 진행중 (37%)</t>
    <phoneticPr fontId="27" type="noConversion"/>
  </si>
  <si>
    <t>↓</t>
    <phoneticPr fontId="27" type="noConversion"/>
  </si>
  <si>
    <t>스위치매트릭스 : 입찰가 확정완료 및 입고예정 11월 중순 (10%)</t>
    <phoneticPr fontId="27" type="noConversion"/>
  </si>
  <si>
    <r>
      <t xml:space="preserve">(Δ: +1,425) </t>
    </r>
    <r>
      <rPr>
        <vertAlign val="superscript"/>
        <sz val="17"/>
        <color rgb="FF292929"/>
        <rFont val="함초롬돋움"/>
        <family val="1"/>
        <charset val="129"/>
      </rPr>
      <t>1)</t>
    </r>
    <phoneticPr fontId="27" type="noConversion"/>
  </si>
  <si>
    <t>(25.10.24 기준)</t>
    <phoneticPr fontId="27" type="noConversion"/>
  </si>
  <si>
    <t>(현시점 25.10.27 기준)</t>
    <phoneticPr fontId="27" type="noConversion"/>
  </si>
  <si>
    <t>(Δ: +1,425)</t>
    <phoneticPr fontId="27" type="noConversion"/>
  </si>
  <si>
    <t>한호철 연구원 자료 반영 (25.10.27)</t>
    <phoneticPr fontId="27" type="noConversion"/>
  </si>
  <si>
    <t>기존 50만, 부산 최신화하면서 조정하기</t>
    <phoneticPr fontId="27" type="noConversion"/>
  </si>
  <si>
    <t>실제소요금액 1,194,800 원 -&gt; 나중에 수정 필요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</si>
</sst>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52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6"/>
      <color rgb="FF292929"/>
      <name val="함초롬돋움"/>
      <family val="3"/>
      <charset val="129"/>
    </font>
    <font>
      <sz val="18"/>
      <name val="함초롬돋움"/>
      <family val="3"/>
      <charset val="129"/>
    </font>
    <font>
      <sz val="10"/>
      <color rgb="FF292929"/>
      <name val="함초롬돋움"/>
      <family val="3"/>
      <charset val="129"/>
    </font>
    <font>
      <sz val="17"/>
      <color rgb="FF292929"/>
      <name val="함초롬돋움"/>
      <family val="3"/>
      <charset val="129"/>
    </font>
    <font>
      <sz val="12"/>
      <color rgb="FF292929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sz val="17"/>
      <name val="함초롬돋움"/>
      <family val="3"/>
      <charset val="129"/>
    </font>
    <font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  <font>
      <sz val="17"/>
      <color rgb="FF292929"/>
      <name val="함초롬돋움"/>
      <family val="1"/>
      <charset val="129"/>
    </font>
    <font>
      <vertAlign val="superscript"/>
      <sz val="17"/>
      <color rgb="FF292929"/>
      <name val="함초롬돋움"/>
      <family val="1"/>
      <charset val="129"/>
    </font>
    <font>
      <sz val="12"/>
      <color rgb="FF292929"/>
      <name val="함초롬돋움"/>
      <family val="1"/>
      <charset val="129"/>
    </font>
    <font>
      <sz val="10"/>
      <color rgb="FF292929"/>
      <name val="함초롬돋움"/>
      <family val="1"/>
      <charset val="129"/>
    </font>
    <font>
      <sz val="15"/>
      <color rgb="FF292929"/>
      <name val="함초롬돋움"/>
      <family val="1"/>
      <charset val="129"/>
    </font>
    <font>
      <sz val="11"/>
      <color theme="1"/>
      <name val="함초롬돋움"/>
      <family val="1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599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36" fillId="0" borderId="43" xfId="0" applyFont="1" applyBorder="1" applyAlignment="1">
      <alignment horizontal="center" vertical="center" wrapText="1" readingOrder="1"/>
    </xf>
    <xf numFmtId="0" fontId="36" fillId="0" borderId="122" xfId="0" applyFont="1" applyBorder="1" applyAlignment="1">
      <alignment horizontal="center" vertical="center" wrapText="1" readingOrder="1"/>
    </xf>
    <xf numFmtId="0" fontId="36" fillId="0" borderId="139" xfId="0" applyFont="1" applyBorder="1" applyAlignment="1">
      <alignment horizontal="center" vertical="center" wrapText="1" readingOrder="1"/>
    </xf>
    <xf numFmtId="0" fontId="36" fillId="0" borderId="138" xfId="0" applyFont="1" applyBorder="1" applyAlignment="1">
      <alignment horizontal="center" vertical="center" wrapText="1" readingOrder="1"/>
    </xf>
    <xf numFmtId="0" fontId="38" fillId="0" borderId="138" xfId="0" applyFont="1" applyBorder="1" applyAlignment="1">
      <alignment horizontal="center" vertical="center" wrapText="1" readingOrder="1"/>
    </xf>
    <xf numFmtId="0" fontId="36" fillId="0" borderId="145" xfId="0" applyFont="1" applyBorder="1" applyAlignment="1">
      <alignment horizontal="center" vertical="center" wrapText="1" readingOrder="1"/>
    </xf>
    <xf numFmtId="3" fontId="39" fillId="0" borderId="96" xfId="0" applyNumberFormat="1" applyFont="1" applyBorder="1" applyAlignment="1">
      <alignment horizontal="center" vertical="center" wrapText="1" readingOrder="1"/>
    </xf>
    <xf numFmtId="3" fontId="39" fillId="0" borderId="164" xfId="0" applyNumberFormat="1" applyFont="1" applyBorder="1" applyAlignment="1">
      <alignment horizontal="center" vertical="center" wrapText="1" readingOrder="1"/>
    </xf>
    <xf numFmtId="0" fontId="40" fillId="0" borderId="130" xfId="0" applyFont="1" applyBorder="1" applyAlignment="1">
      <alignment horizontal="lef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17" xfId="0" applyNumberFormat="1" applyFont="1" applyBorder="1" applyAlignment="1">
      <alignment horizontal="center" vertical="center" wrapText="1" readingOrder="1"/>
    </xf>
    <xf numFmtId="0" fontId="40" fillId="0" borderId="157" xfId="0" applyFont="1" applyBorder="1" applyAlignment="1">
      <alignment horizontal="left" vertical="center" wrapText="1" readingOrder="1"/>
    </xf>
    <xf numFmtId="0" fontId="40" fillId="0" borderId="160" xfId="0" applyFont="1" applyBorder="1" applyAlignment="1">
      <alignment horizontal="left" vertical="center" wrapText="1" readingOrder="1"/>
    </xf>
    <xf numFmtId="0" fontId="40" fillId="0" borderId="161" xfId="0" applyFont="1" applyBorder="1" applyAlignment="1">
      <alignment horizontal="left" vertical="center" wrapText="1" readingOrder="1"/>
    </xf>
    <xf numFmtId="0" fontId="36" fillId="0" borderId="147" xfId="0" applyFont="1" applyBorder="1" applyAlignment="1">
      <alignment horizontal="center" vertical="center" wrapText="1" readingOrder="1"/>
    </xf>
    <xf numFmtId="3" fontId="39" fillId="0" borderId="165" xfId="0" applyNumberFormat="1" applyFont="1" applyBorder="1" applyAlignment="1">
      <alignment horizontal="center" vertical="center" wrapText="1" readingOrder="1"/>
    </xf>
    <xf numFmtId="3" fontId="39" fillId="0" borderId="107" xfId="0" applyNumberFormat="1" applyFont="1" applyBorder="1" applyAlignment="1">
      <alignment horizontal="center" vertical="center" wrapText="1" readingOrder="1"/>
    </xf>
    <xf numFmtId="3" fontId="39" fillId="0" borderId="106" xfId="0" applyNumberFormat="1" applyFont="1" applyBorder="1" applyAlignment="1">
      <alignment horizontal="center" vertical="center" wrapText="1" readingOrder="1"/>
    </xf>
    <xf numFmtId="3" fontId="39" fillId="0" borderId="112" xfId="0" applyNumberFormat="1" applyFont="1" applyBorder="1" applyAlignment="1">
      <alignment horizontal="center" vertical="center" wrapText="1" readingOrder="1"/>
    </xf>
    <xf numFmtId="0" fontId="40" fillId="0" borderId="100" xfId="0" applyFont="1" applyBorder="1" applyAlignment="1">
      <alignment vertical="center" wrapText="1" readingOrder="1"/>
    </xf>
    <xf numFmtId="3" fontId="39" fillId="0" borderId="104" xfId="0" applyNumberFormat="1" applyFont="1" applyBorder="1" applyAlignment="1">
      <alignment horizontal="center" vertical="center" wrapText="1" readingOrder="1"/>
    </xf>
    <xf numFmtId="3" fontId="39" fillId="0" borderId="166" xfId="0" applyNumberFormat="1" applyFont="1" applyBorder="1" applyAlignment="1">
      <alignment horizontal="center" vertical="center" wrapText="1" readingOrder="1"/>
    </xf>
    <xf numFmtId="0" fontId="37" fillId="0" borderId="105" xfId="0" applyFont="1" applyBorder="1" applyAlignment="1">
      <alignment horizontal="right" vertical="top" wrapText="1"/>
    </xf>
    <xf numFmtId="0" fontId="0" fillId="0" borderId="167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3" fontId="39" fillId="0" borderId="124" xfId="0" applyNumberFormat="1" applyFont="1" applyBorder="1" applyAlignment="1">
      <alignment horizontal="right" vertical="center" wrapText="1" readingOrder="1"/>
    </xf>
    <xf numFmtId="3" fontId="39" fillId="0" borderId="125" xfId="0" applyNumberFormat="1" applyFont="1" applyBorder="1" applyAlignment="1">
      <alignment horizontal="right" vertical="center" wrapText="1" readingOrder="1"/>
    </xf>
    <xf numFmtId="3" fontId="39" fillId="0" borderId="116" xfId="0" applyNumberFormat="1" applyFont="1" applyBorder="1" applyAlignment="1">
      <alignment horizontal="right" vertical="center" wrapText="1" readingOrder="1"/>
    </xf>
    <xf numFmtId="3" fontId="39" fillId="0" borderId="128" xfId="0" applyNumberFormat="1" applyFont="1" applyBorder="1" applyAlignment="1">
      <alignment horizontal="right" vertical="center" wrapText="1" readingOrder="1"/>
    </xf>
    <xf numFmtId="3" fontId="39" fillId="0" borderId="129" xfId="0" applyNumberFormat="1" applyFont="1" applyBorder="1" applyAlignment="1">
      <alignment horizontal="right" vertical="center" wrapText="1" readingOrder="1"/>
    </xf>
    <xf numFmtId="0" fontId="37" fillId="20" borderId="105" xfId="0" applyFont="1" applyFill="1" applyBorder="1" applyAlignment="1">
      <alignment horizontal="center" vertical="center" wrapText="1"/>
    </xf>
    <xf numFmtId="0" fontId="37" fillId="23" borderId="110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37" fillId="20" borderId="131" xfId="0" applyFont="1" applyFill="1" applyBorder="1" applyAlignment="1">
      <alignment horizontal="center" vertical="center" wrapText="1"/>
    </xf>
    <xf numFmtId="0" fontId="37" fillId="20" borderId="103" xfId="0" applyFont="1" applyFill="1" applyBorder="1" applyAlignment="1">
      <alignment horizontal="center" vertical="center" wrapText="1"/>
    </xf>
    <xf numFmtId="0" fontId="37" fillId="20" borderId="168" xfId="0" applyFont="1" applyFill="1" applyBorder="1" applyAlignment="1">
      <alignment horizontal="center" vertical="center" wrapText="1"/>
    </xf>
    <xf numFmtId="0" fontId="0" fillId="0" borderId="170" xfId="0" applyBorder="1" applyAlignment="1">
      <alignment vertical="center"/>
    </xf>
    <xf numFmtId="0" fontId="36" fillId="0" borderId="169" xfId="0" applyFont="1" applyBorder="1" applyAlignment="1">
      <alignment horizontal="center" vertical="center" wrapText="1" readingOrder="1"/>
    </xf>
    <xf numFmtId="0" fontId="0" fillId="0" borderId="171" xfId="0" applyBorder="1" applyAlignment="1">
      <alignment vertical="center"/>
    </xf>
    <xf numFmtId="0" fontId="0" fillId="0" borderId="163" xfId="0" applyBorder="1" applyAlignment="1">
      <alignment vertical="center"/>
    </xf>
    <xf numFmtId="3" fontId="39" fillId="0" borderId="172" xfId="0" applyNumberFormat="1" applyFont="1" applyBorder="1" applyAlignment="1">
      <alignment horizontal="right" vertical="center" wrapText="1" readingOrder="1"/>
    </xf>
    <xf numFmtId="9" fontId="37" fillId="0" borderId="173" xfId="0" applyNumberFormat="1" applyFont="1" applyBorder="1" applyAlignment="1">
      <alignment vertical="top" wrapText="1"/>
    </xf>
    <xf numFmtId="0" fontId="37" fillId="0" borderId="173" xfId="0" applyFont="1" applyBorder="1" applyAlignment="1">
      <alignment horizontal="right" vertical="top" wrapText="1"/>
    </xf>
    <xf numFmtId="49" fontId="44" fillId="0" borderId="111" xfId="0" applyNumberFormat="1" applyFont="1" applyBorder="1" applyAlignment="1">
      <alignment horizontal="center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43" fillId="0" borderId="173" xfId="0" applyNumberFormat="1" applyFont="1" applyBorder="1" applyAlignment="1">
      <alignment horizontal="left" vertical="top" wrapText="1"/>
    </xf>
    <xf numFmtId="0" fontId="0" fillId="0" borderId="177" xfId="0" applyBorder="1" applyAlignment="1">
      <alignment vertical="center"/>
    </xf>
    <xf numFmtId="3" fontId="39" fillId="0" borderId="179" xfId="0" applyNumberFormat="1" applyFont="1" applyBorder="1" applyAlignment="1">
      <alignment vertical="center" wrapText="1" readingOrder="1"/>
    </xf>
    <xf numFmtId="0" fontId="0" fillId="0" borderId="178" xfId="0" applyBorder="1" applyAlignment="1">
      <alignment vertical="center"/>
    </xf>
    <xf numFmtId="3" fontId="39" fillId="0" borderId="162" xfId="0" applyNumberFormat="1" applyFont="1" applyBorder="1" applyAlignment="1">
      <alignment horizontal="center" vertical="center" wrapText="1" readingOrder="1"/>
    </xf>
    <xf numFmtId="3" fontId="39" fillId="0" borderId="180" xfId="0" applyNumberFormat="1" applyFont="1" applyBorder="1" applyAlignment="1">
      <alignment vertical="center" wrapText="1" readingOrder="1"/>
    </xf>
    <xf numFmtId="0" fontId="40" fillId="0" borderId="181" xfId="0" applyFont="1" applyBorder="1" applyAlignment="1">
      <alignment vertical="center" wrapText="1" readingOrder="1"/>
    </xf>
    <xf numFmtId="176" fontId="2" fillId="0" borderId="31" xfId="0" applyNumberFormat="1" applyFont="1" applyBorder="1" applyAlignment="1">
      <alignment horizontal="right" vertical="center"/>
    </xf>
    <xf numFmtId="176" fontId="2" fillId="22" borderId="22" xfId="0" applyNumberFormat="1" applyFont="1" applyFill="1" applyBorder="1" applyAlignment="1">
      <alignment horizontal="center" vertical="center"/>
    </xf>
    <xf numFmtId="176" fontId="2" fillId="22" borderId="58" xfId="0" applyNumberFormat="1" applyFont="1" applyFill="1" applyBorder="1" applyAlignment="1">
      <alignment horizontal="center" vertical="center"/>
    </xf>
    <xf numFmtId="178" fontId="39" fillId="0" borderId="131" xfId="0" applyNumberFormat="1" applyFont="1" applyBorder="1" applyAlignment="1">
      <alignment horizontal="left" vertical="center" wrapText="1" readingOrder="1"/>
    </xf>
    <xf numFmtId="178" fontId="39" fillId="0" borderId="97" xfId="0" applyNumberFormat="1" applyFont="1" applyBorder="1" applyAlignment="1">
      <alignment horizontal="left" vertical="center" wrapText="1" readingOrder="1"/>
    </xf>
    <xf numFmtId="178" fontId="39" fillId="0" borderId="114" xfId="0" applyNumberFormat="1" applyFont="1" applyBorder="1" applyAlignment="1">
      <alignment horizontal="left" vertical="center" wrapText="1" readingOrder="1"/>
    </xf>
    <xf numFmtId="178" fontId="39" fillId="0" borderId="105" xfId="0" applyNumberFormat="1" applyFont="1" applyBorder="1" applyAlignment="1">
      <alignment horizontal="left" vertical="center" wrapText="1" readingOrder="1"/>
    </xf>
    <xf numFmtId="178" fontId="39" fillId="0" borderId="110" xfId="0" applyNumberFormat="1" applyFont="1" applyBorder="1" applyAlignment="1">
      <alignment horizontal="left" vertical="center" wrapText="1" readingOrder="1"/>
    </xf>
    <xf numFmtId="0" fontId="41" fillId="0" borderId="141" xfId="0" applyFont="1" applyBorder="1" applyAlignment="1">
      <alignment horizontal="center" vertical="top"/>
    </xf>
    <xf numFmtId="0" fontId="42" fillId="0" borderId="141" xfId="0" applyFont="1" applyBorder="1" applyAlignment="1">
      <alignment horizontal="center" vertical="top"/>
    </xf>
    <xf numFmtId="3" fontId="39" fillId="0" borderId="126" xfId="0" applyNumberFormat="1" applyFont="1" applyBorder="1" applyAlignment="1">
      <alignment horizontal="right" vertical="center" wrapText="1" readingOrder="1"/>
    </xf>
    <xf numFmtId="3" fontId="39" fillId="0" borderId="159" xfId="0" applyNumberFormat="1" applyFont="1" applyBorder="1" applyAlignment="1">
      <alignment horizontal="right" vertical="center" wrapText="1" readingOrder="1"/>
    </xf>
    <xf numFmtId="3" fontId="39" fillId="0" borderId="127" xfId="0" applyNumberFormat="1" applyFont="1" applyBorder="1" applyAlignment="1">
      <alignment horizontal="righ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58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0" fontId="36" fillId="0" borderId="144" xfId="0" applyFont="1" applyBorder="1" applyAlignment="1">
      <alignment horizontal="center" vertical="center" wrapText="1" readingOrder="1"/>
    </xf>
    <xf numFmtId="0" fontId="36" fillId="0" borderId="143" xfId="0" applyFont="1" applyBorder="1" applyAlignment="1">
      <alignment horizontal="center" vertical="center" wrapText="1" readingOrder="1"/>
    </xf>
    <xf numFmtId="0" fontId="36" fillId="0" borderId="93" xfId="0" applyFont="1" applyBorder="1" applyAlignment="1">
      <alignment horizontal="center" vertical="center" wrapText="1" readingOrder="1"/>
    </xf>
    <xf numFmtId="0" fontId="36" fillId="0" borderId="43" xfId="0" applyFont="1" applyBorder="1" applyAlignment="1">
      <alignment horizontal="center" vertical="center" wrapText="1" readingOrder="1"/>
    </xf>
    <xf numFmtId="0" fontId="37" fillId="0" borderId="121" xfId="0" applyFont="1" applyBorder="1" applyAlignment="1">
      <alignment horizontal="center" vertical="top" wrapText="1"/>
    </xf>
    <xf numFmtId="0" fontId="37" fillId="0" borderId="123" xfId="0" applyFont="1" applyBorder="1" applyAlignment="1">
      <alignment horizontal="center" vertical="top" wrapText="1"/>
    </xf>
    <xf numFmtId="0" fontId="36" fillId="0" borderId="156" xfId="0" applyFont="1" applyBorder="1" applyAlignment="1">
      <alignment horizontal="center" vertical="center" wrapText="1" readingOrder="1"/>
    </xf>
    <xf numFmtId="0" fontId="36" fillId="0" borderId="155" xfId="0" applyFont="1" applyBorder="1" applyAlignment="1">
      <alignment horizontal="center" vertical="center" wrapText="1" readingOrder="1"/>
    </xf>
    <xf numFmtId="0" fontId="36" fillId="0" borderId="121" xfId="0" applyFont="1" applyBorder="1" applyAlignment="1">
      <alignment horizontal="center" vertical="center" wrapText="1" readingOrder="1"/>
    </xf>
    <xf numFmtId="0" fontId="36" fillId="0" borderId="120" xfId="0" applyFont="1" applyBorder="1" applyAlignment="1">
      <alignment horizontal="center" vertical="center" wrapText="1" readingOrder="1"/>
    </xf>
    <xf numFmtId="3" fontId="39" fillId="0" borderId="174" xfId="0" applyNumberFormat="1" applyFont="1" applyBorder="1" applyAlignment="1">
      <alignment horizontal="center" vertical="center" wrapText="1" readingOrder="1"/>
    </xf>
    <xf numFmtId="3" fontId="39" fillId="0" borderId="175" xfId="0" applyNumberFormat="1" applyFont="1" applyBorder="1" applyAlignment="1">
      <alignment horizontal="center" vertical="center" wrapText="1" readingOrder="1"/>
    </xf>
    <xf numFmtId="3" fontId="39" fillId="0" borderId="176" xfId="0" applyNumberFormat="1" applyFont="1" applyBorder="1" applyAlignment="1">
      <alignment horizontal="center" vertical="center" wrapText="1" readingOrder="1"/>
    </xf>
    <xf numFmtId="0" fontId="36" fillId="0" borderId="149" xfId="0" applyFont="1" applyBorder="1" applyAlignment="1">
      <alignment horizontal="center" vertical="center" wrapText="1" readingOrder="1"/>
    </xf>
    <xf numFmtId="0" fontId="36" fillId="0" borderId="150" xfId="0" applyFont="1" applyBorder="1" applyAlignment="1">
      <alignment horizontal="center" vertical="center" wrapText="1" readingOrder="1"/>
    </xf>
    <xf numFmtId="3" fontId="39" fillId="0" borderId="108" xfId="0" applyNumberFormat="1" applyFont="1" applyBorder="1" applyAlignment="1">
      <alignment horizontal="center" vertical="center" wrapText="1" readingOrder="1"/>
    </xf>
    <xf numFmtId="3" fontId="39" fillId="0" borderId="113" xfId="0" applyNumberFormat="1" applyFont="1" applyBorder="1" applyAlignment="1">
      <alignment horizontal="center" vertical="center" wrapText="1" readingOrder="1"/>
    </xf>
    <xf numFmtId="3" fontId="39" fillId="0" borderId="109" xfId="0" applyNumberFormat="1" applyFont="1" applyBorder="1" applyAlignment="1">
      <alignment horizontal="center" vertical="center" wrapText="1" readingOrder="1"/>
    </xf>
    <xf numFmtId="178" fontId="39" fillId="0" borderId="114" xfId="0" applyNumberFormat="1" applyFont="1" applyBorder="1" applyAlignment="1">
      <alignment horizontal="left" vertical="center" wrapText="1" readingOrder="1"/>
    </xf>
    <xf numFmtId="178" fontId="39" fillId="0" borderId="95" xfId="0" applyNumberFormat="1" applyFont="1" applyBorder="1" applyAlignment="1">
      <alignment horizontal="left" vertical="center" wrapText="1" readingOrder="1"/>
    </xf>
    <xf numFmtId="178" fontId="39" fillId="0" borderId="132" xfId="0" applyNumberFormat="1" applyFont="1" applyBorder="1" applyAlignment="1">
      <alignment horizontal="left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39" fillId="0" borderId="103" xfId="0" applyNumberFormat="1" applyFont="1" applyBorder="1" applyAlignment="1">
      <alignment horizontal="left" vertical="center" wrapText="1" readingOrder="1"/>
    </xf>
    <xf numFmtId="3" fontId="39" fillId="0" borderId="98" xfId="0" applyNumberFormat="1" applyFont="1" applyBorder="1" applyAlignment="1">
      <alignment horizontal="center" vertical="center" wrapText="1" readingOrder="1"/>
    </xf>
    <xf numFmtId="3" fontId="39" fillId="0" borderId="101" xfId="0" applyNumberFormat="1" applyFont="1" applyBorder="1" applyAlignment="1">
      <alignment horizontal="center" vertical="center" wrapText="1" readingOrder="1"/>
    </xf>
    <xf numFmtId="176" fontId="2" fillId="0" borderId="21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8" fillId="7" borderId="9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8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 wrapText="1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3" fontId="45" fillId="0" borderId="118" xfId="0" applyNumberFormat="1" applyFont="1" applyBorder="1" applyAlignment="1">
      <alignment horizontal="center" vertical="center" wrapText="1" readingOrder="1"/>
    </xf>
    <xf numFmtId="49" fontId="46" fillId="0" borderId="115" xfId="0" applyNumberFormat="1" applyFont="1" applyBorder="1" applyAlignment="1">
      <alignment horizontal="center" vertical="center" wrapText="1" readingOrder="1"/>
    </xf>
    <xf numFmtId="49" fontId="46" fillId="0" borderId="94" xfId="0" applyNumberFormat="1" applyFont="1" applyBorder="1" applyAlignment="1">
      <alignment horizontal="center" vertical="center" wrapText="1" readingOrder="1"/>
    </xf>
    <xf numFmtId="49" fontId="46" fillId="0" borderId="102" xfId="0" applyNumberFormat="1" applyFont="1" applyBorder="1" applyAlignment="1">
      <alignment horizontal="center" vertical="center" wrapText="1" readingOrder="1"/>
    </xf>
    <xf numFmtId="0" fontId="48" fillId="0" borderId="162" xfId="0" applyFont="1" applyBorder="1" applyAlignment="1">
      <alignment horizontal="left" vertical="center" wrapText="1" readingOrder="1"/>
    </xf>
    <xf numFmtId="178" fontId="46" fillId="0" borderId="110" xfId="0" applyNumberFormat="1" applyFont="1" applyBorder="1" applyAlignment="1">
      <alignment horizontal="left" vertical="center" wrapText="1" readingOrder="1"/>
    </xf>
    <xf numFmtId="0" fontId="49" fillId="0" borderId="133" xfId="0" applyFont="1" applyBorder="1" applyAlignment="1">
      <alignment horizontal="center" vertical="center" wrapText="1" readingOrder="1"/>
    </xf>
    <xf numFmtId="0" fontId="49" fillId="0" borderId="134" xfId="0" applyFont="1" applyBorder="1" applyAlignment="1">
      <alignment horizontal="center" vertical="center" wrapText="1" readingOrder="1"/>
    </xf>
    <xf numFmtId="0" fontId="49" fillId="0" borderId="135" xfId="0" applyFont="1" applyBorder="1" applyAlignment="1">
      <alignment horizontal="center" vertical="center" wrapText="1" readingOrder="1"/>
    </xf>
    <xf numFmtId="0" fontId="49" fillId="0" borderId="136" xfId="0" applyFont="1" applyBorder="1" applyAlignment="1">
      <alignment horizontal="center" vertical="center" wrapText="1" readingOrder="1"/>
    </xf>
    <xf numFmtId="0" fontId="49" fillId="0" borderId="137" xfId="0" applyFont="1" applyBorder="1" applyAlignment="1">
      <alignment horizontal="center" vertical="center" wrapText="1" readingOrder="1"/>
    </xf>
    <xf numFmtId="0" fontId="49" fillId="0" borderId="138" xfId="0" applyFont="1" applyBorder="1" applyAlignment="1">
      <alignment horizontal="center" vertical="center" wrapText="1" readingOrder="1"/>
    </xf>
    <xf numFmtId="49" fontId="50" fillId="0" borderId="111" xfId="0" applyNumberFormat="1" applyFont="1" applyBorder="1" applyAlignment="1">
      <alignment horizontal="center" vertical="center" wrapText="1" readingOrder="1"/>
    </xf>
    <xf numFmtId="0" fontId="51" fillId="0" borderId="152" xfId="0" applyFont="1" applyBorder="1" applyAlignment="1">
      <alignment vertical="center"/>
    </xf>
    <xf numFmtId="176" fontId="2" fillId="19" borderId="5" xfId="0" applyNumberFormat="1" applyFont="1" applyFill="1" applyBorder="1" applyAlignment="1">
      <alignment horizontal="center" vertical="center"/>
    </xf>
    <xf numFmtId="176" fontId="2" fillId="19" borderId="5" xfId="0" applyNumberFormat="1" applyFont="1" applyFill="1" applyBorder="1" applyAlignment="1">
      <alignment vertical="center"/>
    </xf>
    <xf numFmtId="176" fontId="2" fillId="19" borderId="5" xfId="0" applyNumberFormat="1" applyFont="1" applyFill="1" applyBorder="1" applyAlignment="1">
      <alignment horizontal="right" vertical="center"/>
    </xf>
    <xf numFmtId="176" fontId="3" fillId="19" borderId="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0.28804170672946833</c:v>
                </c:pt>
                <c:pt idx="7">
                  <c:v>0.3618096623258017</c:v>
                </c:pt>
                <c:pt idx="8">
                  <c:v>0.62991917555980248</c:v>
                </c:pt>
                <c:pt idx="9">
                  <c:v>0.65182591481193342</c:v>
                </c:pt>
                <c:pt idx="10">
                  <c:v>0.82378000895514814</c:v>
                </c:pt>
                <c:pt idx="11">
                  <c:v>0.9704695922067379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Q31"/>
  <sheetViews>
    <sheetView zoomScaleNormal="100" workbookViewId="0">
      <selection sqref="A1:M13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  <col min="17" max="17" width="18.28515625" customWidth="1"/>
  </cols>
  <sheetData>
    <row r="1" spans="1:13" ht="107.25" customHeight="1" thickBot="1">
      <c r="A1" s="397" t="s">
        <v>495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</row>
    <row r="2" spans="1:13" ht="20.25" customHeight="1" thickBot="1">
      <c r="A2" s="357"/>
      <c r="B2" s="405" t="s">
        <v>245</v>
      </c>
      <c r="C2" s="407" t="s">
        <v>532</v>
      </c>
      <c r="D2" s="408"/>
      <c r="E2" s="408"/>
      <c r="F2" s="413" t="s">
        <v>533</v>
      </c>
      <c r="G2" s="414"/>
      <c r="H2" s="335" t="s">
        <v>492</v>
      </c>
      <c r="I2" s="336" t="s">
        <v>485</v>
      </c>
      <c r="J2" s="334" t="s">
        <v>486</v>
      </c>
      <c r="K2" s="409"/>
      <c r="L2" s="411" t="s">
        <v>524</v>
      </c>
      <c r="M2" s="255"/>
    </row>
    <row r="3" spans="1:13" ht="21" thickBot="1">
      <c r="A3" s="323"/>
      <c r="B3" s="406"/>
      <c r="C3" s="587" t="s">
        <v>538</v>
      </c>
      <c r="D3" s="588"/>
      <c r="E3" s="589"/>
      <c r="F3" s="590" t="s">
        <v>539</v>
      </c>
      <c r="G3" s="591"/>
      <c r="H3" s="337" t="s">
        <v>523</v>
      </c>
      <c r="I3" s="592" t="s">
        <v>539</v>
      </c>
      <c r="J3" s="338" t="s">
        <v>500</v>
      </c>
      <c r="K3" s="410"/>
      <c r="L3" s="412"/>
      <c r="M3" s="327"/>
    </row>
    <row r="4" spans="1:13" ht="53.25" customHeight="1" thickBot="1">
      <c r="A4" s="325"/>
      <c r="B4" s="339" t="s">
        <v>7</v>
      </c>
      <c r="C4" s="340"/>
      <c r="D4" s="341"/>
      <c r="E4" s="361">
        <v>401229</v>
      </c>
      <c r="F4" s="344" t="s">
        <v>489</v>
      </c>
      <c r="G4" s="359">
        <f>ROUND((예산!G5+예산!G26)/1000,0)</f>
        <v>401299</v>
      </c>
      <c r="H4" s="380" t="s">
        <v>522</v>
      </c>
      <c r="I4" s="392">
        <f>SUM(소진일정!H4:H9,소진일정!H19:H25)/SUM(소진일정!H18,소진일정!H31)</f>
        <v>0.37058011185463968</v>
      </c>
      <c r="J4" s="393">
        <v>1</v>
      </c>
      <c r="K4" s="370" t="s">
        <v>515</v>
      </c>
      <c r="L4" s="342" t="s">
        <v>514</v>
      </c>
      <c r="M4" s="330"/>
    </row>
    <row r="5" spans="1:13" ht="62.25" customHeight="1" thickBot="1">
      <c r="A5" s="326"/>
      <c r="B5" s="418" t="s">
        <v>487</v>
      </c>
      <c r="C5" s="420">
        <f>SUM(E5:E8)</f>
        <v>1251782</v>
      </c>
      <c r="D5" s="343" t="s">
        <v>490</v>
      </c>
      <c r="E5" s="360">
        <v>300225</v>
      </c>
      <c r="F5" s="344" t="s">
        <v>489</v>
      </c>
      <c r="G5" s="360">
        <f>ROUND((SUM(예산!G69,예산!G79:G80))/1000,0)</f>
        <v>300225</v>
      </c>
      <c r="H5" s="380" t="s">
        <v>522</v>
      </c>
      <c r="I5" s="394">
        <v>0</v>
      </c>
      <c r="J5" s="381">
        <v>1</v>
      </c>
      <c r="K5" s="372" t="s">
        <v>515</v>
      </c>
      <c r="L5" s="345" t="s">
        <v>512</v>
      </c>
      <c r="M5" s="329"/>
    </row>
    <row r="6" spans="1:13" ht="29.25" thickBot="1">
      <c r="A6" s="325"/>
      <c r="B6" s="405"/>
      <c r="C6" s="421"/>
      <c r="D6" s="415" t="s">
        <v>491</v>
      </c>
      <c r="E6" s="399">
        <v>951557</v>
      </c>
      <c r="F6" s="581" t="s">
        <v>535</v>
      </c>
      <c r="G6" s="399">
        <f>ROUND((SUM(예산!G70:G78,예산!G89))/1000,0)</f>
        <v>950132</v>
      </c>
      <c r="H6" s="582" t="s">
        <v>537</v>
      </c>
      <c r="I6" s="423">
        <f>SUM(소진일정!H34,소진일정!H39,소진일정!H40,소진일정!H41)/SUM(소진일정!H33:H41)</f>
        <v>0.10841568601044735</v>
      </c>
      <c r="J6" s="426">
        <v>1</v>
      </c>
      <c r="K6" s="371" t="s">
        <v>515</v>
      </c>
      <c r="L6" s="346" t="s">
        <v>517</v>
      </c>
      <c r="M6" s="330"/>
    </row>
    <row r="7" spans="1:13" ht="29.25" thickBot="1">
      <c r="A7" s="255"/>
      <c r="B7" s="405"/>
      <c r="C7" s="421"/>
      <c r="D7" s="416"/>
      <c r="E7" s="400"/>
      <c r="F7" s="403"/>
      <c r="G7" s="400"/>
      <c r="H7" s="583"/>
      <c r="I7" s="424"/>
      <c r="J7" s="424"/>
      <c r="K7" s="371" t="s">
        <v>515</v>
      </c>
      <c r="L7" s="585" t="s">
        <v>536</v>
      </c>
      <c r="M7" s="330"/>
    </row>
    <row r="8" spans="1:13" ht="23.25" thickBot="1">
      <c r="A8" s="325"/>
      <c r="B8" s="419"/>
      <c r="C8" s="422"/>
      <c r="D8" s="417"/>
      <c r="E8" s="401"/>
      <c r="F8" s="404"/>
      <c r="G8" s="401"/>
      <c r="H8" s="584"/>
      <c r="I8" s="425"/>
      <c r="J8" s="427"/>
      <c r="K8" s="365" t="s">
        <v>516</v>
      </c>
      <c r="L8" s="347" t="s">
        <v>534</v>
      </c>
      <c r="M8" s="330"/>
    </row>
    <row r="9" spans="1:13" ht="59.25" customHeight="1" thickBot="1">
      <c r="A9" s="323"/>
      <c r="B9" s="348" t="s">
        <v>72</v>
      </c>
      <c r="C9" s="349"/>
      <c r="D9" s="350"/>
      <c r="E9" s="362">
        <v>108040</v>
      </c>
      <c r="F9" s="344" t="s">
        <v>489</v>
      </c>
      <c r="G9" s="360">
        <f>ROUND(예산!G97/1000,0)</f>
        <v>108040</v>
      </c>
      <c r="H9" s="380" t="s">
        <v>522</v>
      </c>
      <c r="I9" s="394">
        <f>SUM(예산!G100,예산!G104,예산!G105,예산!G107:G119)/예산!G97</f>
        <v>0.56558470744496225</v>
      </c>
      <c r="J9" s="395">
        <v>1</v>
      </c>
      <c r="K9" s="364" t="s">
        <v>515</v>
      </c>
      <c r="L9" s="347" t="s">
        <v>513</v>
      </c>
      <c r="M9" s="327"/>
    </row>
    <row r="10" spans="1:13" ht="44.25" customHeight="1" thickBot="1">
      <c r="A10" s="327"/>
      <c r="B10" s="418" t="s">
        <v>84</v>
      </c>
      <c r="C10" s="428">
        <f>SUM(E10:E11)</f>
        <v>1158493</v>
      </c>
      <c r="D10" s="351" t="s">
        <v>493</v>
      </c>
      <c r="E10" s="363">
        <v>683000</v>
      </c>
      <c r="F10" s="344" t="s">
        <v>489</v>
      </c>
      <c r="G10" s="360">
        <f>ROUND(예산!G140/1000,0)</f>
        <v>683000</v>
      </c>
      <c r="H10" s="380" t="s">
        <v>522</v>
      </c>
      <c r="I10" s="394">
        <f>231119/683000</f>
        <v>0.33838799414348464</v>
      </c>
      <c r="J10" s="381">
        <f>669937/683000</f>
        <v>0.98087408491947292</v>
      </c>
      <c r="K10" s="364" t="s">
        <v>515</v>
      </c>
      <c r="L10" s="594" t="s">
        <v>541</v>
      </c>
    </row>
    <row r="11" spans="1:13" ht="51.75" customHeight="1" thickBot="1">
      <c r="B11" s="419"/>
      <c r="C11" s="429"/>
      <c r="D11" s="352" t="s">
        <v>494</v>
      </c>
      <c r="E11" s="362">
        <v>475493</v>
      </c>
      <c r="F11" s="344" t="s">
        <v>489</v>
      </c>
      <c r="G11" s="360">
        <f>ROUND(SUM(예산!G153,예산!G183,예산!G192,예산!G197,예산!G205,예산!G211,예산!G217,예산!G226,예산!G250)/1000,0)</f>
        <v>475493</v>
      </c>
      <c r="H11" s="380" t="s">
        <v>522</v>
      </c>
      <c r="I11" s="396">
        <f>SUM(소진일정!H117,소진일정!H118,소진일정!H126:H128,소진일정!H130,소진일정!H131,소진일정!H132,소진일정!H133,소진일정!H138,소진일정!H139,소진일정!H163,소진일정!H166,소진일정!H169:H171,소진일정!H173:H175)/소진일정!F178</f>
        <v>0.83860106233184484</v>
      </c>
      <c r="J11" s="381">
        <v>1</v>
      </c>
      <c r="K11" s="364" t="s">
        <v>515</v>
      </c>
      <c r="L11" s="353" t="s">
        <v>528</v>
      </c>
      <c r="M11" s="328"/>
    </row>
    <row r="12" spans="1:13" ht="51" customHeight="1" thickBot="1">
      <c r="A12" s="324"/>
      <c r="B12" s="348" t="s">
        <v>184</v>
      </c>
      <c r="C12" s="354"/>
      <c r="D12" s="355"/>
      <c r="E12" s="363">
        <f>SUM(E4:E11)</f>
        <v>2919544</v>
      </c>
      <c r="F12" s="344"/>
      <c r="G12" s="360">
        <f>ROUND(예산!G3/1000,0)</f>
        <v>2918188</v>
      </c>
      <c r="H12" s="380" t="s">
        <v>522</v>
      </c>
      <c r="I12" s="586">
        <f>SUM(I4*G4,I5*G5,I6*G6,I9*G9,I10*G10,I11*G11)/2956400</f>
        <v>0.31886630618703254</v>
      </c>
      <c r="J12" s="381">
        <f>G12/C18</f>
        <v>0.98707482072791231</v>
      </c>
      <c r="K12" s="356"/>
      <c r="L12" s="388"/>
      <c r="M12" s="327"/>
    </row>
    <row r="13" spans="1:13" ht="23.25" thickBot="1">
      <c r="A13" s="323"/>
      <c r="B13" s="374" t="s">
        <v>488</v>
      </c>
      <c r="C13" s="383"/>
      <c r="D13" s="384"/>
      <c r="E13" s="387">
        <f>2956400-E12</f>
        <v>36856</v>
      </c>
      <c r="F13" s="386"/>
      <c r="G13" s="377">
        <f>2956400-G12</f>
        <v>38212</v>
      </c>
      <c r="H13" s="593" t="s">
        <v>540</v>
      </c>
      <c r="I13" s="378"/>
      <c r="J13" s="382">
        <f>G13/C18</f>
        <v>1.2925179272087674E-2</v>
      </c>
      <c r="K13" s="379"/>
      <c r="L13" s="353"/>
      <c r="M13" s="328"/>
    </row>
    <row r="14" spans="1:13" ht="15.75" thickBot="1">
      <c r="A14" s="323"/>
      <c r="B14" s="373"/>
      <c r="C14" s="373"/>
      <c r="D14" s="385"/>
      <c r="E14" s="375"/>
      <c r="F14" s="376"/>
      <c r="G14" s="376"/>
      <c r="H14" s="255"/>
      <c r="I14" s="373"/>
      <c r="J14" s="373"/>
      <c r="K14" s="373"/>
      <c r="L14" s="385"/>
      <c r="M14" s="328"/>
    </row>
    <row r="18" spans="2:17" ht="16.5">
      <c r="B18" s="332" t="s">
        <v>499</v>
      </c>
      <c r="C18" s="333">
        <v>2956400</v>
      </c>
    </row>
    <row r="20" spans="2:17" ht="15.75" thickBot="1"/>
    <row r="21" spans="2:17" ht="27" thickBot="1">
      <c r="O21" s="344" t="s">
        <v>527</v>
      </c>
    </row>
    <row r="22" spans="2:17" ht="22.5" thickBot="1">
      <c r="O22" s="344" t="s">
        <v>489</v>
      </c>
      <c r="Q22" s="380" t="s">
        <v>529</v>
      </c>
    </row>
    <row r="23" spans="2:17">
      <c r="O23" s="402" t="s">
        <v>489</v>
      </c>
    </row>
    <row r="24" spans="2:17">
      <c r="O24" s="403"/>
    </row>
    <row r="25" spans="2:17" ht="15.75" thickBot="1">
      <c r="O25" s="404"/>
    </row>
    <row r="26" spans="2:17" ht="22.5" thickBot="1">
      <c r="O26" s="344" t="s">
        <v>489</v>
      </c>
    </row>
    <row r="27" spans="2:17" ht="22.5" thickBot="1">
      <c r="O27" s="344" t="s">
        <v>489</v>
      </c>
    </row>
    <row r="28" spans="2:17" ht="27" thickBot="1">
      <c r="O28" s="344" t="s">
        <v>527</v>
      </c>
    </row>
    <row r="29" spans="2:17">
      <c r="O29" s="581" t="s">
        <v>535</v>
      </c>
    </row>
    <row r="30" spans="2:17">
      <c r="O30" s="403"/>
    </row>
    <row r="31" spans="2:17" ht="15.75" thickBot="1">
      <c r="O31" s="404"/>
    </row>
  </sheetData>
  <mergeCells count="21">
    <mergeCell ref="O29:O31"/>
    <mergeCell ref="B10:B11"/>
    <mergeCell ref="O23:O25"/>
    <mergeCell ref="I6:I8"/>
    <mergeCell ref="J6:J8"/>
    <mergeCell ref="C10:C11"/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  <mergeCell ref="D6:D8"/>
    <mergeCell ref="B5:B8"/>
    <mergeCell ref="C5:C8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tabSelected="1" workbookViewId="0">
      <selection activeCell="H217" sqref="H217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66" t="s">
        <v>0</v>
      </c>
      <c r="B1" s="450"/>
      <c r="C1" s="450"/>
      <c r="D1" s="450"/>
      <c r="E1" s="450"/>
      <c r="F1" s="450"/>
      <c r="G1" s="450"/>
      <c r="H1" s="450"/>
      <c r="I1" s="2"/>
      <c r="J1" s="466" t="s">
        <v>1</v>
      </c>
      <c r="K1" s="450"/>
      <c r="L1" s="450"/>
      <c r="M1" s="450"/>
      <c r="N1" s="450"/>
      <c r="O1" s="450"/>
      <c r="P1" s="450"/>
      <c r="Q1" s="450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2918188313.4000001</v>
      </c>
      <c r="H3" s="3">
        <f>C3-G3</f>
        <v>38211686.599999905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2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366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42" t="s">
        <v>14</v>
      </c>
      <c r="C7" s="11" t="s">
        <v>364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53" t="s">
        <v>17</v>
      </c>
      <c r="I7" s="4"/>
      <c r="J7" s="3"/>
      <c r="K7" s="467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43"/>
      <c r="C8" s="11" t="s">
        <v>337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50"/>
      <c r="I8" s="4"/>
      <c r="J8" s="3"/>
      <c r="K8" s="443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44"/>
      <c r="C9" s="216" t="s">
        <v>336</v>
      </c>
      <c r="D9" s="217" t="s">
        <v>338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44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52"/>
      <c r="C10" s="218" t="s">
        <v>335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43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52"/>
      <c r="C11" s="218" t="s">
        <v>386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45"/>
      <c r="L11" s="468" t="s">
        <v>21</v>
      </c>
      <c r="M11" s="457"/>
      <c r="N11" s="457"/>
      <c r="O11" s="458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52"/>
      <c r="C12" s="218" t="s">
        <v>412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55"/>
      <c r="C13" s="433" t="s">
        <v>21</v>
      </c>
      <c r="D13" s="469"/>
      <c r="E13" s="469"/>
      <c r="F13" s="469"/>
      <c r="G13" s="218">
        <f>SUM(G7:G12)</f>
        <v>121138758.40000001</v>
      </c>
      <c r="H13" s="3"/>
      <c r="I13" s="4"/>
      <c r="J13" s="3"/>
      <c r="K13" s="456" t="s">
        <v>22</v>
      </c>
      <c r="L13" s="457"/>
      <c r="M13" s="457"/>
      <c r="N13" s="457"/>
      <c r="O13" s="458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68" t="s">
        <v>22</v>
      </c>
      <c r="C14" s="463"/>
      <c r="D14" s="463"/>
      <c r="E14" s="463"/>
      <c r="F14" s="465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68" t="s">
        <v>28</v>
      </c>
      <c r="D17" s="457"/>
      <c r="E17" s="457"/>
      <c r="F17" s="458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68" t="s">
        <v>22</v>
      </c>
      <c r="C19" s="457"/>
      <c r="D19" s="457"/>
      <c r="E19" s="457"/>
      <c r="F19" s="458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452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68" t="s">
        <v>28</v>
      </c>
      <c r="D22" s="457"/>
      <c r="E22" s="457"/>
      <c r="F22" s="458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68" t="s">
        <v>22</v>
      </c>
      <c r="C24" s="457"/>
      <c r="D24" s="457"/>
      <c r="E24" s="457"/>
      <c r="F24" s="458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3"/>
      <c r="C25" s="119"/>
      <c r="D25" s="119"/>
      <c r="E25" s="119"/>
      <c r="F25" s="119"/>
      <c r="G25" s="243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3">
        <f>SUM(G64)</f>
        <v>186800000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42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59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43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52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43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43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61" t="s">
        <v>52</v>
      </c>
      <c r="I31" s="4"/>
      <c r="J31" s="3"/>
      <c r="K31" s="464" t="s">
        <v>22</v>
      </c>
      <c r="L31" s="463"/>
      <c r="M31" s="463"/>
      <c r="N31" s="463"/>
      <c r="O31" s="465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43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52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43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43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43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59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43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52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43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61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43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52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43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43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43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61" t="s">
        <v>68</v>
      </c>
      <c r="I41" s="4"/>
      <c r="J41" s="3"/>
      <c r="K41" s="456" t="s">
        <v>22</v>
      </c>
      <c r="L41" s="457"/>
      <c r="M41" s="457"/>
      <c r="N41" s="457"/>
      <c r="O41" s="458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43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52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43"/>
      <c r="C43" s="11" t="s">
        <v>466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52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43"/>
      <c r="C44" s="11" t="s">
        <v>467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52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43"/>
      <c r="C45" s="11" t="s">
        <v>468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52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43"/>
      <c r="C46" s="11" t="s">
        <v>469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52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43"/>
      <c r="C47" s="11" t="s">
        <v>470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52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43"/>
      <c r="C48" s="11" t="s">
        <v>471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52"/>
      <c r="I48" s="4"/>
      <c r="J48" s="3"/>
      <c r="K48" s="456" t="s">
        <v>22</v>
      </c>
      <c r="L48" s="457"/>
      <c r="M48" s="457"/>
      <c r="N48" s="457"/>
      <c r="O48" s="458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43"/>
      <c r="C49" s="11" t="s">
        <v>472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52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43"/>
      <c r="C50" s="11" t="s">
        <v>473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52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43"/>
      <c r="C51" s="11" t="s">
        <v>474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52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43"/>
      <c r="C52" s="11" t="s">
        <v>475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52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43"/>
      <c r="C53" s="11" t="s">
        <v>476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52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45"/>
      <c r="C54" s="468" t="s">
        <v>21</v>
      </c>
      <c r="D54" s="457"/>
      <c r="E54" s="457"/>
      <c r="F54" s="458"/>
      <c r="G54" s="11">
        <f>SUM(G28:G53)</f>
        <v>108800000</v>
      </c>
      <c r="H54" s="3"/>
      <c r="I54" s="4"/>
      <c r="J54" s="3"/>
      <c r="K54" s="456" t="s">
        <v>22</v>
      </c>
      <c r="L54" s="457"/>
      <c r="M54" s="457"/>
      <c r="N54" s="457"/>
      <c r="O54" s="458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42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43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43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43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43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61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43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52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43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56" t="s">
        <v>22</v>
      </c>
      <c r="L61" s="457"/>
      <c r="M61" s="457"/>
      <c r="N61" s="457"/>
      <c r="O61" s="458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43"/>
      <c r="C62" s="11" t="s">
        <v>525</v>
      </c>
      <c r="D62" s="11" t="s">
        <v>81</v>
      </c>
      <c r="E62" s="11">
        <v>1300000</v>
      </c>
      <c r="F62" s="11">
        <v>6</v>
      </c>
      <c r="G62" s="11">
        <f t="shared" si="4"/>
        <v>7800000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45"/>
      <c r="C63" s="468" t="s">
        <v>21</v>
      </c>
      <c r="D63" s="457"/>
      <c r="E63" s="457"/>
      <c r="F63" s="458"/>
      <c r="G63" s="11">
        <f>SUM(G55:G62)</f>
        <v>78000000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68" t="s">
        <v>22</v>
      </c>
      <c r="C64" s="457"/>
      <c r="D64" s="457"/>
      <c r="E64" s="457"/>
      <c r="F64" s="458"/>
      <c r="G64" s="11">
        <f>SUM(G54,G63)</f>
        <v>186800000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42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3">
        <f>SUM(G82,G90,G95)</f>
        <v>1250357390</v>
      </c>
      <c r="H66" s="8"/>
      <c r="I66" s="4"/>
      <c r="J66" s="3"/>
      <c r="K66" s="443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43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45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56" t="s">
        <v>22</v>
      </c>
      <c r="L69" s="457"/>
      <c r="M69" s="457"/>
      <c r="N69" s="457"/>
      <c r="O69" s="458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71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59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61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52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61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59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61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52"/>
      <c r="I73" s="4"/>
      <c r="J73" s="3"/>
      <c r="K73" s="430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61"/>
      <c r="C74" s="218" t="s">
        <v>339</v>
      </c>
      <c r="D74" s="218"/>
      <c r="E74" s="218">
        <v>1</v>
      </c>
      <c r="F74" s="218">
        <v>93575000</v>
      </c>
      <c r="G74" s="218">
        <f t="shared" si="5"/>
        <v>93575000</v>
      </c>
      <c r="H74" s="119"/>
      <c r="I74" s="212"/>
      <c r="J74" s="3"/>
      <c r="K74" s="431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61"/>
      <c r="C75" s="286" t="s">
        <v>340</v>
      </c>
      <c r="D75" s="286"/>
      <c r="E75" s="286">
        <v>1</v>
      </c>
      <c r="F75" s="286">
        <v>352000000</v>
      </c>
      <c r="G75" s="286">
        <f t="shared" si="5"/>
        <v>352000000</v>
      </c>
      <c r="H75" s="119" t="s">
        <v>520</v>
      </c>
      <c r="I75" s="212"/>
      <c r="J75" s="3"/>
      <c r="K75" s="431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61"/>
      <c r="C76" s="218" t="s">
        <v>341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31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61"/>
      <c r="C77" s="218" t="s">
        <v>342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31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61"/>
      <c r="C78" s="269" t="s">
        <v>357</v>
      </c>
      <c r="D78" s="269"/>
      <c r="E78" s="269">
        <v>1</v>
      </c>
      <c r="F78" s="269">
        <v>42988000</v>
      </c>
      <c r="G78" s="269">
        <f t="shared" si="5"/>
        <v>42988000</v>
      </c>
      <c r="H78" s="234">
        <f>SUM(G74:G78)</f>
        <v>518593000</v>
      </c>
      <c r="I78" s="212"/>
      <c r="J78" s="3"/>
      <c r="K78" s="431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449</v>
      </c>
      <c r="C79" s="218" t="s">
        <v>450</v>
      </c>
      <c r="D79" s="218"/>
      <c r="E79" s="218">
        <v>1</v>
      </c>
      <c r="F79" s="218">
        <v>165000</v>
      </c>
      <c r="G79" s="218">
        <f t="shared" si="5"/>
        <v>165000</v>
      </c>
      <c r="H79" s="234"/>
      <c r="I79" s="212"/>
      <c r="J79" s="3"/>
      <c r="K79" s="431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34" t="s">
        <v>460</v>
      </c>
      <c r="C80" s="218" t="s">
        <v>461</v>
      </c>
      <c r="D80" s="218"/>
      <c r="E80" s="218">
        <v>3</v>
      </c>
      <c r="F80" s="218">
        <v>30000</v>
      </c>
      <c r="G80" s="218">
        <f t="shared" si="5"/>
        <v>90000</v>
      </c>
      <c r="H80" s="234"/>
      <c r="I80" s="212"/>
      <c r="J80" s="3"/>
      <c r="K80" s="431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35"/>
      <c r="C81" s="218" t="s">
        <v>462</v>
      </c>
      <c r="D81" s="218"/>
      <c r="E81" s="218">
        <v>0</v>
      </c>
      <c r="F81" s="218">
        <v>30000</v>
      </c>
      <c r="G81" s="218">
        <f t="shared" si="5"/>
        <v>0</v>
      </c>
      <c r="H81" s="234"/>
      <c r="I81" s="212"/>
      <c r="J81" s="3"/>
      <c r="K81" s="431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0"/>
      <c r="D82" s="270"/>
      <c r="E82" s="270"/>
      <c r="F82" s="270"/>
      <c r="G82" s="271">
        <f>SUM(G69:G81)</f>
        <v>1248357390</v>
      </c>
      <c r="H82" s="252" t="s">
        <v>363</v>
      </c>
      <c r="I82" s="4"/>
      <c r="J82" s="3"/>
      <c r="K82" s="432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56" t="s">
        <v>22</v>
      </c>
      <c r="L83" s="457"/>
      <c r="M83" s="457"/>
      <c r="N83" s="457"/>
      <c r="O83" s="458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49"/>
      <c r="X85" s="450"/>
      <c r="Y85" s="450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49"/>
      <c r="X86" s="450"/>
      <c r="Y86" s="450"/>
      <c r="Z86" s="21"/>
    </row>
    <row r="87" spans="1:26" ht="16.5" customHeight="1">
      <c r="A87" s="3"/>
      <c r="B87" s="12" t="s">
        <v>106</v>
      </c>
      <c r="C87" s="287" t="s">
        <v>107</v>
      </c>
      <c r="D87" s="288"/>
      <c r="E87" s="288">
        <v>0</v>
      </c>
      <c r="F87" s="289">
        <v>20000000</v>
      </c>
      <c r="G87" s="288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51" t="s">
        <v>109</v>
      </c>
      <c r="R87" s="453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54" t="s">
        <v>111</v>
      </c>
      <c r="C88" s="288" t="s">
        <v>112</v>
      </c>
      <c r="D88" s="288"/>
      <c r="E88" s="288">
        <v>0</v>
      </c>
      <c r="F88" s="289">
        <v>8000000</v>
      </c>
      <c r="G88" s="288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52"/>
      <c r="R88" s="450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55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59" t="s">
        <v>115</v>
      </c>
      <c r="I89" s="4"/>
      <c r="J89" s="3"/>
      <c r="K89" s="456" t="s">
        <v>22</v>
      </c>
      <c r="L89" s="457"/>
      <c r="M89" s="457"/>
      <c r="N89" s="457"/>
      <c r="O89" s="458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52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42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43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45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56" t="s">
        <v>22</v>
      </c>
      <c r="L96" s="457"/>
      <c r="M96" s="457"/>
      <c r="N96" s="457"/>
      <c r="O96" s="458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39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293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42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293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43"/>
      <c r="C102" s="16" t="s">
        <v>128</v>
      </c>
      <c r="D102" s="16" t="s">
        <v>122</v>
      </c>
      <c r="E102" s="16">
        <v>0</v>
      </c>
      <c r="F102" s="53">
        <v>152000</v>
      </c>
      <c r="G102" s="293">
        <f t="shared" si="8"/>
        <v>0</v>
      </c>
      <c r="H102" s="41"/>
      <c r="I102" s="4"/>
      <c r="J102" s="3"/>
      <c r="K102" s="456" t="s">
        <v>22</v>
      </c>
      <c r="L102" s="457"/>
      <c r="M102" s="457"/>
      <c r="N102" s="457"/>
      <c r="O102" s="458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43"/>
      <c r="C103" s="16" t="s">
        <v>129</v>
      </c>
      <c r="D103" s="16" t="s">
        <v>122</v>
      </c>
      <c r="E103" s="16">
        <v>0</v>
      </c>
      <c r="F103" s="53">
        <v>20000</v>
      </c>
      <c r="G103" s="293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43"/>
      <c r="C104" s="16" t="s">
        <v>130</v>
      </c>
      <c r="D104" s="16" t="s">
        <v>122</v>
      </c>
      <c r="E104" s="216">
        <v>55</v>
      </c>
      <c r="F104" s="216">
        <v>150700</v>
      </c>
      <c r="G104" s="293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45"/>
      <c r="C105" s="11" t="s">
        <v>131</v>
      </c>
      <c r="D105" s="219" t="s">
        <v>122</v>
      </c>
      <c r="E105" s="218">
        <v>10</v>
      </c>
      <c r="F105" s="218">
        <v>132000</v>
      </c>
      <c r="G105" s="390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30" t="s">
        <v>132</v>
      </c>
      <c r="C106" s="16" t="s">
        <v>133</v>
      </c>
      <c r="D106" s="24" t="s">
        <v>134</v>
      </c>
      <c r="E106" s="218">
        <v>6</v>
      </c>
      <c r="F106" s="231">
        <f>7500000</f>
        <v>7500000</v>
      </c>
      <c r="G106" s="229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32"/>
      <c r="C107" s="211" t="s">
        <v>511</v>
      </c>
      <c r="D107" s="24"/>
      <c r="E107" s="243">
        <v>8</v>
      </c>
      <c r="F107" s="358">
        <f>10640000/8</f>
        <v>1330000</v>
      </c>
      <c r="G107" s="391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0" t="s">
        <v>136</v>
      </c>
      <c r="C108" s="11" t="s">
        <v>137</v>
      </c>
      <c r="D108" s="11" t="s">
        <v>138</v>
      </c>
      <c r="E108" s="211">
        <v>50</v>
      </c>
      <c r="F108" s="230">
        <v>385000</v>
      </c>
      <c r="G108" s="293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33" t="s">
        <v>456</v>
      </c>
      <c r="C109" s="229" t="s">
        <v>501</v>
      </c>
      <c r="D109" s="16"/>
      <c r="E109" s="16">
        <v>1</v>
      </c>
      <c r="F109" s="16">
        <v>5676000</v>
      </c>
      <c r="G109" s="293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33"/>
      <c r="C110" s="229" t="s">
        <v>503</v>
      </c>
      <c r="D110" s="211"/>
      <c r="E110" s="16">
        <v>1</v>
      </c>
      <c r="F110" s="211">
        <v>1531200</v>
      </c>
      <c r="G110" s="293">
        <f t="shared" si="8"/>
        <v>1531200</v>
      </c>
      <c r="H110" s="3"/>
      <c r="I110" s="212"/>
      <c r="J110" s="3"/>
      <c r="K110" s="26"/>
      <c r="L110" s="290"/>
      <c r="M110" s="291"/>
      <c r="N110" s="291"/>
      <c r="O110" s="291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33"/>
      <c r="C111" s="229" t="s">
        <v>504</v>
      </c>
      <c r="D111" s="211"/>
      <c r="E111" s="16">
        <v>1</v>
      </c>
      <c r="F111" s="211">
        <v>935000</v>
      </c>
      <c r="G111" s="293">
        <f t="shared" si="8"/>
        <v>935000</v>
      </c>
      <c r="H111" s="3"/>
      <c r="I111" s="212"/>
      <c r="J111" s="3"/>
      <c r="K111" s="26"/>
      <c r="L111" s="290"/>
      <c r="M111" s="291"/>
      <c r="N111" s="291"/>
      <c r="O111" s="291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33"/>
      <c r="C112" s="229" t="s">
        <v>505</v>
      </c>
      <c r="D112" s="211"/>
      <c r="E112" s="16">
        <v>1</v>
      </c>
      <c r="F112" s="211">
        <v>1873300</v>
      </c>
      <c r="G112" s="293">
        <f t="shared" si="8"/>
        <v>1873300</v>
      </c>
      <c r="H112" s="3"/>
      <c r="I112" s="212"/>
      <c r="J112" s="3"/>
      <c r="K112" s="26"/>
      <c r="L112" s="290"/>
      <c r="M112" s="291"/>
      <c r="N112" s="291"/>
      <c r="O112" s="291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33"/>
      <c r="C113" s="229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0"/>
      <c r="M113" s="291"/>
      <c r="N113" s="291"/>
      <c r="O113" s="291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33" t="s">
        <v>457</v>
      </c>
      <c r="C114" s="229" t="s">
        <v>509</v>
      </c>
      <c r="D114" s="211"/>
      <c r="E114" s="16">
        <v>1</v>
      </c>
      <c r="F114" s="211">
        <v>2332000</v>
      </c>
      <c r="G114" s="293">
        <f t="shared" si="8"/>
        <v>2332000</v>
      </c>
      <c r="H114" s="3"/>
      <c r="I114" s="212"/>
      <c r="J114" s="3"/>
      <c r="K114" s="26"/>
      <c r="L114" s="290"/>
      <c r="M114" s="291"/>
      <c r="N114" s="291"/>
      <c r="O114" s="291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33"/>
      <c r="C115" s="229" t="s">
        <v>510</v>
      </c>
      <c r="D115" s="211"/>
      <c r="E115" s="211">
        <v>1</v>
      </c>
      <c r="F115" s="211">
        <v>1496000</v>
      </c>
      <c r="G115" s="293">
        <f t="shared" si="8"/>
        <v>1496000</v>
      </c>
      <c r="H115" s="3"/>
      <c r="I115" s="212"/>
      <c r="J115" s="3"/>
      <c r="K115" s="26"/>
      <c r="L115" s="290"/>
      <c r="M115" s="291"/>
      <c r="N115" s="291"/>
      <c r="O115" s="291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33"/>
      <c r="C116" s="229" t="s">
        <v>506</v>
      </c>
      <c r="D116" s="211"/>
      <c r="E116" s="16">
        <v>1</v>
      </c>
      <c r="F116" s="211">
        <v>643500</v>
      </c>
      <c r="G116" s="293">
        <f t="shared" si="8"/>
        <v>643500</v>
      </c>
      <c r="H116" s="3"/>
      <c r="I116" s="212"/>
      <c r="J116" s="3"/>
      <c r="K116" s="26"/>
      <c r="L116" s="290"/>
      <c r="M116" s="291"/>
      <c r="N116" s="291"/>
      <c r="O116" s="291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33"/>
      <c r="C117" s="229" t="s">
        <v>507</v>
      </c>
      <c r="D117" s="211"/>
      <c r="E117" s="16">
        <v>1</v>
      </c>
      <c r="F117" s="211">
        <v>1155000</v>
      </c>
      <c r="G117" s="293">
        <f t="shared" si="8"/>
        <v>1155000</v>
      </c>
      <c r="H117" s="3"/>
      <c r="I117" s="212"/>
      <c r="J117" s="3"/>
      <c r="K117" s="26"/>
      <c r="L117" s="290"/>
      <c r="M117" s="291"/>
      <c r="N117" s="291"/>
      <c r="O117" s="291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33"/>
      <c r="C118" s="229" t="s">
        <v>508</v>
      </c>
      <c r="D118" s="211"/>
      <c r="E118" s="16">
        <v>1</v>
      </c>
      <c r="F118" s="211">
        <v>1925000</v>
      </c>
      <c r="G118" s="293">
        <f t="shared" si="8"/>
        <v>1925000</v>
      </c>
      <c r="H118" s="3"/>
      <c r="I118" s="212"/>
      <c r="J118" s="3"/>
      <c r="K118" s="26"/>
      <c r="L118" s="290"/>
      <c r="M118" s="291"/>
      <c r="N118" s="291"/>
      <c r="O118" s="291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33" t="s">
        <v>458</v>
      </c>
      <c r="C119" s="229" t="s">
        <v>502</v>
      </c>
      <c r="D119" s="211"/>
      <c r="E119" s="16">
        <v>1</v>
      </c>
      <c r="F119" s="211">
        <v>964480</v>
      </c>
      <c r="G119" s="293">
        <f t="shared" si="8"/>
        <v>964480</v>
      </c>
      <c r="H119" s="3"/>
      <c r="I119" s="212"/>
      <c r="J119" s="3"/>
      <c r="K119" s="26"/>
      <c r="L119" s="290"/>
      <c r="M119" s="291"/>
      <c r="N119" s="291"/>
      <c r="O119" s="291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33"/>
      <c r="C120" s="229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0"/>
      <c r="M120" s="291"/>
      <c r="N120" s="291"/>
      <c r="O120" s="291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33"/>
      <c r="C121" s="229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0"/>
      <c r="M121" s="291"/>
      <c r="N121" s="291"/>
      <c r="O121" s="291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33"/>
      <c r="C122" s="229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0"/>
      <c r="M122" s="291"/>
      <c r="N122" s="291"/>
      <c r="O122" s="291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33"/>
      <c r="C123" s="229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0"/>
      <c r="M123" s="291"/>
      <c r="N123" s="291"/>
      <c r="O123" s="291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33"/>
      <c r="C124" s="229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0"/>
      <c r="M124" s="291"/>
      <c r="N124" s="291"/>
      <c r="O124" s="291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369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2">
        <f>SUM(G140,G153,G158,G183,G192,G197,G205,G211,G217,G226,G232,G250)</f>
        <v>1158492665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42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61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45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52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354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56" t="s">
        <v>22</v>
      </c>
      <c r="L134" s="457"/>
      <c r="M134" s="457"/>
      <c r="N134" s="457"/>
      <c r="O134" s="458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413</v>
      </c>
      <c r="C135" s="11" t="s">
        <v>414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3"/>
      <c r="L135" s="119"/>
      <c r="M135" s="119"/>
      <c r="N135" s="119"/>
      <c r="O135" s="119"/>
      <c r="P135" s="24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362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30" t="s">
        <v>360</v>
      </c>
      <c r="C137" s="11" t="s">
        <v>361</v>
      </c>
      <c r="D137" s="430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32"/>
      <c r="C138" s="11" t="s">
        <v>365</v>
      </c>
      <c r="D138" s="432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356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0">
        <f>SUM(G131:G139)</f>
        <v>683000000</v>
      </c>
      <c r="H140" s="321" t="s">
        <v>477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70" t="s">
        <v>157</v>
      </c>
      <c r="L141" s="56" t="s">
        <v>158</v>
      </c>
      <c r="M141" s="56">
        <v>12000000</v>
      </c>
      <c r="N141" s="461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45"/>
      <c r="L142" s="11" t="s">
        <v>159</v>
      </c>
      <c r="M142" s="11">
        <v>100000000</v>
      </c>
      <c r="N142" s="452"/>
      <c r="O142" s="449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42" t="s">
        <v>161</v>
      </c>
      <c r="L143" s="11" t="s">
        <v>162</v>
      </c>
      <c r="M143" s="11">
        <v>40000000</v>
      </c>
      <c r="N143" s="461" t="s">
        <v>163</v>
      </c>
      <c r="O143" s="45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54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45"/>
      <c r="L144" s="11" t="s">
        <v>165</v>
      </c>
      <c r="M144" s="11">
        <v>20000000</v>
      </c>
      <c r="N144" s="452"/>
      <c r="O144" s="45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52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52"/>
      <c r="C146" s="293" t="s">
        <v>170</v>
      </c>
      <c r="D146" s="294"/>
      <c r="E146" s="294">
        <v>1</v>
      </c>
      <c r="F146" s="294">
        <f>486205+66667+120000</f>
        <v>672872</v>
      </c>
      <c r="G146" s="293">
        <f t="shared" si="14"/>
        <v>672872</v>
      </c>
      <c r="H146" s="459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52"/>
      <c r="C147" s="293" t="s">
        <v>171</v>
      </c>
      <c r="D147" s="294"/>
      <c r="E147" s="294">
        <v>1</v>
      </c>
      <c r="F147" s="294">
        <f>486205+66667+120000</f>
        <v>672872</v>
      </c>
      <c r="G147" s="293">
        <f t="shared" si="14"/>
        <v>672872</v>
      </c>
      <c r="H147" s="452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52"/>
      <c r="C148" s="216" t="s">
        <v>350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59" t="s">
        <v>349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52"/>
      <c r="C149" s="216" t="s">
        <v>351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52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52"/>
      <c r="C150" s="216" t="s">
        <v>518</v>
      </c>
      <c r="D150" s="242"/>
      <c r="E150" s="31">
        <v>1</v>
      </c>
      <c r="F150" s="11">
        <v>760000</v>
      </c>
      <c r="G150" s="11">
        <f t="shared" si="14"/>
        <v>760000</v>
      </c>
      <c r="H150" s="366" t="s">
        <v>521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52"/>
      <c r="C151" s="11" t="s">
        <v>405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59" t="s">
        <v>172</v>
      </c>
      <c r="I151" s="4"/>
      <c r="J151" s="3"/>
      <c r="K151" s="462" t="s">
        <v>151</v>
      </c>
      <c r="L151" s="463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55"/>
      <c r="C152" s="3"/>
      <c r="D152" s="3"/>
      <c r="E152" s="3"/>
      <c r="F152" s="3"/>
      <c r="G152" s="3"/>
      <c r="H152" s="452"/>
      <c r="I152" s="4"/>
      <c r="J152" s="3"/>
      <c r="K152" s="57" t="s">
        <v>173</v>
      </c>
      <c r="L152" s="58">
        <f>500+400+300+200</f>
        <v>1400</v>
      </c>
      <c r="M152" s="451" t="s">
        <v>174</v>
      </c>
      <c r="N152" s="450"/>
      <c r="O152" s="450"/>
      <c r="P152" s="450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51" t="s">
        <v>176</v>
      </c>
      <c r="N153" s="450"/>
      <c r="O153" s="450"/>
      <c r="P153" s="450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61" t="s">
        <v>178</v>
      </c>
      <c r="N154" s="450"/>
      <c r="O154" s="450"/>
      <c r="P154" s="450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61" t="s">
        <v>181</v>
      </c>
      <c r="N155" s="450"/>
      <c r="O155" s="450"/>
      <c r="P155" s="450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51" t="s">
        <v>183</v>
      </c>
      <c r="N156" s="450"/>
      <c r="O156" s="450"/>
      <c r="P156" s="450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51" t="s">
        <v>185</v>
      </c>
      <c r="N157" s="450"/>
      <c r="O157" s="450"/>
      <c r="P157" s="450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42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43"/>
      <c r="C163" s="293" t="s">
        <v>188</v>
      </c>
      <c r="D163" s="294"/>
      <c r="E163" s="294">
        <v>1</v>
      </c>
      <c r="F163" s="294">
        <v>230000</v>
      </c>
      <c r="G163" s="293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43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43"/>
      <c r="C165" s="295" t="s">
        <v>189</v>
      </c>
      <c r="D165" s="296"/>
      <c r="E165" s="296">
        <v>1</v>
      </c>
      <c r="F165" s="294">
        <v>230000</v>
      </c>
      <c r="G165" s="293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44"/>
      <c r="C166" s="216" t="s">
        <v>345</v>
      </c>
      <c r="D166" s="241"/>
      <c r="E166" s="240">
        <v>1</v>
      </c>
      <c r="F166" s="27">
        <v>990000</v>
      </c>
      <c r="G166" s="11">
        <f t="shared" si="16"/>
        <v>990000</v>
      </c>
      <c r="H166" s="30" t="s">
        <v>346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44"/>
      <c r="C167" s="216" t="s">
        <v>347</v>
      </c>
      <c r="D167" s="241"/>
      <c r="E167" s="240">
        <v>1</v>
      </c>
      <c r="F167" s="27">
        <v>700000</v>
      </c>
      <c r="G167" s="11">
        <f t="shared" si="16"/>
        <v>700000</v>
      </c>
      <c r="H167" s="30" t="s">
        <v>348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43"/>
      <c r="C168" s="295" t="s">
        <v>353</v>
      </c>
      <c r="D168" s="297"/>
      <c r="E168" s="298">
        <v>20</v>
      </c>
      <c r="F168" s="293">
        <f>486205-0.5+66667</f>
        <v>552871.5</v>
      </c>
      <c r="G168" s="293">
        <f>E168*F168</f>
        <v>11057430</v>
      </c>
      <c r="H168" s="225" t="s">
        <v>352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43"/>
      <c r="C169" s="216" t="s">
        <v>355</v>
      </c>
      <c r="D169" s="242"/>
      <c r="E169" s="31">
        <v>25</v>
      </c>
      <c r="F169" s="11">
        <f>400000</f>
        <v>400000</v>
      </c>
      <c r="G169" s="11">
        <f t="shared" si="16"/>
        <v>10000000</v>
      </c>
      <c r="H169" s="226" t="s">
        <v>465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43"/>
      <c r="C170" s="299" t="s">
        <v>192</v>
      </c>
      <c r="D170" s="300"/>
      <c r="E170" s="298">
        <v>20</v>
      </c>
      <c r="F170" s="293">
        <v>140000</v>
      </c>
      <c r="G170" s="293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45"/>
      <c r="C171" s="12" t="s">
        <v>343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359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46" t="s">
        <v>404</v>
      </c>
      <c r="C172" s="216" t="s">
        <v>409</v>
      </c>
      <c r="D172" s="242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47"/>
      <c r="C173" s="216" t="s">
        <v>410</v>
      </c>
      <c r="D173" s="242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47"/>
      <c r="C174" s="367" t="s">
        <v>411</v>
      </c>
      <c r="D174" s="368"/>
      <c r="E174" s="369">
        <v>5</v>
      </c>
      <c r="F174" s="320">
        <f>11062500/5</f>
        <v>2212500</v>
      </c>
      <c r="G174" s="320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47"/>
      <c r="C175" s="216" t="s">
        <v>425</v>
      </c>
      <c r="D175" s="242"/>
      <c r="E175" s="31">
        <v>5</v>
      </c>
      <c r="F175" s="11">
        <f>128*1400*4</f>
        <v>716800</v>
      </c>
      <c r="G175" s="11">
        <f t="shared" si="16"/>
        <v>3584000</v>
      </c>
      <c r="H175" s="228" t="s">
        <v>519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47"/>
      <c r="C176" s="367" t="s">
        <v>481</v>
      </c>
      <c r="D176" s="368"/>
      <c r="E176" s="369">
        <v>4</v>
      </c>
      <c r="F176" s="320">
        <f>504669</f>
        <v>504669</v>
      </c>
      <c r="G176" s="320">
        <f t="shared" si="16"/>
        <v>2018676</v>
      </c>
      <c r="H176" s="228" t="s">
        <v>482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47"/>
      <c r="C177" s="367" t="s">
        <v>481</v>
      </c>
      <c r="D177" s="368"/>
      <c r="E177" s="369">
        <v>2</v>
      </c>
      <c r="F177" s="320">
        <v>501199</v>
      </c>
      <c r="G177" s="320">
        <f>E177*F177</f>
        <v>1002398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48"/>
      <c r="C178" s="367" t="s">
        <v>483</v>
      </c>
      <c r="D178" s="368"/>
      <c r="E178" s="369">
        <v>3</v>
      </c>
      <c r="F178" s="320">
        <v>30279</v>
      </c>
      <c r="G178" s="320">
        <f>E178*F178</f>
        <v>90837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42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43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59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44"/>
      <c r="C181" s="301" t="s">
        <v>344</v>
      </c>
      <c r="D181" s="302"/>
      <c r="E181" s="294">
        <v>1</v>
      </c>
      <c r="F181" s="298">
        <v>516000</v>
      </c>
      <c r="G181" s="293">
        <f t="shared" si="16"/>
        <v>516000</v>
      </c>
      <c r="H181" s="459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45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52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83031841</v>
      </c>
      <c r="H183" s="452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42" t="s">
        <v>117</v>
      </c>
      <c r="C187" s="595" t="s">
        <v>118</v>
      </c>
      <c r="D187" s="596"/>
      <c r="E187" s="597">
        <v>500000</v>
      </c>
      <c r="F187" s="595">
        <v>2</v>
      </c>
      <c r="G187" s="595">
        <f t="shared" ref="G187:G191" si="17">E187*F187</f>
        <v>1000000</v>
      </c>
      <c r="H187" s="3" t="s">
        <v>542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43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44"/>
      <c r="C189" s="293" t="s">
        <v>455</v>
      </c>
      <c r="D189" s="294"/>
      <c r="E189" s="298">
        <v>371600</v>
      </c>
      <c r="F189" s="293">
        <v>1</v>
      </c>
      <c r="G189" s="293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44"/>
      <c r="C190" s="293" t="s">
        <v>484</v>
      </c>
      <c r="D190" s="294"/>
      <c r="E190" s="298">
        <v>52500</v>
      </c>
      <c r="F190" s="293">
        <v>1</v>
      </c>
      <c r="G190" s="293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45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479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60"/>
      <c r="M202" s="450"/>
      <c r="N202" s="450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50"/>
      <c r="M203" s="450"/>
      <c r="N203" s="450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4" t="s">
        <v>210</v>
      </c>
      <c r="D210" s="294"/>
      <c r="E210" s="294">
        <v>1</v>
      </c>
      <c r="F210" s="293">
        <v>2043000</v>
      </c>
      <c r="G210" s="293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598" t="s">
        <v>214</v>
      </c>
      <c r="C216" s="595" t="s">
        <v>215</v>
      </c>
      <c r="D216" s="595"/>
      <c r="E216" s="595">
        <v>42</v>
      </c>
      <c r="F216" s="595">
        <v>25900</v>
      </c>
      <c r="G216" s="595">
        <f>E216*F216</f>
        <v>1087800</v>
      </c>
      <c r="H216" s="8" t="s">
        <v>543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216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8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3" t="s">
        <v>140</v>
      </c>
      <c r="C221" s="298">
        <f>R125</f>
        <v>151120240</v>
      </c>
      <c r="D221" s="294"/>
      <c r="E221" s="294"/>
      <c r="F221" s="294"/>
      <c r="G221" s="293">
        <f t="shared" ref="G221:G223" si="20">C221</f>
        <v>151120240</v>
      </c>
      <c r="H221" s="3" t="s">
        <v>217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3" t="s">
        <v>142</v>
      </c>
      <c r="C222" s="303">
        <f>R126</f>
        <v>186772440</v>
      </c>
      <c r="D222" s="296"/>
      <c r="E222" s="296"/>
      <c r="F222" s="296"/>
      <c r="G222" s="295">
        <f t="shared" si="20"/>
        <v>186772440</v>
      </c>
      <c r="H222" s="3" t="s">
        <v>459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4" t="s">
        <v>158</v>
      </c>
      <c r="C223" s="305">
        <v>12743500</v>
      </c>
      <c r="D223" s="306"/>
      <c r="E223" s="306"/>
      <c r="F223" s="306"/>
      <c r="G223" s="307">
        <f t="shared" si="20"/>
        <v>12743500</v>
      </c>
      <c r="H223" s="220" t="s">
        <v>218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367</v>
      </c>
      <c r="C224" s="230">
        <v>0</v>
      </c>
      <c r="D224" s="292"/>
      <c r="E224" s="292"/>
      <c r="F224" s="292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368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3"/>
      <c r="C227" s="243"/>
      <c r="D227" s="243"/>
      <c r="E227" s="243"/>
      <c r="F227" s="243"/>
      <c r="G227" s="243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56" t="s">
        <v>22</v>
      </c>
      <c r="C232" s="457"/>
      <c r="D232" s="457"/>
      <c r="E232" s="457"/>
      <c r="F232" s="458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6"/>
      <c r="E235" s="266"/>
      <c r="F235" s="267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39" t="s">
        <v>219</v>
      </c>
      <c r="C236" s="307" t="s">
        <v>445</v>
      </c>
      <c r="D236" s="307"/>
      <c r="E236" s="307">
        <v>1</v>
      </c>
      <c r="F236" s="307">
        <v>290000</v>
      </c>
      <c r="G236" s="307">
        <f t="shared" ref="G236:G244" si="22">E236*F236</f>
        <v>290000</v>
      </c>
      <c r="H236" s="220" t="s">
        <v>223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40"/>
      <c r="C237" s="307" t="s">
        <v>446</v>
      </c>
      <c r="D237" s="307"/>
      <c r="E237" s="307">
        <v>1</v>
      </c>
      <c r="F237" s="307">
        <v>290000</v>
      </c>
      <c r="G237" s="307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40"/>
      <c r="C238" s="307" t="s">
        <v>447</v>
      </c>
      <c r="D238" s="307"/>
      <c r="E238" s="307">
        <v>1</v>
      </c>
      <c r="F238" s="307">
        <v>210000</v>
      </c>
      <c r="G238" s="307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41"/>
      <c r="C239" s="307" t="s">
        <v>448</v>
      </c>
      <c r="D239" s="307"/>
      <c r="E239" s="307">
        <v>1</v>
      </c>
      <c r="F239" s="307">
        <v>210000</v>
      </c>
      <c r="G239" s="307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36" t="s">
        <v>438</v>
      </c>
      <c r="C240" s="309" t="s">
        <v>439</v>
      </c>
      <c r="D240" s="309"/>
      <c r="E240" s="309">
        <v>1</v>
      </c>
      <c r="F240" s="309">
        <v>540000</v>
      </c>
      <c r="G240" s="309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37"/>
      <c r="C241" s="293" t="s">
        <v>440</v>
      </c>
      <c r="D241" s="293"/>
      <c r="E241" s="293">
        <v>1</v>
      </c>
      <c r="F241" s="293">
        <v>540000</v>
      </c>
      <c r="G241" s="293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37"/>
      <c r="C242" s="293" t="s">
        <v>441</v>
      </c>
      <c r="D242" s="293"/>
      <c r="E242" s="293">
        <v>1</v>
      </c>
      <c r="F242" s="293">
        <v>1260000</v>
      </c>
      <c r="G242" s="293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38"/>
      <c r="C243" s="293" t="s">
        <v>444</v>
      </c>
      <c r="D243" s="293"/>
      <c r="E243" s="293">
        <v>1</v>
      </c>
      <c r="F243" s="293">
        <v>1260000</v>
      </c>
      <c r="G243" s="293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09" t="s">
        <v>442</v>
      </c>
      <c r="C244" s="293" t="s">
        <v>443</v>
      </c>
      <c r="D244" s="293"/>
      <c r="E244" s="293">
        <v>1</v>
      </c>
      <c r="F244" s="293">
        <v>2700000</v>
      </c>
      <c r="G244" s="293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430" t="s">
        <v>526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431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431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431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432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60"/>
      <c r="K250" s="450"/>
      <c r="L250" s="450"/>
      <c r="M250" s="450"/>
      <c r="N250" s="450"/>
      <c r="O250" s="450"/>
      <c r="P250" s="450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50"/>
      <c r="K251" s="450"/>
      <c r="L251" s="450"/>
      <c r="M251" s="450"/>
      <c r="N251" s="450"/>
      <c r="O251" s="450"/>
      <c r="P251" s="450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224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J250:P251"/>
    <mergeCell ref="M156:P156"/>
    <mergeCell ref="M157:P157"/>
    <mergeCell ref="M153:P153"/>
    <mergeCell ref="M154:P154"/>
    <mergeCell ref="M155:P155"/>
    <mergeCell ref="K83:O83"/>
    <mergeCell ref="K73:K82"/>
    <mergeCell ref="K93:K95"/>
    <mergeCell ref="K54:O54"/>
    <mergeCell ref="K61:O61"/>
    <mergeCell ref="K65:K68"/>
    <mergeCell ref="K69:O69"/>
    <mergeCell ref="A1:H1"/>
    <mergeCell ref="J1:Q1"/>
    <mergeCell ref="B7:B13"/>
    <mergeCell ref="H7:H8"/>
    <mergeCell ref="K7:K11"/>
    <mergeCell ref="L11:O11"/>
    <mergeCell ref="K13:O13"/>
    <mergeCell ref="C13:F13"/>
    <mergeCell ref="K31:O31"/>
    <mergeCell ref="H35:H36"/>
    <mergeCell ref="H37:H38"/>
    <mergeCell ref="K41:O41"/>
    <mergeCell ref="K48:O48"/>
    <mergeCell ref="H41:H53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W85:Y85"/>
    <mergeCell ref="W86:Y86"/>
    <mergeCell ref="Q87:Q88"/>
    <mergeCell ref="R87:R88"/>
    <mergeCell ref="B88:B89"/>
    <mergeCell ref="K89:O89"/>
    <mergeCell ref="B245:B249"/>
    <mergeCell ref="B119:B124"/>
    <mergeCell ref="B80:B81"/>
    <mergeCell ref="B240:B243"/>
    <mergeCell ref="B236:B239"/>
    <mergeCell ref="B187:B191"/>
    <mergeCell ref="B172:B178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5"/>
  <sheetViews>
    <sheetView zoomScaleNormal="100" workbookViewId="0">
      <pane ySplit="3" topLeftCell="A104" activePane="bottomLeft" state="frozen"/>
      <selection pane="bottomLeft" activeCell="F178" sqref="F178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507" t="s">
        <v>276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7" t="s">
        <v>227</v>
      </c>
      <c r="AE1" s="247" t="s">
        <v>228</v>
      </c>
      <c r="AF1" s="247" t="s">
        <v>229</v>
      </c>
      <c r="AG1" s="247" t="s">
        <v>230</v>
      </c>
      <c r="AH1" s="247" t="s">
        <v>231</v>
      </c>
      <c r="AI1" s="247" t="s">
        <v>232</v>
      </c>
      <c r="AJ1" s="247" t="s">
        <v>233</v>
      </c>
      <c r="AK1" s="247" t="s">
        <v>234</v>
      </c>
      <c r="AL1" s="247" t="s">
        <v>235</v>
      </c>
      <c r="AM1" s="247" t="s">
        <v>236</v>
      </c>
      <c r="AN1" s="247" t="s">
        <v>237</v>
      </c>
      <c r="AO1" s="247" t="s">
        <v>238</v>
      </c>
      <c r="AP1" s="247" t="s">
        <v>239</v>
      </c>
      <c r="AQ1" s="247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509" t="s">
        <v>7</v>
      </c>
      <c r="Q2" s="458"/>
      <c r="R2" s="509" t="s">
        <v>243</v>
      </c>
      <c r="S2" s="458"/>
      <c r="T2" s="509" t="s">
        <v>31</v>
      </c>
      <c r="U2" s="458"/>
      <c r="V2" s="509" t="s">
        <v>72</v>
      </c>
      <c r="W2" s="458"/>
      <c r="X2" s="509" t="s">
        <v>84</v>
      </c>
      <c r="Y2" s="458"/>
      <c r="Z2" s="509" t="s">
        <v>244</v>
      </c>
      <c r="AA2" s="458"/>
      <c r="AD2" s="248">
        <f t="shared" ref="AD2:AO2" si="0">SUMIF($G4:$G176, AD1, $H4:$H176)</f>
        <v>14600000</v>
      </c>
      <c r="AE2" s="248">
        <f t="shared" si="0"/>
        <v>17381628</v>
      </c>
      <c r="AF2" s="248">
        <f t="shared" si="0"/>
        <v>75237443</v>
      </c>
      <c r="AG2" s="248">
        <f t="shared" si="0"/>
        <v>31017560</v>
      </c>
      <c r="AH2" s="248">
        <f t="shared" si="0"/>
        <v>425800124.92500001</v>
      </c>
      <c r="AI2" s="248">
        <f t="shared" si="0"/>
        <v>32766221.925000001</v>
      </c>
      <c r="AJ2" s="248">
        <f t="shared" si="0"/>
        <v>254763523.92500001</v>
      </c>
      <c r="AK2" s="248">
        <f t="shared" si="0"/>
        <v>218087583.92500001</v>
      </c>
      <c r="AL2" s="248">
        <f t="shared" si="0"/>
        <v>792638964.92499995</v>
      </c>
      <c r="AM2" s="248">
        <f t="shared" si="0"/>
        <v>64765083.924999997</v>
      </c>
      <c r="AN2" s="248">
        <f t="shared" si="0"/>
        <v>508365083.92500001</v>
      </c>
      <c r="AO2" s="248">
        <f t="shared" si="0"/>
        <v>433673083.92500001</v>
      </c>
      <c r="AP2" s="248">
        <f>SUM(AD2:AO2)</f>
        <v>2869096302.4000001</v>
      </c>
      <c r="AQ2" s="249">
        <f>$A$2-$AP$2</f>
        <v>87303697.599999905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524" t="s">
        <v>247</v>
      </c>
      <c r="E3" s="525"/>
      <c r="F3" s="526"/>
      <c r="G3" s="73" t="s">
        <v>277</v>
      </c>
      <c r="H3" s="75" t="s">
        <v>278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186800000</v>
      </c>
      <c r="S3" s="81">
        <f>K31</f>
        <v>1</v>
      </c>
      <c r="T3" s="80">
        <f>H48</f>
        <v>1251687390</v>
      </c>
      <c r="U3" s="81">
        <f>K48</f>
        <v>1.0010636958765846</v>
      </c>
      <c r="V3" s="80">
        <f>H68</f>
        <v>73075500</v>
      </c>
      <c r="W3" s="81">
        <f>K68</f>
        <v>0.67637762114782096</v>
      </c>
      <c r="X3" s="80">
        <f>H178</f>
        <v>1155146565</v>
      </c>
      <c r="Y3" s="81">
        <f>K178</f>
        <v>0.99711167787152111</v>
      </c>
      <c r="Z3" s="82">
        <f>H179</f>
        <v>2881208213.4000001</v>
      </c>
      <c r="AA3" s="83">
        <f>K179</f>
        <v>0.98732771979443845</v>
      </c>
      <c r="AD3" s="250">
        <f>AD2/$A$2</f>
        <v>4.9384386415911247E-3</v>
      </c>
      <c r="AE3" s="250">
        <f t="shared" ref="AE3:AO3" si="1">AE2/$A$2+AD3</f>
        <v>1.0817760790150184E-2</v>
      </c>
      <c r="AF3" s="250">
        <f t="shared" si="1"/>
        <v>3.6266767352185092E-2</v>
      </c>
      <c r="AG3" s="250">
        <f t="shared" si="1"/>
        <v>4.6758432891354354E-2</v>
      </c>
      <c r="AH3" s="250">
        <f t="shared" si="1"/>
        <v>0.19078499388614534</v>
      </c>
      <c r="AI3" s="250">
        <f t="shared" si="1"/>
        <v>0.20186814296103373</v>
      </c>
      <c r="AJ3" s="250">
        <f t="shared" si="1"/>
        <v>0.28804170672946833</v>
      </c>
      <c r="AK3" s="250">
        <f t="shared" si="1"/>
        <v>0.3618096623258017</v>
      </c>
      <c r="AL3" s="250">
        <f t="shared" si="1"/>
        <v>0.62991917555980248</v>
      </c>
      <c r="AM3" s="250">
        <f t="shared" si="1"/>
        <v>0.65182591481193342</v>
      </c>
      <c r="AN3" s="250">
        <f t="shared" si="1"/>
        <v>0.82378000895514814</v>
      </c>
      <c r="AO3" s="250">
        <f t="shared" si="1"/>
        <v>0.9704695922067379</v>
      </c>
      <c r="AP3" s="250">
        <f t="shared" ref="AP3:AQ3" si="2">AP2/$A$2</f>
        <v>0.97046959220673801</v>
      </c>
      <c r="AQ3" s="250">
        <f t="shared" si="2"/>
        <v>2.9530407793262044E-2</v>
      </c>
    </row>
    <row r="4" spans="1:43" ht="16.5" customHeight="1">
      <c r="A4" s="485" t="s">
        <v>7</v>
      </c>
      <c r="B4" s="486" t="s">
        <v>254</v>
      </c>
      <c r="C4" s="511">
        <f>예산!G14</f>
        <v>121138758.40000001</v>
      </c>
      <c r="D4" s="85" t="s">
        <v>15</v>
      </c>
      <c r="E4" s="522">
        <f>예산!G7</f>
        <v>5871208</v>
      </c>
      <c r="F4" s="458"/>
      <c r="G4" s="85" t="s">
        <v>228</v>
      </c>
      <c r="H4" s="86">
        <f>1192128+예산!E8</f>
        <v>2781628</v>
      </c>
      <c r="I4" s="87">
        <v>45776</v>
      </c>
      <c r="J4" s="85"/>
      <c r="K4" s="513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3"/>
      <c r="B5" s="443"/>
      <c r="C5" s="443"/>
      <c r="D5" s="236" t="s">
        <v>19</v>
      </c>
      <c r="E5" s="523">
        <f>예산!G8</f>
        <v>4768500</v>
      </c>
      <c r="F5" s="473"/>
      <c r="G5" s="85" t="s">
        <v>229</v>
      </c>
      <c r="H5" s="86">
        <f>예산!E7+예산!E8</f>
        <v>3405260</v>
      </c>
      <c r="I5" s="87"/>
      <c r="J5" s="85"/>
      <c r="K5" s="44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397</v>
      </c>
    </row>
    <row r="6" spans="1:43" ht="16.5" customHeight="1">
      <c r="A6" s="443"/>
      <c r="B6" s="443"/>
      <c r="C6" s="452"/>
      <c r="D6" s="238" t="s">
        <v>358</v>
      </c>
      <c r="E6" s="523">
        <f>예산!G9</f>
        <v>19608863.399999999</v>
      </c>
      <c r="F6" s="473"/>
      <c r="G6" s="235" t="s">
        <v>230</v>
      </c>
      <c r="H6" s="86">
        <f>SUM(예산!$E$7:$E$8)</f>
        <v>3405260</v>
      </c>
      <c r="I6" s="87"/>
      <c r="J6" s="85"/>
      <c r="K6" s="44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227</v>
      </c>
      <c r="AE6" s="64" t="s">
        <v>228</v>
      </c>
      <c r="AF6" s="64" t="s">
        <v>229</v>
      </c>
      <c r="AG6" s="64" t="s">
        <v>230</v>
      </c>
      <c r="AH6" s="64" t="s">
        <v>231</v>
      </c>
      <c r="AI6" s="64" t="s">
        <v>232</v>
      </c>
      <c r="AJ6" s="64" t="s">
        <v>233</v>
      </c>
      <c r="AK6" s="64" t="s">
        <v>234</v>
      </c>
      <c r="AL6" s="64" t="s">
        <v>235</v>
      </c>
      <c r="AM6" s="64" t="s">
        <v>236</v>
      </c>
      <c r="AN6" s="64" t="s">
        <v>237</v>
      </c>
      <c r="AO6" s="64" t="s">
        <v>238</v>
      </c>
      <c r="AP6" s="64" t="s">
        <v>239</v>
      </c>
    </row>
    <row r="7" spans="1:43" ht="16.5" customHeight="1">
      <c r="A7" s="443"/>
      <c r="B7" s="443"/>
      <c r="C7" s="452"/>
      <c r="D7" s="237" t="s">
        <v>335</v>
      </c>
      <c r="E7" s="512">
        <f>예산!G10</f>
        <v>37350216</v>
      </c>
      <c r="F7" s="469"/>
      <c r="G7" s="235" t="s">
        <v>231</v>
      </c>
      <c r="H7" s="86">
        <f>SUM(예산!$E$9:$E$10)</f>
        <v>7119884.9249999998</v>
      </c>
      <c r="I7" s="87"/>
      <c r="J7" s="85"/>
      <c r="K7" s="44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43"/>
      <c r="B8" s="443"/>
      <c r="C8" s="452"/>
      <c r="D8" s="237" t="s">
        <v>386</v>
      </c>
      <c r="E8" s="520">
        <f>예산!G11</f>
        <v>32681439</v>
      </c>
      <c r="F8" s="521"/>
      <c r="G8" s="235" t="s">
        <v>232</v>
      </c>
      <c r="H8" s="86">
        <f>SUM(예산!$E$9:$E$11)+1047560</f>
        <v>12836221.925000001</v>
      </c>
      <c r="I8" s="87"/>
      <c r="J8" s="85"/>
      <c r="K8" s="44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43"/>
      <c r="B9" s="443"/>
      <c r="C9" s="443"/>
      <c r="D9" s="237" t="s">
        <v>412</v>
      </c>
      <c r="E9" s="520">
        <f>예산!G12</f>
        <v>20858532</v>
      </c>
      <c r="F9" s="521"/>
      <c r="G9" s="85" t="s">
        <v>233</v>
      </c>
      <c r="H9" s="86">
        <f>SUM(예산!$E$9:$E$12)</f>
        <v>15265083.925000001</v>
      </c>
      <c r="I9" s="87"/>
      <c r="J9" s="85"/>
      <c r="K9" s="44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43"/>
      <c r="B10" s="443"/>
      <c r="C10" s="443"/>
      <c r="D10" s="514"/>
      <c r="E10" s="515"/>
      <c r="F10" s="516"/>
      <c r="G10" s="85" t="s">
        <v>234</v>
      </c>
      <c r="H10" s="86">
        <f>SUM(예산!$E$9:$E$12)</f>
        <v>15265083.925000001</v>
      </c>
      <c r="I10" s="87"/>
      <c r="J10" s="85"/>
      <c r="K10" s="44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3"/>
      <c r="B11" s="443"/>
      <c r="C11" s="443"/>
      <c r="D11" s="514"/>
      <c r="E11" s="515"/>
      <c r="F11" s="516"/>
      <c r="G11" s="85" t="s">
        <v>235</v>
      </c>
      <c r="H11" s="86">
        <f>SUM(예산!$E$9:$E$12)</f>
        <v>15265083.925000001</v>
      </c>
      <c r="I11" s="87"/>
      <c r="J11" s="85"/>
      <c r="K11" s="44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3"/>
      <c r="B12" s="443"/>
      <c r="C12" s="443"/>
      <c r="D12" s="514"/>
      <c r="E12" s="515"/>
      <c r="F12" s="516"/>
      <c r="G12" s="85" t="s">
        <v>236</v>
      </c>
      <c r="H12" s="86">
        <f>SUM(예산!$E$9:$E$12)</f>
        <v>15265083.925000001</v>
      </c>
      <c r="I12" s="87"/>
      <c r="J12" s="85"/>
      <c r="K12" s="44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3"/>
      <c r="B13" s="443"/>
      <c r="C13" s="443"/>
      <c r="D13" s="514"/>
      <c r="E13" s="515"/>
      <c r="F13" s="516"/>
      <c r="G13" s="85" t="s">
        <v>237</v>
      </c>
      <c r="H13" s="86">
        <f>SUM(예산!$E$9:$E$12)</f>
        <v>15265083.925000001</v>
      </c>
      <c r="I13" s="87"/>
      <c r="J13" s="85"/>
      <c r="K13" s="44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3"/>
      <c r="B14" s="445"/>
      <c r="C14" s="445"/>
      <c r="D14" s="517"/>
      <c r="E14" s="518"/>
      <c r="F14" s="519"/>
      <c r="G14" s="85" t="s">
        <v>238</v>
      </c>
      <c r="H14" s="86">
        <f>SUM(예산!$E$9:$E$12)</f>
        <v>15265083.925000001</v>
      </c>
      <c r="I14" s="87"/>
      <c r="J14" s="85"/>
      <c r="K14" s="44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3"/>
      <c r="B15" s="474" t="s">
        <v>21</v>
      </c>
      <c r="C15" s="457"/>
      <c r="D15" s="458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3"/>
      <c r="B16" s="85" t="s">
        <v>26</v>
      </c>
      <c r="C16" s="92">
        <f>예산!G19</f>
        <v>93360000</v>
      </c>
      <c r="D16" s="85"/>
      <c r="E16" s="86"/>
      <c r="F16" s="85"/>
      <c r="G16" s="85" t="s">
        <v>238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5"/>
      <c r="B17" s="474" t="s">
        <v>21</v>
      </c>
      <c r="C17" s="457"/>
      <c r="D17" s="458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90" t="s">
        <v>256</v>
      </c>
      <c r="B18" s="457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10"/>
      <c r="J18" s="458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85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85" t="s">
        <v>227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3"/>
      <c r="B20" s="85"/>
      <c r="C20" s="103"/>
      <c r="D20" s="85"/>
      <c r="E20" s="86"/>
      <c r="F20" s="85"/>
      <c r="G20" s="85" t="s">
        <v>228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3"/>
      <c r="B21" s="85"/>
      <c r="C21" s="92"/>
      <c r="D21" s="85"/>
      <c r="E21" s="86"/>
      <c r="F21" s="85"/>
      <c r="G21" s="85" t="s">
        <v>229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3"/>
      <c r="B22" s="85"/>
      <c r="C22" s="92"/>
      <c r="D22" s="85"/>
      <c r="E22" s="86"/>
      <c r="F22" s="85"/>
      <c r="G22" s="85" t="s">
        <v>230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3"/>
      <c r="B23" s="85"/>
      <c r="C23" s="92"/>
      <c r="D23" s="85"/>
      <c r="E23" s="86"/>
      <c r="F23" s="85"/>
      <c r="G23" s="85" t="s">
        <v>231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3"/>
      <c r="B24" s="85"/>
      <c r="C24" s="92"/>
      <c r="D24" s="85"/>
      <c r="E24" s="86"/>
      <c r="F24" s="85"/>
      <c r="G24" s="85" t="s">
        <v>232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3"/>
      <c r="B25" s="85"/>
      <c r="C25" s="92"/>
      <c r="D25" s="85"/>
      <c r="E25" s="86"/>
      <c r="F25" s="85"/>
      <c r="G25" s="85" t="s">
        <v>233</v>
      </c>
      <c r="H25" s="104">
        <f>1300000*5+900000*16</f>
        <v>20900000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3"/>
      <c r="B26" s="85"/>
      <c r="C26" s="92"/>
      <c r="D26" s="85"/>
      <c r="E26" s="86"/>
      <c r="F26" s="85"/>
      <c r="G26" s="85" t="s">
        <v>234</v>
      </c>
      <c r="H26" s="104">
        <f t="shared" ref="H26:H28" si="8">1300000*5+900000*16</f>
        <v>20900000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3"/>
      <c r="B27" s="85"/>
      <c r="C27" s="92"/>
      <c r="D27" s="85"/>
      <c r="E27" s="86"/>
      <c r="F27" s="85"/>
      <c r="G27" s="85" t="s">
        <v>235</v>
      </c>
      <c r="H27" s="104">
        <f t="shared" si="8"/>
        <v>20900000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3"/>
      <c r="B28" s="85"/>
      <c r="C28" s="92"/>
      <c r="D28" s="85"/>
      <c r="E28" s="86"/>
      <c r="F28" s="85"/>
      <c r="G28" s="85" t="s">
        <v>236</v>
      </c>
      <c r="H28" s="104">
        <f t="shared" si="8"/>
        <v>20900000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3"/>
      <c r="B29" s="85"/>
      <c r="C29" s="92"/>
      <c r="D29" s="85"/>
      <c r="E29" s="86"/>
      <c r="F29" s="85"/>
      <c r="G29" s="85" t="s">
        <v>237</v>
      </c>
      <c r="H29" s="104">
        <f>1300000*5+900000*4</f>
        <v>10100000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5"/>
      <c r="B30" s="85"/>
      <c r="C30" s="105"/>
      <c r="D30" s="85"/>
      <c r="E30" s="86"/>
      <c r="F30" s="85"/>
      <c r="G30" s="85" t="s">
        <v>238</v>
      </c>
      <c r="H30" s="104">
        <f>1300000*5+900000*4</f>
        <v>10100000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490" t="s">
        <v>257</v>
      </c>
      <c r="B31" s="457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186800000</v>
      </c>
      <c r="I31" s="510"/>
      <c r="J31" s="458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91" t="s">
        <v>31</v>
      </c>
      <c r="B32" s="486" t="s">
        <v>258</v>
      </c>
      <c r="C32" s="11" t="s">
        <v>46</v>
      </c>
      <c r="D32" s="85" t="s">
        <v>490</v>
      </c>
      <c r="E32" s="86">
        <f>예산!G69</f>
        <v>299970000</v>
      </c>
      <c r="F32" s="85"/>
      <c r="G32" s="85" t="s">
        <v>393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92"/>
      <c r="B33" s="504"/>
      <c r="C33" s="11"/>
      <c r="D33" s="85" t="s">
        <v>491</v>
      </c>
      <c r="E33" s="86">
        <f>+예산!G70</f>
        <v>203982190</v>
      </c>
      <c r="F33" s="85"/>
      <c r="G33" s="85" t="s">
        <v>393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92"/>
      <c r="B34" s="443"/>
      <c r="C34" s="11" t="s">
        <v>99</v>
      </c>
      <c r="D34" s="85"/>
      <c r="E34" s="86">
        <f>예산!G71</f>
        <v>29920000</v>
      </c>
      <c r="F34" s="85"/>
      <c r="G34" s="85" t="s">
        <v>376</v>
      </c>
      <c r="H34" s="104">
        <f t="shared" ref="H34:H41" si="9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92"/>
      <c r="B35" s="443"/>
      <c r="C35" s="11" t="s">
        <v>101</v>
      </c>
      <c r="D35" s="85"/>
      <c r="E35" s="86">
        <f>예산!G72</f>
        <v>97163000</v>
      </c>
      <c r="F35" s="85"/>
      <c r="G35" s="85" t="s">
        <v>393</v>
      </c>
      <c r="H35" s="104">
        <f t="shared" si="9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92"/>
      <c r="B36" s="443"/>
      <c r="C36" s="11" t="s">
        <v>103</v>
      </c>
      <c r="D36" s="85"/>
      <c r="E36" s="86">
        <f>예산!G73</f>
        <v>98474200</v>
      </c>
      <c r="F36" s="85"/>
      <c r="G36" s="85" t="s">
        <v>393</v>
      </c>
      <c r="H36" s="104">
        <f t="shared" si="9"/>
        <v>98474200</v>
      </c>
      <c r="I36" s="87"/>
      <c r="J36" s="85" t="s">
        <v>406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92"/>
      <c r="B37" s="444"/>
      <c r="C37" s="11" t="s">
        <v>340</v>
      </c>
      <c r="D37" s="85"/>
      <c r="E37" s="86">
        <v>352000000</v>
      </c>
      <c r="F37" s="85"/>
      <c r="G37" s="85" t="s">
        <v>382</v>
      </c>
      <c r="H37" s="104">
        <f t="shared" si="9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92"/>
      <c r="B38" s="444"/>
      <c r="C38" s="11" t="s">
        <v>339</v>
      </c>
      <c r="D38" s="85"/>
      <c r="E38" s="86">
        <v>95000000</v>
      </c>
      <c r="F38" s="85"/>
      <c r="G38" s="85" t="s">
        <v>382</v>
      </c>
      <c r="H38" s="104">
        <f t="shared" si="9"/>
        <v>95000000</v>
      </c>
      <c r="I38" s="87"/>
      <c r="J38" s="85" t="s">
        <v>407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92"/>
      <c r="B39" s="444"/>
      <c r="C39" s="11" t="s">
        <v>379</v>
      </c>
      <c r="D39" s="85"/>
      <c r="E39" s="86">
        <v>42998000</v>
      </c>
      <c r="F39" s="85"/>
      <c r="G39" s="85" t="s">
        <v>377</v>
      </c>
      <c r="H39" s="104">
        <f t="shared" si="9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92"/>
      <c r="B40" s="444"/>
      <c r="C40" s="11" t="s">
        <v>380</v>
      </c>
      <c r="D40" s="85"/>
      <c r="E40" s="86">
        <v>22000000</v>
      </c>
      <c r="F40" s="85"/>
      <c r="G40" s="85" t="s">
        <v>384</v>
      </c>
      <c r="H40" s="104">
        <f t="shared" si="9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92"/>
      <c r="B41" s="445"/>
      <c r="C41" s="245" t="s">
        <v>381</v>
      </c>
      <c r="D41" s="85"/>
      <c r="E41" s="86">
        <v>8030000</v>
      </c>
      <c r="F41" s="85"/>
      <c r="G41" s="85" t="s">
        <v>402</v>
      </c>
      <c r="H41" s="104">
        <f t="shared" si="9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92"/>
      <c r="B42" s="474" t="s">
        <v>21</v>
      </c>
      <c r="C42" s="457"/>
      <c r="D42" s="458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92"/>
      <c r="B43" s="486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92"/>
      <c r="B44" s="443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92"/>
      <c r="B45" s="445"/>
      <c r="C45" s="11" t="s">
        <v>114</v>
      </c>
      <c r="D45" s="85"/>
      <c r="E45" s="86">
        <f>예산!G89</f>
        <v>2000000</v>
      </c>
      <c r="F45" s="85"/>
      <c r="G45" s="85" t="s">
        <v>384</v>
      </c>
      <c r="H45" s="86">
        <f t="shared" ref="H45" si="10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92"/>
      <c r="B46" s="488" t="s">
        <v>21</v>
      </c>
      <c r="C46" s="489"/>
      <c r="D46" s="473"/>
      <c r="E46" s="95"/>
      <c r="F46" s="279"/>
      <c r="G46" s="279"/>
      <c r="H46" s="95">
        <f>SUM(H43:H45)</f>
        <v>2000000</v>
      </c>
      <c r="I46" s="280"/>
      <c r="J46" s="279"/>
      <c r="K46" s="281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93"/>
      <c r="B47" s="282" t="s">
        <v>451</v>
      </c>
      <c r="C47" s="285" t="s">
        <v>450</v>
      </c>
      <c r="D47" s="268"/>
      <c r="E47" s="265">
        <v>150000</v>
      </c>
      <c r="F47" s="237"/>
      <c r="G47" s="237" t="s">
        <v>384</v>
      </c>
      <c r="H47" s="265">
        <v>150000</v>
      </c>
      <c r="I47" s="283"/>
      <c r="J47" s="237"/>
      <c r="K47" s="284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490" t="s">
        <v>259</v>
      </c>
      <c r="B48" s="463"/>
      <c r="C48" s="272">
        <f>예산!G66</f>
        <v>1250357390</v>
      </c>
      <c r="D48" s="273"/>
      <c r="E48" s="274"/>
      <c r="F48" s="275"/>
      <c r="G48" s="276"/>
      <c r="H48" s="277">
        <f>H42+H46+H47</f>
        <v>1251687390</v>
      </c>
      <c r="I48" s="487"/>
      <c r="J48" s="465"/>
      <c r="K48" s="278">
        <f>H48/C48</f>
        <v>1.0010636958765846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91" t="s">
        <v>72</v>
      </c>
      <c r="B49" s="486" t="s">
        <v>279</v>
      </c>
      <c r="C49" s="103" t="s">
        <v>261</v>
      </c>
      <c r="D49" s="85"/>
      <c r="E49" s="86">
        <f>예산!$G100</f>
        <v>3075509</v>
      </c>
      <c r="F49" s="85"/>
      <c r="G49" s="85" t="s">
        <v>229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92"/>
      <c r="B50" s="443"/>
      <c r="C50" s="103" t="s">
        <v>262</v>
      </c>
      <c r="D50" s="85"/>
      <c r="E50" s="86">
        <f>예산!$G104+예산!$G105</f>
        <v>9608500</v>
      </c>
      <c r="F50" s="85"/>
      <c r="G50" s="85" t="s">
        <v>230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92"/>
      <c r="B51" s="443"/>
      <c r="C51" s="92" t="s">
        <v>263</v>
      </c>
      <c r="D51" s="85"/>
      <c r="E51" s="86">
        <f>예산!$G108</f>
        <v>19250000</v>
      </c>
      <c r="F51" s="85"/>
      <c r="G51" s="85" t="s">
        <v>229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92"/>
      <c r="B52" s="445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92"/>
      <c r="B53" s="494" t="s">
        <v>264</v>
      </c>
      <c r="C53" s="482" t="s">
        <v>265</v>
      </c>
      <c r="D53" s="85"/>
      <c r="E53" s="86">
        <f>예산!$G106-10640000</f>
        <v>24825491</v>
      </c>
      <c r="F53" s="85"/>
      <c r="G53" s="85" t="s">
        <v>235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92"/>
      <c r="B54" s="495"/>
      <c r="C54" s="484"/>
      <c r="D54" s="85"/>
      <c r="E54" s="86">
        <v>10640000</v>
      </c>
      <c r="F54" s="85"/>
      <c r="G54" s="85" t="s">
        <v>376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92"/>
      <c r="B55" s="495"/>
      <c r="C55" s="497" t="s">
        <v>139</v>
      </c>
      <c r="D55" s="500" t="s">
        <v>496</v>
      </c>
      <c r="E55" s="86">
        <f>예산!$G109</f>
        <v>5676000</v>
      </c>
      <c r="F55" s="85"/>
      <c r="G55" s="85" t="s">
        <v>384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92"/>
      <c r="B56" s="495"/>
      <c r="C56" s="498"/>
      <c r="D56" s="501"/>
      <c r="E56" s="86"/>
      <c r="F56" s="85"/>
      <c r="G56" s="254"/>
      <c r="H56" s="86">
        <f>예산!$G110</f>
        <v>1531200</v>
      </c>
      <c r="I56" s="331"/>
      <c r="J56" s="23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92"/>
      <c r="B57" s="495"/>
      <c r="C57" s="498"/>
      <c r="D57" s="501"/>
      <c r="E57" s="86"/>
      <c r="F57" s="85"/>
      <c r="G57" s="254"/>
      <c r="H57" s="86">
        <f>예산!$G111</f>
        <v>935000</v>
      </c>
      <c r="I57" s="331"/>
      <c r="J57" s="235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92"/>
      <c r="B58" s="495"/>
      <c r="C58" s="498"/>
      <c r="D58" s="502"/>
      <c r="E58" s="86"/>
      <c r="F58" s="85"/>
      <c r="G58" s="254"/>
      <c r="H58" s="86">
        <f>예산!$G112</f>
        <v>1873300</v>
      </c>
      <c r="I58" s="331"/>
      <c r="J58" s="23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92"/>
      <c r="B59" s="495"/>
      <c r="C59" s="498"/>
      <c r="D59" s="500" t="s">
        <v>497</v>
      </c>
      <c r="E59" s="86"/>
      <c r="F59" s="85"/>
      <c r="G59" s="254"/>
      <c r="H59" s="86">
        <f>예산!$G113</f>
        <v>0</v>
      </c>
      <c r="I59" s="331"/>
      <c r="J59" s="235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92"/>
      <c r="B60" s="495"/>
      <c r="C60" s="498"/>
      <c r="D60" s="501"/>
      <c r="E60" s="86"/>
      <c r="F60" s="85"/>
      <c r="G60" s="254"/>
      <c r="H60" s="86">
        <f>예산!$G114</f>
        <v>2332000</v>
      </c>
      <c r="I60" s="331"/>
      <c r="J60" s="23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92"/>
      <c r="B61" s="495"/>
      <c r="C61" s="498"/>
      <c r="D61" s="501"/>
      <c r="E61" s="86"/>
      <c r="F61" s="85"/>
      <c r="G61" s="254"/>
      <c r="H61" s="86">
        <f>예산!$G116</f>
        <v>643500</v>
      </c>
      <c r="I61" s="331"/>
      <c r="J61" s="23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92"/>
      <c r="B62" s="495"/>
      <c r="C62" s="498"/>
      <c r="D62" s="501"/>
      <c r="E62" s="86"/>
      <c r="F62" s="85"/>
      <c r="G62" s="254"/>
      <c r="H62" s="86">
        <f>예산!$G117</f>
        <v>1155000</v>
      </c>
      <c r="I62" s="331"/>
      <c r="J62" s="23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92"/>
      <c r="B63" s="495"/>
      <c r="C63" s="498"/>
      <c r="D63" s="502"/>
      <c r="E63" s="86"/>
      <c r="F63" s="85"/>
      <c r="G63" s="254"/>
      <c r="H63" s="86">
        <f>예산!$G118</f>
        <v>1925000</v>
      </c>
      <c r="I63" s="331"/>
      <c r="J63" s="23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92"/>
      <c r="B64" s="495"/>
      <c r="C64" s="498"/>
      <c r="D64" s="500" t="s">
        <v>498</v>
      </c>
      <c r="E64" s="86"/>
      <c r="F64" s="85"/>
      <c r="G64" s="254"/>
      <c r="H64" s="86">
        <f>예산!$G119</f>
        <v>964480</v>
      </c>
      <c r="I64" s="331"/>
      <c r="J64" s="23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92"/>
      <c r="B65" s="495"/>
      <c r="C65" s="498"/>
      <c r="D65" s="501"/>
      <c r="E65" s="86"/>
      <c r="F65" s="85"/>
      <c r="G65" s="254"/>
      <c r="H65" s="86">
        <f>예산!$G120</f>
        <v>0</v>
      </c>
      <c r="I65" s="331"/>
      <c r="J65" s="23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92"/>
      <c r="B66" s="495"/>
      <c r="C66" s="498"/>
      <c r="D66" s="501"/>
      <c r="E66" s="86"/>
      <c r="F66" s="85"/>
      <c r="G66" s="254"/>
      <c r="H66" s="86">
        <f>예산!$G121</f>
        <v>0</v>
      </c>
      <c r="I66" s="331"/>
      <c r="J66" s="23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493"/>
      <c r="B67" s="496"/>
      <c r="C67" s="499"/>
      <c r="D67" s="502"/>
      <c r="E67" s="86"/>
      <c r="F67" s="85"/>
      <c r="G67" s="254"/>
      <c r="H67" s="86">
        <f>예산!$G122</f>
        <v>0</v>
      </c>
      <c r="I67" s="331"/>
      <c r="J67" s="23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477" t="s">
        <v>266</v>
      </c>
      <c r="B68" s="478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479"/>
      <c r="J68" s="480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85" t="s">
        <v>84</v>
      </c>
      <c r="B69" s="503" t="s">
        <v>267</v>
      </c>
      <c r="C69" s="103" t="s">
        <v>268</v>
      </c>
      <c r="D69" s="85" t="s">
        <v>269</v>
      </c>
      <c r="E69" s="86">
        <v>5500000</v>
      </c>
      <c r="F69" s="85"/>
      <c r="G69" s="85" t="s">
        <v>229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3"/>
      <c r="B70" s="504"/>
      <c r="C70" s="482" t="s">
        <v>373</v>
      </c>
      <c r="D70" s="85" t="s">
        <v>374</v>
      </c>
      <c r="E70" s="86">
        <v>5000000</v>
      </c>
      <c r="F70" s="85"/>
      <c r="G70" s="85" t="s">
        <v>376</v>
      </c>
      <c r="H70" s="104">
        <f t="shared" ref="H70:H102" si="11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3"/>
      <c r="B71" s="504"/>
      <c r="C71" s="483"/>
      <c r="D71" s="85" t="s">
        <v>398</v>
      </c>
      <c r="E71" s="86">
        <v>5000000</v>
      </c>
      <c r="F71" s="85"/>
      <c r="G71" s="85" t="s">
        <v>376</v>
      </c>
      <c r="H71" s="104">
        <f t="shared" si="11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3"/>
      <c r="B72" s="504"/>
      <c r="C72" s="483"/>
      <c r="D72" s="85" t="s">
        <v>375</v>
      </c>
      <c r="E72" s="86">
        <v>800000</v>
      </c>
      <c r="F72" s="85"/>
      <c r="G72" s="85" t="s">
        <v>376</v>
      </c>
      <c r="H72" s="104">
        <f t="shared" si="11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4"/>
      <c r="B73" s="504"/>
      <c r="C73" s="483"/>
      <c r="D73" s="85" t="s">
        <v>433</v>
      </c>
      <c r="E73" s="311">
        <v>2674000</v>
      </c>
      <c r="F73" s="85"/>
      <c r="G73" s="85" t="s">
        <v>377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4"/>
      <c r="B74" s="504"/>
      <c r="C74" s="483"/>
      <c r="D74" s="85" t="s">
        <v>434</v>
      </c>
      <c r="E74" s="311">
        <v>2914000</v>
      </c>
      <c r="F74" s="85"/>
      <c r="G74" s="85" t="s">
        <v>377</v>
      </c>
      <c r="H74" s="246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4"/>
      <c r="B75" s="504"/>
      <c r="C75" s="483"/>
      <c r="D75" s="85" t="s">
        <v>432</v>
      </c>
      <c r="E75" s="311">
        <v>4500000</v>
      </c>
      <c r="F75" s="85"/>
      <c r="G75" s="85" t="s">
        <v>377</v>
      </c>
      <c r="H75" s="246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4"/>
      <c r="B76" s="504"/>
      <c r="C76" s="483"/>
      <c r="D76" s="236" t="s">
        <v>431</v>
      </c>
      <c r="E76" s="315">
        <v>6000000</v>
      </c>
      <c r="F76" s="236"/>
      <c r="G76" s="236" t="s">
        <v>383</v>
      </c>
      <c r="H76" s="318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4"/>
      <c r="B77" s="504"/>
      <c r="C77" s="505"/>
      <c r="D77" s="237" t="s">
        <v>387</v>
      </c>
      <c r="E77" s="322">
        <v>6000000</v>
      </c>
      <c r="F77" s="237"/>
      <c r="G77" s="237" t="s">
        <v>382</v>
      </c>
      <c r="H77" s="265">
        <f>E77</f>
        <v>6000000</v>
      </c>
      <c r="I77" s="25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4"/>
      <c r="B78" s="504"/>
      <c r="C78" s="506"/>
      <c r="D78" s="263"/>
      <c r="E78" s="263"/>
      <c r="F78" s="263"/>
      <c r="G78" s="263"/>
      <c r="H78" s="263"/>
      <c r="I78" s="25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4"/>
      <c r="B79" s="504"/>
      <c r="C79" s="482" t="s">
        <v>385</v>
      </c>
      <c r="D79" s="319" t="s">
        <v>387</v>
      </c>
      <c r="E79" s="246">
        <v>3300000</v>
      </c>
      <c r="F79" s="319"/>
      <c r="G79" s="319" t="s">
        <v>376</v>
      </c>
      <c r="H79" s="246">
        <f t="shared" si="11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4"/>
      <c r="B80" s="504"/>
      <c r="C80" s="483"/>
      <c r="D80" s="85" t="s">
        <v>371</v>
      </c>
      <c r="E80" s="86">
        <v>3300000</v>
      </c>
      <c r="F80" s="85"/>
      <c r="G80" s="85" t="s">
        <v>376</v>
      </c>
      <c r="H80" s="246">
        <f t="shared" si="11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4"/>
      <c r="B81" s="504"/>
      <c r="C81" s="483"/>
      <c r="D81" s="85" t="s">
        <v>388</v>
      </c>
      <c r="E81" s="86">
        <v>800000</v>
      </c>
      <c r="F81" s="85"/>
      <c r="G81" s="85" t="s">
        <v>376</v>
      </c>
      <c r="H81" s="246">
        <f t="shared" si="11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4"/>
      <c r="B82" s="504"/>
      <c r="C82" s="483"/>
      <c r="D82" s="85" t="s">
        <v>389</v>
      </c>
      <c r="E82" s="86">
        <v>2300000</v>
      </c>
      <c r="F82" s="85"/>
      <c r="G82" s="85" t="s">
        <v>376</v>
      </c>
      <c r="H82" s="246">
        <f t="shared" si="11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4"/>
      <c r="B83" s="504"/>
      <c r="C83" s="484"/>
      <c r="D83" s="85" t="s">
        <v>390</v>
      </c>
      <c r="E83" s="86">
        <v>2300000</v>
      </c>
      <c r="F83" s="85"/>
      <c r="G83" s="85" t="s">
        <v>376</v>
      </c>
      <c r="H83" s="246">
        <f t="shared" si="11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4"/>
      <c r="B84" s="504"/>
      <c r="C84" s="482" t="s">
        <v>435</v>
      </c>
      <c r="D84" s="85" t="s">
        <v>454</v>
      </c>
      <c r="E84" s="311">
        <f>600000*22</f>
        <v>13200000</v>
      </c>
      <c r="F84" s="85"/>
      <c r="G84" s="85" t="s">
        <v>393</v>
      </c>
      <c r="H84" s="246">
        <f t="shared" si="11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4"/>
      <c r="B85" s="504"/>
      <c r="C85" s="483"/>
      <c r="D85" s="85" t="s">
        <v>436</v>
      </c>
      <c r="E85" s="311">
        <v>2000000</v>
      </c>
      <c r="F85" s="85"/>
      <c r="G85" s="85" t="s">
        <v>393</v>
      </c>
      <c r="H85" s="246">
        <f t="shared" si="11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4"/>
      <c r="B86" s="504"/>
      <c r="C86" s="483"/>
      <c r="D86" s="85" t="s">
        <v>437</v>
      </c>
      <c r="E86" s="311">
        <f>2*1000000</f>
        <v>2000000</v>
      </c>
      <c r="F86" s="85"/>
      <c r="G86" s="85" t="s">
        <v>393</v>
      </c>
      <c r="H86" s="246">
        <f t="shared" si="11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4"/>
      <c r="B87" s="504"/>
      <c r="C87" s="483"/>
      <c r="D87" s="85" t="s">
        <v>453</v>
      </c>
      <c r="E87" s="311">
        <f>3*500000</f>
        <v>1500000</v>
      </c>
      <c r="F87" s="85"/>
      <c r="G87" s="85" t="s">
        <v>393</v>
      </c>
      <c r="H87" s="246">
        <f t="shared" si="11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4"/>
      <c r="B88" s="504"/>
      <c r="C88" s="484"/>
      <c r="D88" s="85" t="s">
        <v>463</v>
      </c>
      <c r="E88" s="311">
        <f>SUM(E84:E87)</f>
        <v>18700000</v>
      </c>
      <c r="F88" s="85"/>
      <c r="G88" s="85" t="s">
        <v>393</v>
      </c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4"/>
      <c r="B89" s="481" t="s">
        <v>420</v>
      </c>
      <c r="C89" s="92" t="s">
        <v>421</v>
      </c>
      <c r="D89" s="85" t="s">
        <v>423</v>
      </c>
      <c r="E89" s="311">
        <f>14*1000000</f>
        <v>14000000</v>
      </c>
      <c r="F89" s="85"/>
      <c r="G89" s="85" t="s">
        <v>377</v>
      </c>
      <c r="H89" s="246">
        <f t="shared" si="11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4"/>
      <c r="B90" s="481"/>
      <c r="C90" s="92" t="s">
        <v>422</v>
      </c>
      <c r="D90" s="85" t="s">
        <v>424</v>
      </c>
      <c r="E90" s="311">
        <f>67*1000000</f>
        <v>67000000</v>
      </c>
      <c r="F90" s="85"/>
      <c r="G90" s="85" t="s">
        <v>377</v>
      </c>
      <c r="H90" s="246">
        <f t="shared" si="11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4"/>
      <c r="B91" s="481"/>
      <c r="C91" s="92"/>
      <c r="D91" s="85"/>
      <c r="E91" s="86"/>
      <c r="F91" s="85"/>
      <c r="G91" s="85"/>
      <c r="H91" s="24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3"/>
      <c r="B92" s="251"/>
      <c r="C92" s="92" t="s">
        <v>399</v>
      </c>
      <c r="D92" s="85" t="s">
        <v>400</v>
      </c>
      <c r="E92" s="86">
        <v>1000000</v>
      </c>
      <c r="F92" s="85"/>
      <c r="G92" s="85" t="s">
        <v>401</v>
      </c>
      <c r="H92" s="246">
        <f t="shared" si="11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4"/>
      <c r="B93" s="244"/>
      <c r="C93" s="482" t="s">
        <v>403</v>
      </c>
      <c r="D93" s="85" t="s">
        <v>427</v>
      </c>
      <c r="E93" s="86">
        <v>1000000</v>
      </c>
      <c r="F93" s="85"/>
      <c r="G93" s="85" t="s">
        <v>377</v>
      </c>
      <c r="H93" s="246">
        <f t="shared" si="11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4"/>
      <c r="B94" s="244"/>
      <c r="C94" s="483"/>
      <c r="D94" s="85" t="s">
        <v>428</v>
      </c>
      <c r="E94" s="86">
        <v>1000000</v>
      </c>
      <c r="F94" s="85"/>
      <c r="G94" s="85" t="s">
        <v>377</v>
      </c>
      <c r="H94" s="246">
        <f t="shared" si="11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4"/>
      <c r="B95" s="244"/>
      <c r="C95" s="483"/>
      <c r="D95" s="85" t="s">
        <v>431</v>
      </c>
      <c r="E95" s="311">
        <v>6000000</v>
      </c>
      <c r="F95" s="85"/>
      <c r="G95" s="85" t="s">
        <v>377</v>
      </c>
      <c r="H95" s="246">
        <f t="shared" si="11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4"/>
      <c r="B96" s="244"/>
      <c r="C96" s="483"/>
      <c r="D96" s="85" t="s">
        <v>387</v>
      </c>
      <c r="E96" s="311">
        <v>2000000</v>
      </c>
      <c r="F96" s="85"/>
      <c r="G96" s="85" t="s">
        <v>377</v>
      </c>
      <c r="H96" s="246">
        <f t="shared" si="11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4"/>
      <c r="B97" s="244"/>
      <c r="C97" s="483"/>
      <c r="D97" s="85" t="s">
        <v>480</v>
      </c>
      <c r="E97" s="86">
        <v>2000000</v>
      </c>
      <c r="F97" s="85"/>
      <c r="G97" s="85" t="s">
        <v>377</v>
      </c>
      <c r="H97" s="246">
        <f t="shared" si="11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4"/>
      <c r="B98" s="244"/>
      <c r="C98" s="484"/>
      <c r="D98" s="85"/>
      <c r="E98" s="86"/>
      <c r="F98" s="85"/>
      <c r="G98" s="85"/>
      <c r="H98" s="24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3"/>
      <c r="B99" s="486" t="s">
        <v>270</v>
      </c>
      <c r="C99" s="92"/>
      <c r="D99" s="85" t="s">
        <v>430</v>
      </c>
      <c r="E99" s="311">
        <v>6750000</v>
      </c>
      <c r="F99" s="85"/>
      <c r="G99" s="85" t="s">
        <v>377</v>
      </c>
      <c r="H99" s="246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3"/>
      <c r="B100" s="443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3"/>
      <c r="B101" s="443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3"/>
      <c r="B102" s="443"/>
      <c r="C102" s="92"/>
      <c r="D102" s="85">
        <v>4</v>
      </c>
      <c r="E102" s="86"/>
      <c r="F102" s="85"/>
      <c r="G102" s="85" t="s">
        <v>378</v>
      </c>
      <c r="H102" s="86">
        <f t="shared" si="11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3"/>
      <c r="B103" s="445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3"/>
      <c r="B104" s="486" t="s">
        <v>144</v>
      </c>
      <c r="C104" s="92" t="s">
        <v>370</v>
      </c>
      <c r="D104" s="85" t="s">
        <v>371</v>
      </c>
      <c r="E104" s="86">
        <v>1000000</v>
      </c>
      <c r="F104" s="85"/>
      <c r="G104" s="85" t="s">
        <v>372</v>
      </c>
      <c r="H104" s="246">
        <f t="shared" ref="H104:H107" si="12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3"/>
      <c r="B105" s="443"/>
      <c r="C105" s="92"/>
      <c r="D105" s="85" t="s">
        <v>388</v>
      </c>
      <c r="E105" s="86">
        <v>2000000</v>
      </c>
      <c r="F105" s="85"/>
      <c r="G105" s="85" t="s">
        <v>384</v>
      </c>
      <c r="H105" s="86">
        <f t="shared" si="12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3"/>
      <c r="B106" s="443"/>
      <c r="C106" s="92"/>
      <c r="D106" s="85" t="s">
        <v>429</v>
      </c>
      <c r="E106" s="86">
        <v>2000000</v>
      </c>
      <c r="F106" s="85"/>
      <c r="G106" s="85" t="s">
        <v>377</v>
      </c>
      <c r="H106" s="86">
        <f t="shared" si="12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3"/>
      <c r="B107" s="445"/>
      <c r="C107" s="92"/>
      <c r="D107" s="85" t="s">
        <v>464</v>
      </c>
      <c r="E107" s="311">
        <v>2000000</v>
      </c>
      <c r="F107" s="85"/>
      <c r="G107" s="85" t="s">
        <v>377</v>
      </c>
      <c r="H107" s="86">
        <f t="shared" si="12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3"/>
      <c r="B108" s="486" t="s">
        <v>271</v>
      </c>
      <c r="C108" s="92" t="s">
        <v>280</v>
      </c>
      <c r="D108" s="85" t="s">
        <v>281</v>
      </c>
      <c r="E108" s="86">
        <f>10000000*13+5000000*5+15000000*2</f>
        <v>185000000</v>
      </c>
      <c r="F108" s="85"/>
      <c r="G108" s="85" t="s">
        <v>376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3"/>
      <c r="B109" s="443"/>
      <c r="C109" s="92" t="s">
        <v>282</v>
      </c>
      <c r="D109" s="85" t="s">
        <v>283</v>
      </c>
      <c r="E109" s="311">
        <f>310000000</f>
        <v>310000000</v>
      </c>
      <c r="F109" s="85" t="s">
        <v>478</v>
      </c>
      <c r="G109" s="85" t="s">
        <v>238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3"/>
      <c r="B110" s="443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3"/>
      <c r="B111" s="443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3"/>
      <c r="B112" s="443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3"/>
      <c r="B113" s="44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3"/>
      <c r="B114" s="474" t="s">
        <v>21</v>
      </c>
      <c r="C114" s="457"/>
      <c r="D114" s="458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3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3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3"/>
      <c r="B117" s="85"/>
      <c r="C117" s="11" t="s">
        <v>170</v>
      </c>
      <c r="D117" s="85"/>
      <c r="E117" s="86">
        <f>예산!$G146</f>
        <v>672872</v>
      </c>
      <c r="F117" s="85"/>
      <c r="G117" s="85" t="s">
        <v>229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3"/>
      <c r="B118" s="85"/>
      <c r="C118" s="11" t="s">
        <v>171</v>
      </c>
      <c r="D118" s="85"/>
      <c r="E118" s="86">
        <f>예산!$G147</f>
        <v>672872</v>
      </c>
      <c r="F118" s="85"/>
      <c r="G118" s="85" t="s">
        <v>229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3"/>
      <c r="B119" s="85"/>
      <c r="C119" s="11" t="s">
        <v>391</v>
      </c>
      <c r="D119" s="85"/>
      <c r="E119" s="86">
        <f>예산!$G148</f>
        <v>550000</v>
      </c>
      <c r="F119" s="85"/>
      <c r="G119" s="85" t="s">
        <v>393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3"/>
      <c r="B120" s="85"/>
      <c r="C120" s="11" t="s">
        <v>392</v>
      </c>
      <c r="D120" s="85"/>
      <c r="E120" s="86">
        <f>예산!$G149</f>
        <v>550000</v>
      </c>
      <c r="F120" s="85"/>
      <c r="G120" s="85" t="s">
        <v>393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3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3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43"/>
      <c r="B123" s="474" t="s">
        <v>21</v>
      </c>
      <c r="C123" s="457"/>
      <c r="D123" s="458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43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43"/>
      <c r="B125" s="474" t="s">
        <v>21</v>
      </c>
      <c r="C125" s="457"/>
      <c r="D125" s="458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3"/>
      <c r="B126" s="85" t="s">
        <v>272</v>
      </c>
      <c r="C126" s="11" t="s">
        <v>188</v>
      </c>
      <c r="D126" s="85"/>
      <c r="E126" s="86">
        <f>예산!$G163</f>
        <v>230000</v>
      </c>
      <c r="F126" s="85"/>
      <c r="G126" s="85" t="s">
        <v>229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3"/>
      <c r="B127" s="85"/>
      <c r="C127" s="12" t="s">
        <v>189</v>
      </c>
      <c r="D127" s="85"/>
      <c r="E127" s="86">
        <f>예산!$G165</f>
        <v>230000</v>
      </c>
      <c r="F127" s="85"/>
      <c r="G127" s="85" t="s">
        <v>229</v>
      </c>
      <c r="H127" s="86">
        <f t="shared" ref="H127:H133" si="13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3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229</v>
      </c>
      <c r="H128" s="86">
        <f t="shared" si="13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3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383</v>
      </c>
      <c r="H129" s="86">
        <f t="shared" si="13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3"/>
      <c r="B130" s="85"/>
      <c r="C130" s="12" t="s">
        <v>192</v>
      </c>
      <c r="D130" s="85"/>
      <c r="E130" s="86">
        <f>예산!$G170</f>
        <v>2800000</v>
      </c>
      <c r="F130" s="85"/>
      <c r="G130" s="85" t="s">
        <v>229</v>
      </c>
      <c r="H130" s="86">
        <f t="shared" si="13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43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377</v>
      </c>
      <c r="H131" s="86">
        <f t="shared" si="13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44"/>
      <c r="B132" s="85"/>
      <c r="C132" s="11" t="s">
        <v>396</v>
      </c>
      <c r="D132" s="85"/>
      <c r="E132" s="120">
        <f>예산!F167</f>
        <v>700000</v>
      </c>
      <c r="F132" s="85"/>
      <c r="G132" s="85" t="s">
        <v>377</v>
      </c>
      <c r="H132" s="86">
        <f t="shared" si="13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44"/>
      <c r="B133" s="85"/>
      <c r="C133" s="11" t="s">
        <v>395</v>
      </c>
      <c r="D133" s="85"/>
      <c r="E133" s="258">
        <f>예산!F166</f>
        <v>990000</v>
      </c>
      <c r="F133" s="236"/>
      <c r="G133" s="236" t="s">
        <v>377</v>
      </c>
      <c r="H133" s="259">
        <f t="shared" si="13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44"/>
      <c r="B134" s="85"/>
      <c r="D134" s="255"/>
      <c r="E134" s="263"/>
      <c r="F134" s="237"/>
      <c r="G134" s="237"/>
      <c r="H134" s="264"/>
      <c r="I134" s="257"/>
      <c r="J134" s="85" t="s">
        <v>408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3"/>
      <c r="B135" s="85"/>
      <c r="C135" s="11" t="s">
        <v>196</v>
      </c>
      <c r="D135" s="254"/>
      <c r="E135" s="264">
        <f>예산!$G179</f>
        <v>20000000</v>
      </c>
      <c r="F135" s="237"/>
      <c r="G135" s="237" t="s">
        <v>237</v>
      </c>
      <c r="H135" s="264">
        <f>E135</f>
        <v>20000000</v>
      </c>
      <c r="I135" s="257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3"/>
      <c r="B136" s="85"/>
      <c r="C136" s="14" t="s">
        <v>197</v>
      </c>
      <c r="D136" s="254"/>
      <c r="E136" s="264">
        <f>예산!$G180</f>
        <v>0</v>
      </c>
      <c r="F136" s="237"/>
      <c r="G136" s="237" t="s">
        <v>236</v>
      </c>
      <c r="H136" s="264">
        <f t="shared" ref="H136:H138" si="14">E136</f>
        <v>0</v>
      </c>
      <c r="I136" s="25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3"/>
      <c r="B137" s="85"/>
      <c r="C137" s="11" t="s">
        <v>199</v>
      </c>
      <c r="D137" s="254"/>
      <c r="E137" s="264">
        <f>예산!$G182</f>
        <v>10000000</v>
      </c>
      <c r="F137" s="237"/>
      <c r="G137" s="237" t="s">
        <v>237</v>
      </c>
      <c r="H137" s="264">
        <f t="shared" si="14"/>
        <v>10000000</v>
      </c>
      <c r="I137" s="25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3"/>
      <c r="B138" s="85"/>
      <c r="C138" s="92" t="s">
        <v>394</v>
      </c>
      <c r="D138" s="254"/>
      <c r="E138" s="265">
        <f>예산!G181</f>
        <v>516000</v>
      </c>
      <c r="F138" s="237"/>
      <c r="G138" s="237" t="s">
        <v>372</v>
      </c>
      <c r="H138" s="264">
        <f t="shared" si="14"/>
        <v>516000</v>
      </c>
      <c r="I138" s="257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3"/>
      <c r="B139" s="85"/>
      <c r="C139" s="216" t="s">
        <v>426</v>
      </c>
      <c r="D139" s="256"/>
      <c r="E139" s="263">
        <f>예산!G174</f>
        <v>11062500</v>
      </c>
      <c r="F139" s="263"/>
      <c r="G139" s="218" t="s">
        <v>377</v>
      </c>
      <c r="H139" s="263">
        <f>E139</f>
        <v>11062500</v>
      </c>
      <c r="I139" s="25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44"/>
      <c r="B140" s="254"/>
      <c r="C140" s="216" t="s">
        <v>425</v>
      </c>
      <c r="D140" s="256"/>
      <c r="E140" s="263">
        <f>예산!G175</f>
        <v>3584000</v>
      </c>
      <c r="F140" s="263"/>
      <c r="G140" s="218" t="s">
        <v>377</v>
      </c>
      <c r="H140" s="263">
        <f>E140</f>
        <v>3584000</v>
      </c>
      <c r="I140" s="257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4"/>
      <c r="B141" s="254"/>
      <c r="C141" s="266" t="s">
        <v>530</v>
      </c>
      <c r="D141" s="389"/>
      <c r="E141" s="255">
        <f>SUM(예산!G176:G178)</f>
        <v>3111911</v>
      </c>
      <c r="F141" s="255"/>
      <c r="G141" s="243"/>
      <c r="H141" s="263">
        <f>E141</f>
        <v>3111911</v>
      </c>
      <c r="I141" s="25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4"/>
      <c r="B142" s="254"/>
      <c r="C142" s="266"/>
      <c r="D142" s="389"/>
      <c r="E142" s="255"/>
      <c r="F142" s="255"/>
      <c r="G142" s="243"/>
      <c r="H142" s="255"/>
      <c r="I142" s="25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3"/>
      <c r="B143" s="474" t="s">
        <v>21</v>
      </c>
      <c r="C143" s="457"/>
      <c r="D143" s="458"/>
      <c r="E143" s="260">
        <f>예산!G183</f>
        <v>83031841</v>
      </c>
      <c r="F143" s="261"/>
      <c r="G143" s="262"/>
      <c r="H143" s="260">
        <f>SUM(H126:H142)</f>
        <v>83031841</v>
      </c>
      <c r="I143" s="90"/>
      <c r="J143" s="89"/>
      <c r="K143" s="91">
        <f>H143/E143</f>
        <v>1</v>
      </c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3"/>
      <c r="B144" s="85" t="s">
        <v>116</v>
      </c>
      <c r="C144" s="11" t="s">
        <v>118</v>
      </c>
      <c r="D144" s="85"/>
      <c r="E144" s="86">
        <f>예산!$G187</f>
        <v>1000000</v>
      </c>
      <c r="F144" s="85"/>
      <c r="G144" s="85" t="s">
        <v>383</v>
      </c>
      <c r="H144" s="86">
        <f>예산!$G187</f>
        <v>1000000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3"/>
      <c r="B145" s="85"/>
      <c r="C145" s="11" t="s">
        <v>119</v>
      </c>
      <c r="D145" s="85"/>
      <c r="E145" s="86">
        <f>예산!$G188</f>
        <v>100000</v>
      </c>
      <c r="F145" s="85"/>
      <c r="G145" s="85" t="s">
        <v>383</v>
      </c>
      <c r="H145" s="86">
        <f>예산!$G188</f>
        <v>100000</v>
      </c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3"/>
      <c r="B146" s="85"/>
      <c r="C146" s="26" t="s">
        <v>120</v>
      </c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3"/>
      <c r="B149" s="474" t="s">
        <v>21</v>
      </c>
      <c r="C149" s="457"/>
      <c r="D149" s="458"/>
      <c r="E149" s="88">
        <f>예산!G192</f>
        <v>1524100</v>
      </c>
      <c r="F149" s="94"/>
      <c r="G149" s="89"/>
      <c r="H149" s="88">
        <f>SUM(H144:H148)</f>
        <v>1100000</v>
      </c>
      <c r="I149" s="90"/>
      <c r="J149" s="89"/>
      <c r="K149" s="91">
        <f>H149/E149</f>
        <v>0.72173741880454034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3"/>
      <c r="B150" s="85" t="s">
        <v>200</v>
      </c>
      <c r="C150" s="92"/>
      <c r="D150" s="85"/>
      <c r="E150" s="86">
        <f>예산!$G196</f>
        <v>150000</v>
      </c>
      <c r="F150" s="85"/>
      <c r="G150" s="85" t="s">
        <v>238</v>
      </c>
      <c r="H150" s="86">
        <f>예산!$G196</f>
        <v>150000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3"/>
      <c r="B151" s="474" t="s">
        <v>21</v>
      </c>
      <c r="C151" s="457"/>
      <c r="D151" s="458"/>
      <c r="E151" s="88">
        <f>E150</f>
        <v>150000</v>
      </c>
      <c r="F151" s="94"/>
      <c r="G151" s="89"/>
      <c r="H151" s="88">
        <f>H150</f>
        <v>150000</v>
      </c>
      <c r="I151" s="90"/>
      <c r="J151" s="89"/>
      <c r="K151" s="91">
        <f>H151/E151</f>
        <v>1</v>
      </c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3"/>
      <c r="B152" s="85" t="s">
        <v>121</v>
      </c>
      <c r="C152" s="11" t="s">
        <v>124</v>
      </c>
      <c r="D152" s="11" t="s">
        <v>201</v>
      </c>
      <c r="E152" s="86">
        <f>예산!$G201</f>
        <v>900000</v>
      </c>
      <c r="F152" s="85"/>
      <c r="G152" s="85" t="s">
        <v>378</v>
      </c>
      <c r="H152" s="86">
        <f>예산!$G201</f>
        <v>900000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3"/>
      <c r="B153" s="85"/>
      <c r="C153" s="11" t="s">
        <v>202</v>
      </c>
      <c r="D153" s="11" t="s">
        <v>203</v>
      </c>
      <c r="E153" s="86">
        <f>예산!$G202</f>
        <v>100000</v>
      </c>
      <c r="F153" s="85"/>
      <c r="G153" s="85" t="s">
        <v>383</v>
      </c>
      <c r="H153" s="86">
        <f>예산!$G202</f>
        <v>100000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3"/>
      <c r="B154" s="85"/>
      <c r="C154" s="11" t="s">
        <v>204</v>
      </c>
      <c r="D154" s="11" t="s">
        <v>205</v>
      </c>
      <c r="E154" s="86">
        <f>예산!$G203</f>
        <v>8829000</v>
      </c>
      <c r="F154" s="85"/>
      <c r="G154" s="85" t="s">
        <v>393</v>
      </c>
      <c r="H154" s="86">
        <f>예산!$G203</f>
        <v>8829000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3"/>
      <c r="B155" s="85"/>
      <c r="C155" s="11" t="s">
        <v>206</v>
      </c>
      <c r="D155" s="11" t="s">
        <v>207</v>
      </c>
      <c r="E155" s="86">
        <f>예산!$G204</f>
        <v>1830000</v>
      </c>
      <c r="F155" s="85"/>
      <c r="G155" s="85" t="s">
        <v>378</v>
      </c>
      <c r="H155" s="86">
        <f>예산!$G204</f>
        <v>1830000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3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3"/>
      <c r="B158" s="85"/>
      <c r="C158" s="92"/>
      <c r="D158" s="85"/>
      <c r="E158" s="86"/>
      <c r="F158" s="85"/>
      <c r="G158" s="85"/>
      <c r="H158" s="86"/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3"/>
      <c r="B159" s="85"/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3"/>
      <c r="B160" s="474" t="s">
        <v>21</v>
      </c>
      <c r="C160" s="457"/>
      <c r="D160" s="458"/>
      <c r="E160" s="88">
        <f>예산!G205</f>
        <v>11659000</v>
      </c>
      <c r="F160" s="94"/>
      <c r="G160" s="89"/>
      <c r="H160" s="88">
        <f>SUM(H152:H159)</f>
        <v>11659000</v>
      </c>
      <c r="I160" s="90"/>
      <c r="J160" s="89"/>
      <c r="K160" s="91">
        <f>H160/E160</f>
        <v>1</v>
      </c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3"/>
      <c r="B161" s="85" t="s">
        <v>273</v>
      </c>
      <c r="C161" s="92"/>
      <c r="D161" s="85"/>
      <c r="E161" s="86"/>
      <c r="F161" s="85"/>
      <c r="G161" s="85"/>
      <c r="H161" s="86"/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3"/>
      <c r="B162" s="85"/>
      <c r="C162" s="27" t="s">
        <v>209</v>
      </c>
      <c r="D162" s="85"/>
      <c r="E162" s="86">
        <f>예산!$G209</f>
        <v>25000</v>
      </c>
      <c r="F162" s="85"/>
      <c r="G162" s="85" t="s">
        <v>238</v>
      </c>
      <c r="H162" s="86">
        <f>예산!$G209</f>
        <v>25000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3"/>
      <c r="B163" s="85"/>
      <c r="C163" s="27" t="s">
        <v>210</v>
      </c>
      <c r="D163" s="85"/>
      <c r="E163" s="86">
        <f>예산!$G210</f>
        <v>2043000</v>
      </c>
      <c r="F163" s="85"/>
      <c r="G163" s="85" t="s">
        <v>238</v>
      </c>
      <c r="H163" s="86">
        <f>예산!$G210</f>
        <v>2043000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3"/>
      <c r="B164" s="474" t="s">
        <v>21</v>
      </c>
      <c r="C164" s="457"/>
      <c r="D164" s="458"/>
      <c r="E164" s="88">
        <f>예산!G211</f>
        <v>2068000</v>
      </c>
      <c r="F164" s="94"/>
      <c r="G164" s="89"/>
      <c r="H164" s="88">
        <f>SUM(H161:H163)</f>
        <v>2068000</v>
      </c>
      <c r="I164" s="90"/>
      <c r="J164" s="89"/>
      <c r="K164" s="91">
        <f>H164/E164</f>
        <v>1</v>
      </c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3"/>
      <c r="B165" s="85" t="s">
        <v>211</v>
      </c>
      <c r="C165" s="11" t="s">
        <v>212</v>
      </c>
      <c r="D165" s="11" t="s">
        <v>213</v>
      </c>
      <c r="E165" s="86">
        <f>예산!$G215</f>
        <v>3430000</v>
      </c>
      <c r="F165" s="85"/>
      <c r="G165" s="85" t="s">
        <v>393</v>
      </c>
      <c r="H165" s="86">
        <f>예산!$G215</f>
        <v>3430000</v>
      </c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43"/>
      <c r="B166" s="85"/>
      <c r="C166" s="26" t="s">
        <v>214</v>
      </c>
      <c r="D166" s="11" t="s">
        <v>215</v>
      </c>
      <c r="E166" s="86">
        <f>예산!$G216</f>
        <v>1087800</v>
      </c>
      <c r="F166" s="85"/>
      <c r="G166" s="85" t="s">
        <v>230</v>
      </c>
      <c r="H166" s="86">
        <f>예산!$G216</f>
        <v>1087800</v>
      </c>
      <c r="I166" s="87"/>
      <c r="J166" s="85"/>
      <c r="K166" s="93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43"/>
      <c r="B167" s="85"/>
      <c r="C167" s="92"/>
      <c r="D167" s="85"/>
      <c r="E167" s="86"/>
      <c r="F167" s="85"/>
      <c r="G167" s="85"/>
      <c r="H167" s="86"/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43"/>
      <c r="B168" s="474" t="s">
        <v>21</v>
      </c>
      <c r="C168" s="457"/>
      <c r="D168" s="458"/>
      <c r="E168" s="88">
        <f>예산!G217</f>
        <v>4517800</v>
      </c>
      <c r="F168" s="94"/>
      <c r="G168" s="89"/>
      <c r="H168" s="88">
        <f>SUM(H165:H167)</f>
        <v>4517800</v>
      </c>
      <c r="I168" s="90"/>
      <c r="J168" s="89"/>
      <c r="K168" s="91">
        <f>H168/E168</f>
        <v>1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43"/>
      <c r="B169" s="85" t="s">
        <v>135</v>
      </c>
      <c r="C169" s="92" t="s">
        <v>284</v>
      </c>
      <c r="D169" s="85"/>
      <c r="E169" s="86">
        <f>예산!$G221</f>
        <v>151120240</v>
      </c>
      <c r="F169" s="85"/>
      <c r="G169" s="85" t="s">
        <v>231</v>
      </c>
      <c r="H169" s="86">
        <f>예산!$G221</f>
        <v>151120240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43"/>
      <c r="B170" s="85"/>
      <c r="C170" s="92" t="s">
        <v>285</v>
      </c>
      <c r="D170" s="85"/>
      <c r="E170" s="86">
        <f>예산!$G222</f>
        <v>186772440</v>
      </c>
      <c r="F170" s="85"/>
      <c r="G170" s="85" t="s">
        <v>384</v>
      </c>
      <c r="H170" s="86">
        <f>예산!$G222</f>
        <v>186772440</v>
      </c>
      <c r="I170" s="87"/>
      <c r="J170" s="85"/>
      <c r="K170" s="93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43"/>
      <c r="B171" s="85"/>
      <c r="C171" s="92" t="s">
        <v>158</v>
      </c>
      <c r="D171" s="85"/>
      <c r="E171" s="86">
        <f>예산!$G223</f>
        <v>12743500</v>
      </c>
      <c r="F171" s="85"/>
      <c r="G171" s="85" t="s">
        <v>229</v>
      </c>
      <c r="H171" s="86">
        <f>예산!$G223</f>
        <v>12743500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43"/>
      <c r="B172" s="474" t="s">
        <v>21</v>
      </c>
      <c r="C172" s="457"/>
      <c r="D172" s="458"/>
      <c r="E172" s="88">
        <f>예산!G226</f>
        <v>350636180</v>
      </c>
      <c r="F172" s="94"/>
      <c r="G172" s="89"/>
      <c r="H172" s="88">
        <f>SUM(H169:H171)</f>
        <v>350636180</v>
      </c>
      <c r="I172" s="90"/>
      <c r="J172" s="89"/>
      <c r="K172" s="91">
        <f>H172/E172</f>
        <v>1</v>
      </c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43"/>
      <c r="B173" s="85" t="s">
        <v>143</v>
      </c>
      <c r="C173" s="92" t="s">
        <v>222</v>
      </c>
      <c r="D173" s="85"/>
      <c r="E173" s="86"/>
      <c r="F173" s="85"/>
      <c r="G173" s="85" t="s">
        <v>231</v>
      </c>
      <c r="H173" s="86">
        <f>SUM(예산!$G$240:$G$243)</f>
        <v>3600000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43"/>
      <c r="B174" s="85"/>
      <c r="C174" s="11" t="s">
        <v>219</v>
      </c>
      <c r="D174" s="18" t="s">
        <v>220</v>
      </c>
      <c r="E174" s="86"/>
      <c r="F174" s="85"/>
      <c r="G174" s="85" t="s">
        <v>231</v>
      </c>
      <c r="H174" s="86">
        <f>SUM(예산!$G$236:$G$239)</f>
        <v>1000000</v>
      </c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43"/>
      <c r="B175" s="85"/>
      <c r="C175" s="11" t="s">
        <v>442</v>
      </c>
      <c r="D175" s="18" t="s">
        <v>221</v>
      </c>
      <c r="E175" s="86"/>
      <c r="F175" s="85"/>
      <c r="G175" s="85" t="s">
        <v>231</v>
      </c>
      <c r="H175" s="86">
        <f>SUM(예산!G244)</f>
        <v>2700000</v>
      </c>
      <c r="I175" s="87"/>
      <c r="J175" s="85"/>
      <c r="K175" s="93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443"/>
      <c r="B176" s="85"/>
      <c r="C176" s="92" t="s">
        <v>526</v>
      </c>
      <c r="D176" s="85" t="s">
        <v>531</v>
      </c>
      <c r="E176" s="86">
        <f>예산!G249</f>
        <v>11400000</v>
      </c>
      <c r="F176" s="85"/>
      <c r="G176" s="85" t="s">
        <v>383</v>
      </c>
      <c r="H176" s="86">
        <f>E176</f>
        <v>11400000</v>
      </c>
      <c r="I176" s="87"/>
      <c r="J176" s="85"/>
      <c r="K176" s="93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445"/>
      <c r="B177" s="474" t="s">
        <v>21</v>
      </c>
      <c r="C177" s="457"/>
      <c r="D177" s="458"/>
      <c r="E177" s="88">
        <f>예산!G250</f>
        <v>18700000</v>
      </c>
      <c r="F177" s="94"/>
      <c r="G177" s="89"/>
      <c r="H177" s="95">
        <f>SUM(H173:H176)</f>
        <v>18700000</v>
      </c>
      <c r="I177" s="90"/>
      <c r="J177" s="89"/>
      <c r="K177" s="91">
        <f>H177/E177</f>
        <v>1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A178" s="475" t="s">
        <v>274</v>
      </c>
      <c r="B178" s="476"/>
      <c r="C178" s="96">
        <f>예산!G128</f>
        <v>1158492665</v>
      </c>
      <c r="D178" s="107"/>
      <c r="E178" s="108">
        <f>SUM(E177,E168,E164,E160,E151,E149,E143,E125,E123,E114,E172)</f>
        <v>1158492665</v>
      </c>
      <c r="F178" s="109">
        <f>SUM(E177,E172,E168,E164,E160,E151,E149,E143,E123,E125)</f>
        <v>475492665</v>
      </c>
      <c r="G178" s="110"/>
      <c r="H178" s="101">
        <f>SUM(H177,H172,H168,H164,H160,H151,H149,H143,H125,H123,H114)</f>
        <v>1155146565</v>
      </c>
      <c r="I178" s="472"/>
      <c r="J178" s="473"/>
      <c r="K178" s="102">
        <f t="shared" ref="K178:K179" si="15">H178/C178</f>
        <v>0.99711167787152111</v>
      </c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A179" s="111" t="s">
        <v>275</v>
      </c>
      <c r="B179" s="112"/>
      <c r="C179" s="113">
        <f>SUM(C178,C68,C48,C31,C18)</f>
        <v>2918188313.4000001</v>
      </c>
      <c r="D179" s="112"/>
      <c r="E179" s="114"/>
      <c r="F179" s="112"/>
      <c r="G179" s="112"/>
      <c r="H179" s="115">
        <f>SUM(H178,H68,H48,H31,H18)</f>
        <v>2881208213.4000001</v>
      </c>
      <c r="I179" s="116"/>
      <c r="J179" s="112"/>
      <c r="K179" s="117">
        <f t="shared" si="15"/>
        <v>0.98732771979443845</v>
      </c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  <row r="1054" spans="3:27" ht="16.5" customHeight="1">
      <c r="C1054" s="118"/>
      <c r="E1054" s="61"/>
      <c r="H1054" s="61"/>
      <c r="I1054" s="60"/>
      <c r="K1054" s="62"/>
      <c r="O1054" s="60"/>
      <c r="P1054" s="61"/>
      <c r="Q1054" s="62"/>
      <c r="R1054" s="61"/>
      <c r="S1054" s="62"/>
      <c r="T1054" s="61"/>
      <c r="U1054" s="62"/>
      <c r="V1054" s="61"/>
      <c r="W1054" s="62"/>
      <c r="X1054" s="61"/>
      <c r="Y1054" s="62"/>
      <c r="Z1054" s="61"/>
      <c r="AA1054" s="62"/>
    </row>
    <row r="1055" spans="3:27" ht="16.5" customHeight="1">
      <c r="C1055" s="118"/>
      <c r="E1055" s="61"/>
      <c r="H1055" s="61"/>
      <c r="I1055" s="60"/>
      <c r="K1055" s="62"/>
      <c r="O1055" s="60"/>
      <c r="P1055" s="61"/>
      <c r="Q1055" s="62"/>
      <c r="R1055" s="61"/>
      <c r="S1055" s="62"/>
      <c r="T1055" s="61"/>
      <c r="U1055" s="62"/>
      <c r="V1055" s="61"/>
      <c r="W1055" s="62"/>
      <c r="X1055" s="61"/>
      <c r="Y1055" s="62"/>
      <c r="Z1055" s="61"/>
      <c r="AA1055" s="62"/>
    </row>
  </sheetData>
  <mergeCells count="66"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B69:B88"/>
    <mergeCell ref="C84:C88"/>
    <mergeCell ref="C70:C78"/>
    <mergeCell ref="B177:D177"/>
    <mergeCell ref="B149:D149"/>
    <mergeCell ref="B143:D143"/>
    <mergeCell ref="B108:B113"/>
    <mergeCell ref="B104:B107"/>
    <mergeCell ref="C79:C83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I178:J178"/>
    <mergeCell ref="B168:D168"/>
    <mergeCell ref="A178:B178"/>
    <mergeCell ref="A68:B68"/>
    <mergeCell ref="I68:J68"/>
    <mergeCell ref="B89:B91"/>
    <mergeCell ref="B164:D164"/>
    <mergeCell ref="B114:D114"/>
    <mergeCell ref="B123:D123"/>
    <mergeCell ref="B125:D125"/>
    <mergeCell ref="B151:D151"/>
    <mergeCell ref="B160:D160"/>
    <mergeCell ref="C93:C98"/>
    <mergeCell ref="A69:A177"/>
    <mergeCell ref="B99:B103"/>
    <mergeCell ref="B172:D17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40" t="s">
        <v>290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</row>
    <row r="2" spans="1:15" ht="17.25" customHeight="1">
      <c r="A2" s="542" t="s">
        <v>291</v>
      </c>
      <c r="B2" s="545" t="s">
        <v>292</v>
      </c>
      <c r="C2" s="546"/>
      <c r="D2" s="546"/>
      <c r="E2" s="546"/>
      <c r="F2" s="546"/>
      <c r="G2" s="547"/>
      <c r="H2" s="129" t="s">
        <v>293</v>
      </c>
      <c r="I2" s="549" t="s">
        <v>294</v>
      </c>
      <c r="J2" s="546"/>
      <c r="K2" s="550"/>
      <c r="M2" s="130"/>
    </row>
    <row r="3" spans="1:15" ht="16.5" customHeight="1">
      <c r="A3" s="543"/>
      <c r="B3" s="455"/>
      <c r="C3" s="548"/>
      <c r="D3" s="548"/>
      <c r="E3" s="548"/>
      <c r="F3" s="548"/>
      <c r="G3" s="534"/>
      <c r="H3" s="131" t="s">
        <v>295</v>
      </c>
      <c r="I3" s="455"/>
      <c r="J3" s="548"/>
      <c r="K3" s="551"/>
      <c r="M3" s="552" t="s">
        <v>296</v>
      </c>
    </row>
    <row r="4" spans="1:15" ht="16.5" customHeight="1">
      <c r="A4" s="543"/>
      <c r="B4" s="132" t="s">
        <v>297</v>
      </c>
      <c r="C4" s="553" t="s">
        <v>298</v>
      </c>
      <c r="D4" s="133" t="s">
        <v>299</v>
      </c>
      <c r="E4" s="553" t="s">
        <v>298</v>
      </c>
      <c r="F4" s="133" t="s">
        <v>300</v>
      </c>
      <c r="G4" s="133" t="s">
        <v>301</v>
      </c>
      <c r="H4" s="131" t="s">
        <v>302</v>
      </c>
      <c r="I4" s="134" t="s">
        <v>303</v>
      </c>
      <c r="J4" s="134" t="s">
        <v>304</v>
      </c>
      <c r="K4" s="135" t="s">
        <v>21</v>
      </c>
      <c r="M4" s="450"/>
    </row>
    <row r="5" spans="1:15" ht="16.5" customHeight="1">
      <c r="A5" s="544"/>
      <c r="B5" s="136" t="s">
        <v>305</v>
      </c>
      <c r="C5" s="445"/>
      <c r="D5" s="137" t="s">
        <v>306</v>
      </c>
      <c r="E5" s="445"/>
      <c r="F5" s="137" t="s">
        <v>307</v>
      </c>
      <c r="G5" s="137" t="s">
        <v>308</v>
      </c>
      <c r="H5" s="138"/>
      <c r="I5" s="139" t="s">
        <v>309</v>
      </c>
      <c r="J5" s="139" t="s">
        <v>310</v>
      </c>
      <c r="K5" s="140" t="s">
        <v>311</v>
      </c>
      <c r="M5" s="450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95.500141707320267</v>
      </c>
      <c r="I6" s="147"/>
      <c r="J6" s="148" t="s">
        <v>312</v>
      </c>
      <c r="K6" s="149"/>
      <c r="M6" s="450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5.9395041283210821</v>
      </c>
      <c r="I7" s="153"/>
      <c r="J7" s="148" t="s">
        <v>312</v>
      </c>
      <c r="K7" s="154"/>
      <c r="M7" s="450"/>
    </row>
    <row r="8" spans="1:15" ht="16.5" customHeight="1">
      <c r="A8" s="150" t="s">
        <v>243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186.8</v>
      </c>
      <c r="G8" s="152">
        <f t="shared" si="0"/>
        <v>186.8</v>
      </c>
      <c r="H8" s="146">
        <f t="shared" si="1"/>
        <v>5.7354132649273994</v>
      </c>
      <c r="I8" s="153"/>
      <c r="J8" s="148" t="s">
        <v>312</v>
      </c>
      <c r="K8" s="154"/>
    </row>
    <row r="9" spans="1:15" ht="16.5" customHeight="1">
      <c r="A9" s="150" t="s">
        <v>313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1250.3573899999999</v>
      </c>
      <c r="G9" s="152">
        <f t="shared" si="0"/>
        <v>1250.3573899999999</v>
      </c>
      <c r="H9" s="146">
        <f t="shared" si="1"/>
        <v>49.922927140430652</v>
      </c>
      <c r="I9" s="153"/>
      <c r="J9" s="148" t="s">
        <v>312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2.7838659948857138</v>
      </c>
      <c r="I10" s="153"/>
      <c r="J10" s="148" t="s">
        <v>312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1158.492665</v>
      </c>
      <c r="G11" s="158">
        <f t="shared" si="0"/>
        <v>1158.492665</v>
      </c>
      <c r="H11" s="146">
        <f t="shared" si="1"/>
        <v>30.591984351465268</v>
      </c>
      <c r="I11" s="159"/>
      <c r="J11" s="148" t="s">
        <v>312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2918.1883134</v>
      </c>
      <c r="G12" s="165">
        <f t="shared" si="2"/>
        <v>2918.1883134</v>
      </c>
      <c r="H12" s="166">
        <f t="shared" si="2"/>
        <v>94.973694880030123</v>
      </c>
      <c r="I12" s="167"/>
      <c r="J12" s="168" t="s">
        <v>312</v>
      </c>
      <c r="K12" s="169"/>
      <c r="O12" s="151">
        <v>49.97</v>
      </c>
    </row>
    <row r="13" spans="1:15" ht="16.5" customHeight="1">
      <c r="A13" s="141" t="s">
        <v>314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5.0263051199698854</v>
      </c>
      <c r="I13" s="172"/>
      <c r="J13" s="173" t="s">
        <v>312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5.0263051199698854</v>
      </c>
      <c r="I14" s="167"/>
      <c r="J14" s="168" t="s">
        <v>312</v>
      </c>
      <c r="K14" s="169"/>
      <c r="O14" s="157">
        <v>30.58</v>
      </c>
    </row>
    <row r="15" spans="1:15" ht="16.5" customHeight="1">
      <c r="A15" s="175" t="s">
        <v>315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3073.7883133999999</v>
      </c>
      <c r="G15" s="179">
        <f t="shared" si="4"/>
        <v>3073.7883133999999</v>
      </c>
      <c r="H15" s="180">
        <f t="shared" si="4"/>
        <v>100.00000000000001</v>
      </c>
      <c r="I15" s="181"/>
      <c r="J15" s="182" t="s">
        <v>312</v>
      </c>
      <c r="K15" s="183"/>
    </row>
    <row r="16" spans="1:15" ht="16.5" customHeight="1">
      <c r="A16" s="184" t="s">
        <v>316</v>
      </c>
    </row>
    <row r="17" spans="1:26" ht="16.5" customHeight="1">
      <c r="A17" s="528" t="s">
        <v>317</v>
      </c>
      <c r="B17" s="450"/>
      <c r="C17" s="529">
        <f>SUM(B15,D15,F15,G15)</f>
        <v>14516.826626800001</v>
      </c>
      <c r="D17" s="450"/>
      <c r="E17" s="450"/>
      <c r="F17" s="450"/>
      <c r="G17" s="450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32" t="s">
        <v>8</v>
      </c>
      <c r="B20" s="533"/>
      <c r="C20" s="530" t="s">
        <v>318</v>
      </c>
      <c r="D20" s="530" t="s">
        <v>319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55"/>
      <c r="B21" s="534"/>
      <c r="C21" s="445"/>
      <c r="D21" s="445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27">
        <f>SUM(C22:D28)</f>
        <v>104005000</v>
      </c>
      <c r="H22" s="527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50"/>
      <c r="H23" s="450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30" t="s">
        <v>84</v>
      </c>
      <c r="B24" s="530" t="s">
        <v>320</v>
      </c>
      <c r="C24" s="538">
        <v>39000000</v>
      </c>
      <c r="D24" s="539"/>
      <c r="E24" s="186">
        <f t="shared" si="5"/>
        <v>39000000</v>
      </c>
      <c r="F24" s="527">
        <f>SUM(E24:E28)</f>
        <v>89205000</v>
      </c>
      <c r="G24" s="450"/>
      <c r="H24" s="450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43"/>
      <c r="B25" s="445"/>
      <c r="C25" s="445"/>
      <c r="D25" s="445"/>
      <c r="E25" s="186">
        <f t="shared" si="5"/>
        <v>0</v>
      </c>
      <c r="F25" s="450"/>
      <c r="G25" s="450"/>
      <c r="H25" s="450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43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50"/>
      <c r="G26" s="450"/>
      <c r="H26" s="450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43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50"/>
      <c r="G27" s="450"/>
      <c r="H27" s="450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45"/>
      <c r="B28" s="187" t="s">
        <v>179</v>
      </c>
      <c r="C28" s="188">
        <v>6000000</v>
      </c>
      <c r="D28" s="189"/>
      <c r="E28" s="186">
        <f t="shared" si="5"/>
        <v>6000000</v>
      </c>
      <c r="F28" s="450"/>
      <c r="G28" s="450"/>
      <c r="H28" s="450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31" t="s">
        <v>314</v>
      </c>
      <c r="B29" s="458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50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27" t="s">
        <v>22</v>
      </c>
      <c r="B31" s="450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35" t="s">
        <v>321</v>
      </c>
      <c r="B32" s="450"/>
      <c r="C32" s="194">
        <v>61800000</v>
      </c>
      <c r="D32" s="195">
        <f>37500000+13330000</f>
        <v>50830000</v>
      </c>
      <c r="E32" s="536" t="s">
        <v>322</v>
      </c>
      <c r="F32" s="450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37" t="s">
        <v>323</v>
      </c>
      <c r="B36" s="450"/>
      <c r="C36" s="450"/>
      <c r="D36" s="450"/>
      <c r="E36" s="450"/>
      <c r="F36" s="450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A1:K1"/>
    <mergeCell ref="A2:A5"/>
    <mergeCell ref="B2:G3"/>
    <mergeCell ref="I2:K3"/>
    <mergeCell ref="M3:M7"/>
    <mergeCell ref="C4:C5"/>
    <mergeCell ref="E4:E5"/>
    <mergeCell ref="A31:B31"/>
    <mergeCell ref="A32:B32"/>
    <mergeCell ref="E32:F32"/>
    <mergeCell ref="A36:F36"/>
    <mergeCell ref="A24:A28"/>
    <mergeCell ref="B24:B25"/>
    <mergeCell ref="C24:C25"/>
    <mergeCell ref="D24:D25"/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40" t="s">
        <v>324</v>
      </c>
      <c r="B1" s="541"/>
      <c r="C1" s="541"/>
      <c r="D1" s="541"/>
      <c r="E1" s="541"/>
      <c r="F1" s="541"/>
      <c r="G1" s="541"/>
      <c r="H1" s="541"/>
    </row>
    <row r="2" spans="1:8" ht="24.75" customHeight="1">
      <c r="A2" s="564" t="s">
        <v>291</v>
      </c>
      <c r="B2" s="547"/>
      <c r="C2" s="566" t="s">
        <v>325</v>
      </c>
      <c r="D2" s="129" t="s">
        <v>295</v>
      </c>
      <c r="E2" s="567" t="s">
        <v>298</v>
      </c>
      <c r="F2" s="568" t="s">
        <v>294</v>
      </c>
      <c r="G2" s="569"/>
      <c r="H2" s="570"/>
    </row>
    <row r="3" spans="1:8" ht="24.75" customHeight="1">
      <c r="A3" s="565"/>
      <c r="B3" s="534"/>
      <c r="C3" s="445"/>
      <c r="D3" s="137" t="s">
        <v>302</v>
      </c>
      <c r="E3" s="445"/>
      <c r="F3" s="196" t="s">
        <v>326</v>
      </c>
      <c r="G3" s="196" t="s">
        <v>327</v>
      </c>
      <c r="H3" s="197" t="s">
        <v>328</v>
      </c>
    </row>
    <row r="4" spans="1:8" ht="24.75" customHeight="1">
      <c r="A4" s="563" t="s">
        <v>7</v>
      </c>
      <c r="B4" s="170" t="s">
        <v>329</v>
      </c>
      <c r="C4" s="171">
        <f>예산!G14/1000000</f>
        <v>121.1387584</v>
      </c>
      <c r="D4" s="198">
        <f t="shared" ref="D4:D5" si="0">(C4/$C$27)*100</f>
        <v>3.9410247567115357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44"/>
      <c r="B5" s="170" t="s">
        <v>26</v>
      </c>
      <c r="C5" s="171">
        <f>예산!G19/1000000</f>
        <v>93.36</v>
      </c>
      <c r="D5" s="198">
        <f t="shared" si="0"/>
        <v>3.0372943898902385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55" t="s">
        <v>21</v>
      </c>
      <c r="B6" s="458"/>
      <c r="C6" s="165">
        <f>SUM(C4,C5)</f>
        <v>214.49875839999999</v>
      </c>
      <c r="D6" s="199">
        <f t="shared" ref="D6:F6" si="1">SUM(D4:D5)</f>
        <v>6.9783191466017742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243</v>
      </c>
      <c r="C7" s="171">
        <f>예산!G64/1000000</f>
        <v>186.8</v>
      </c>
      <c r="D7" s="202">
        <f>(C7/$C$27)*100</f>
        <v>6.0771914313570754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55" t="s">
        <v>21</v>
      </c>
      <c r="B8" s="458"/>
      <c r="C8" s="165">
        <f t="shared" ref="C8:D8" si="2">SUM(C7)</f>
        <v>186.8</v>
      </c>
      <c r="D8" s="199">
        <f t="shared" si="2"/>
        <v>6.0771914313570754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63" t="s">
        <v>330</v>
      </c>
      <c r="B9" s="201" t="s">
        <v>32</v>
      </c>
      <c r="C9" s="171">
        <f>예산!G82/1000000</f>
        <v>1248.3573899999999</v>
      </c>
      <c r="D9" s="202">
        <f t="shared" ref="D9:D23" si="3">(C9/$C$27)*100</f>
        <v>40.612991615520777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44"/>
      <c r="B10" s="170" t="s">
        <v>56</v>
      </c>
      <c r="C10" s="171">
        <f>예산!G90/1000000</f>
        <v>2</v>
      </c>
      <c r="D10" s="198">
        <f t="shared" si="3"/>
        <v>6.5066289414957984E-2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279</v>
      </c>
      <c r="B11" s="201" t="s">
        <v>73</v>
      </c>
      <c r="C11" s="171">
        <f>예산!G125/1000000</f>
        <v>108.0395</v>
      </c>
      <c r="D11" s="202">
        <f t="shared" si="3"/>
        <v>3.5148646876236764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63" t="s">
        <v>331</v>
      </c>
      <c r="B12" s="170" t="s">
        <v>86</v>
      </c>
      <c r="C12" s="171">
        <f>예산!G140/1000000</f>
        <v>683</v>
      </c>
      <c r="D12" s="198">
        <f t="shared" si="3"/>
        <v>22.220137835208149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43"/>
      <c r="B13" s="170" t="s">
        <v>94</v>
      </c>
      <c r="C13" s="171">
        <f>예산!G153/1000000</f>
        <v>3.2057440000000001</v>
      </c>
      <c r="D13" s="198">
        <f t="shared" si="3"/>
        <v>0.10429293344713252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43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43"/>
      <c r="B15" s="170" t="s">
        <v>100</v>
      </c>
      <c r="C15" s="171">
        <f>예산!G183/1000000</f>
        <v>83.031841</v>
      </c>
      <c r="D15" s="198">
        <f t="shared" si="3"/>
        <v>2.7012868985813867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43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43"/>
      <c r="B17" s="170" t="s">
        <v>116</v>
      </c>
      <c r="C17" s="171">
        <f>예산!G192/1000000</f>
        <v>1.5241</v>
      </c>
      <c r="D17" s="198">
        <f t="shared" si="3"/>
        <v>4.958376584866872E-2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43"/>
      <c r="B18" s="170" t="s">
        <v>200</v>
      </c>
      <c r="C18" s="171">
        <f>예산!G197/1000000</f>
        <v>0.15</v>
      </c>
      <c r="D18" s="198">
        <f t="shared" si="3"/>
        <v>4.8799717061218479E-3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43"/>
      <c r="B19" s="170" t="s">
        <v>121</v>
      </c>
      <c r="C19" s="171">
        <f>예산!G205/1000000</f>
        <v>11.659000000000001</v>
      </c>
      <c r="D19" s="198">
        <f t="shared" si="3"/>
        <v>0.37930393414449753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43"/>
      <c r="B20" s="170" t="s">
        <v>332</v>
      </c>
      <c r="C20" s="171">
        <f>예산!G211/1000000</f>
        <v>2.0680000000000001</v>
      </c>
      <c r="D20" s="198">
        <f t="shared" si="3"/>
        <v>6.7278543255066547E-2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43"/>
      <c r="B21" s="170" t="s">
        <v>135</v>
      </c>
      <c r="C21" s="171">
        <f>예산!G226/1000000</f>
        <v>350.63618000000002</v>
      </c>
      <c r="D21" s="198">
        <f t="shared" si="3"/>
        <v>11.407297583617652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43"/>
      <c r="B22" s="170" t="s">
        <v>211</v>
      </c>
      <c r="C22" s="171">
        <f>예산!G217/1000000</f>
        <v>4.5178000000000003</v>
      </c>
      <c r="D22" s="198">
        <f t="shared" si="3"/>
        <v>0.14697824115944857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44"/>
      <c r="B23" s="170" t="s">
        <v>143</v>
      </c>
      <c r="C23" s="171">
        <f>예산!G250/1000000</f>
        <v>18.7</v>
      </c>
      <c r="D23" s="198">
        <f t="shared" si="3"/>
        <v>0.60836980602985702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55" t="s">
        <v>21</v>
      </c>
      <c r="B24" s="458"/>
      <c r="C24" s="165">
        <f t="shared" ref="C24:F24" si="4">SUM(C9:C23)</f>
        <v>2516.8895550000007</v>
      </c>
      <c r="D24" s="199">
        <f t="shared" si="4"/>
        <v>81.882332105557381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56" t="s">
        <v>314</v>
      </c>
      <c r="B25" s="458"/>
      <c r="C25" s="171">
        <f>예산!C253/1000000</f>
        <v>155.6</v>
      </c>
      <c r="D25" s="198">
        <f>(C25/$C$27)*100</f>
        <v>5.0621573164837308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55" t="s">
        <v>21</v>
      </c>
      <c r="B26" s="458"/>
      <c r="C26" s="165">
        <f t="shared" ref="C26:D26" si="5">SUM(C25)</f>
        <v>155.6</v>
      </c>
      <c r="D26" s="199">
        <f t="shared" si="5"/>
        <v>5.0621573164837308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57" t="s">
        <v>315</v>
      </c>
      <c r="B27" s="558"/>
      <c r="C27" s="179">
        <f t="shared" ref="C27:D27" si="6">SUM(C6,C8,C24,C26)</f>
        <v>3073.7883134000008</v>
      </c>
      <c r="D27" s="205">
        <f t="shared" si="6"/>
        <v>99.999999999999972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316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54" t="s">
        <v>8</v>
      </c>
      <c r="B30" s="458"/>
      <c r="C30" s="207" t="s">
        <v>333</v>
      </c>
      <c r="D30" s="207" t="s">
        <v>334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28">
        <f>SUM(E31:E37)</f>
        <v>88875000</v>
      </c>
    </row>
    <row r="32" spans="1:8" ht="54.75" customHeight="1">
      <c r="A32" s="559" t="s">
        <v>31</v>
      </c>
      <c r="B32" s="560"/>
      <c r="C32" s="561">
        <v>2000000</v>
      </c>
      <c r="D32" s="561">
        <v>0</v>
      </c>
      <c r="E32" s="562">
        <f>SUM(C32:D33)</f>
        <v>2000000</v>
      </c>
      <c r="G32" s="450"/>
    </row>
    <row r="33" spans="1:7" ht="16.5" customHeight="1">
      <c r="A33" s="445"/>
      <c r="B33" s="445"/>
      <c r="C33" s="445"/>
      <c r="D33" s="445"/>
      <c r="E33" s="452"/>
      <c r="G33" s="450"/>
    </row>
    <row r="34" spans="1:7" ht="16.5" customHeight="1">
      <c r="A34" s="559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28">
        <f>SUM(E34:E37)</f>
        <v>74875000</v>
      </c>
      <c r="G34" s="450"/>
    </row>
    <row r="35" spans="1:7" ht="16.5" customHeight="1">
      <c r="A35" s="443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50"/>
      <c r="G35" s="450"/>
    </row>
    <row r="36" spans="1:7" ht="16.5" customHeight="1">
      <c r="A36" s="443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50"/>
      <c r="G36" s="450"/>
    </row>
    <row r="37" spans="1:7" ht="16.5" customHeight="1">
      <c r="A37" s="445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50"/>
      <c r="G37" s="450"/>
    </row>
    <row r="38" spans="1:7" ht="16.5" customHeight="1">
      <c r="A38" s="554" t="s">
        <v>314</v>
      </c>
      <c r="B38" s="458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1:H1"/>
    <mergeCell ref="A2:B3"/>
    <mergeCell ref="C2:C3"/>
    <mergeCell ref="E2:E3"/>
    <mergeCell ref="F2:H2"/>
    <mergeCell ref="A4:A5"/>
    <mergeCell ref="A6:B6"/>
    <mergeCell ref="A8:B8"/>
    <mergeCell ref="A9:A10"/>
    <mergeCell ref="A12:A23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38:B38"/>
    <mergeCell ref="A24:B24"/>
    <mergeCell ref="A25:B25"/>
    <mergeCell ref="A26:B26"/>
    <mergeCell ref="A27:B27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77" t="s">
        <v>415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226</v>
      </c>
      <c r="AD1" s="64" t="s">
        <v>227</v>
      </c>
      <c r="AE1" s="64" t="s">
        <v>228</v>
      </c>
      <c r="AF1" s="64" t="s">
        <v>229</v>
      </c>
      <c r="AG1" s="64" t="s">
        <v>230</v>
      </c>
      <c r="AH1" s="64" t="s">
        <v>231</v>
      </c>
      <c r="AI1" s="64" t="s">
        <v>232</v>
      </c>
      <c r="AJ1" s="64" t="s">
        <v>233</v>
      </c>
      <c r="AK1" s="64" t="s">
        <v>234</v>
      </c>
      <c r="AL1" s="64" t="s">
        <v>235</v>
      </c>
      <c r="AM1" s="64" t="s">
        <v>236</v>
      </c>
      <c r="AN1" s="64" t="s">
        <v>237</v>
      </c>
      <c r="AO1" s="64" t="s">
        <v>238</v>
      </c>
      <c r="AP1" s="64" t="s">
        <v>239</v>
      </c>
      <c r="AQ1" s="64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509" t="s">
        <v>7</v>
      </c>
      <c r="Q2" s="458"/>
      <c r="R2" s="509" t="s">
        <v>243</v>
      </c>
      <c r="S2" s="458"/>
      <c r="T2" s="509" t="s">
        <v>31</v>
      </c>
      <c r="U2" s="458"/>
      <c r="V2" s="509" t="s">
        <v>72</v>
      </c>
      <c r="W2" s="458"/>
      <c r="X2" s="509" t="s">
        <v>84</v>
      </c>
      <c r="Y2" s="458"/>
      <c r="Z2" s="509" t="s">
        <v>244</v>
      </c>
      <c r="AA2" s="458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524" t="s">
        <v>247</v>
      </c>
      <c r="E3" s="525"/>
      <c r="F3" s="526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0.95824411134903642</v>
      </c>
      <c r="T3" s="80">
        <f>H46</f>
        <v>1229537390</v>
      </c>
      <c r="U3" s="81">
        <f>K46</f>
        <v>0.98334876078910527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485" t="s">
        <v>7</v>
      </c>
      <c r="B4" s="486" t="s">
        <v>254</v>
      </c>
      <c r="C4" s="511">
        <f>예산!G14</f>
        <v>121138758.40000001</v>
      </c>
      <c r="D4" s="85" t="s">
        <v>15</v>
      </c>
      <c r="E4" s="522">
        <f>예산!G7</f>
        <v>5871208</v>
      </c>
      <c r="F4" s="458"/>
      <c r="G4" s="310" t="s">
        <v>228</v>
      </c>
      <c r="H4" s="311">
        <f>1192128+예산!E8</f>
        <v>2781628</v>
      </c>
      <c r="I4" s="87">
        <v>45776</v>
      </c>
      <c r="J4" s="85"/>
      <c r="K4" s="513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3"/>
      <c r="B5" s="443"/>
      <c r="C5" s="443"/>
      <c r="D5" s="85" t="s">
        <v>19</v>
      </c>
      <c r="E5" s="522">
        <f>예산!G8</f>
        <v>4768500</v>
      </c>
      <c r="F5" s="458"/>
      <c r="G5" s="310" t="s">
        <v>229</v>
      </c>
      <c r="H5" s="311">
        <f>예산!E7+예산!E8</f>
        <v>3405260</v>
      </c>
      <c r="I5" s="87"/>
      <c r="J5" s="85"/>
      <c r="K5" s="443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43"/>
      <c r="B6" s="443"/>
      <c r="C6" s="443"/>
      <c r="D6" s="85" t="s">
        <v>255</v>
      </c>
      <c r="E6" s="522">
        <f>예산!G10</f>
        <v>37350216</v>
      </c>
      <c r="F6" s="458"/>
      <c r="G6" s="310" t="s">
        <v>230</v>
      </c>
      <c r="H6" s="311">
        <f>SUM(예산!$E$7:$E$8)</f>
        <v>3405260</v>
      </c>
      <c r="I6" s="87"/>
      <c r="J6" s="85"/>
      <c r="K6" s="443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43"/>
      <c r="B7" s="443"/>
      <c r="C7" s="443"/>
      <c r="D7" s="85" t="s">
        <v>255</v>
      </c>
      <c r="E7" s="522">
        <f>예산!G11</f>
        <v>32681439</v>
      </c>
      <c r="F7" s="458"/>
      <c r="G7" s="310" t="s">
        <v>231</v>
      </c>
      <c r="H7" s="311">
        <f>SUM(예산!$E$9:$E$10)</f>
        <v>7119884.9249999998</v>
      </c>
      <c r="I7" s="87"/>
      <c r="J7" s="85"/>
      <c r="K7" s="44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43"/>
      <c r="B8" s="443"/>
      <c r="C8" s="443"/>
      <c r="D8" s="574"/>
      <c r="E8" s="575"/>
      <c r="F8" s="533"/>
      <c r="G8" s="310" t="s">
        <v>232</v>
      </c>
      <c r="H8" s="311">
        <f>SUM(예산!$E$9:$E$11)+1047560</f>
        <v>12836221.925000001</v>
      </c>
      <c r="I8" s="87"/>
      <c r="J8" s="85"/>
      <c r="K8" s="44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43"/>
      <c r="B9" s="443"/>
      <c r="C9" s="443"/>
      <c r="D9" s="452"/>
      <c r="E9" s="450"/>
      <c r="F9" s="576"/>
      <c r="G9" s="310" t="s">
        <v>233</v>
      </c>
      <c r="H9" s="311">
        <f>SUM(예산!$E$9:$E$12)</f>
        <v>15265083.925000001</v>
      </c>
      <c r="I9" s="87"/>
      <c r="J9" s="85"/>
      <c r="K9" s="44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43"/>
      <c r="B10" s="443"/>
      <c r="C10" s="443"/>
      <c r="D10" s="452"/>
      <c r="E10" s="450"/>
      <c r="F10" s="576"/>
      <c r="G10" s="85" t="s">
        <v>234</v>
      </c>
      <c r="H10" s="86">
        <f>SUM(예산!$E$9:$E$12)</f>
        <v>15265083.925000001</v>
      </c>
      <c r="I10" s="87"/>
      <c r="J10" s="85"/>
      <c r="K10" s="44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3"/>
      <c r="B11" s="443"/>
      <c r="C11" s="443"/>
      <c r="D11" s="452"/>
      <c r="E11" s="450"/>
      <c r="F11" s="576"/>
      <c r="G11" s="85" t="s">
        <v>235</v>
      </c>
      <c r="H11" s="86">
        <f>SUM(예산!$E$9:$E$12)</f>
        <v>15265083.925000001</v>
      </c>
      <c r="I11" s="87"/>
      <c r="J11" s="85"/>
      <c r="K11" s="44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3"/>
      <c r="B12" s="443"/>
      <c r="C12" s="443"/>
      <c r="D12" s="452"/>
      <c r="E12" s="450"/>
      <c r="F12" s="576"/>
      <c r="G12" s="85" t="s">
        <v>236</v>
      </c>
      <c r="H12" s="86">
        <f>SUM(예산!$E$9:$E$12)</f>
        <v>15265083.925000001</v>
      </c>
      <c r="I12" s="87"/>
      <c r="J12" s="85"/>
      <c r="K12" s="44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3"/>
      <c r="B13" s="443"/>
      <c r="C13" s="443"/>
      <c r="D13" s="452"/>
      <c r="E13" s="450"/>
      <c r="F13" s="576"/>
      <c r="G13" s="85" t="s">
        <v>382</v>
      </c>
      <c r="H13" s="86">
        <f>SUM(예산!$E$9:$E$12)</f>
        <v>15265083.925000001</v>
      </c>
      <c r="I13" s="87"/>
      <c r="J13" s="85"/>
      <c r="K13" s="44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3"/>
      <c r="B14" s="445"/>
      <c r="C14" s="445"/>
      <c r="D14" s="455"/>
      <c r="E14" s="548"/>
      <c r="F14" s="534"/>
      <c r="G14" s="85" t="s">
        <v>378</v>
      </c>
      <c r="H14" s="86">
        <f>SUM(예산!$E$9:$E$12)</f>
        <v>15265083.925000001</v>
      </c>
      <c r="I14" s="87"/>
      <c r="J14" s="85"/>
      <c r="K14" s="44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3"/>
      <c r="B15" s="474" t="s">
        <v>21</v>
      </c>
      <c r="C15" s="457"/>
      <c r="D15" s="458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3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5"/>
      <c r="B17" s="474" t="s">
        <v>21</v>
      </c>
      <c r="C17" s="457"/>
      <c r="D17" s="458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90" t="s">
        <v>256</v>
      </c>
      <c r="B18" s="457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10"/>
      <c r="J18" s="458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85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310" t="s">
        <v>227</v>
      </c>
      <c r="H19" s="312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3"/>
      <c r="B20" s="85"/>
      <c r="C20" s="103"/>
      <c r="D20" s="85"/>
      <c r="E20" s="86"/>
      <c r="F20" s="85"/>
      <c r="G20" s="310" t="s">
        <v>228</v>
      </c>
      <c r="H20" s="312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3"/>
      <c r="B21" s="85"/>
      <c r="C21" s="92"/>
      <c r="D21" s="85"/>
      <c r="E21" s="86"/>
      <c r="F21" s="85"/>
      <c r="G21" s="310" t="s">
        <v>229</v>
      </c>
      <c r="H21" s="312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3"/>
      <c r="B22" s="85"/>
      <c r="C22" s="92"/>
      <c r="D22" s="85"/>
      <c r="E22" s="86"/>
      <c r="F22" s="85"/>
      <c r="G22" s="310" t="s">
        <v>230</v>
      </c>
      <c r="H22" s="312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3"/>
      <c r="B23" s="85"/>
      <c r="C23" s="92"/>
      <c r="D23" s="85"/>
      <c r="E23" s="86"/>
      <c r="F23" s="85"/>
      <c r="G23" s="310" t="s">
        <v>231</v>
      </c>
      <c r="H23" s="312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3"/>
      <c r="B24" s="85"/>
      <c r="C24" s="92"/>
      <c r="D24" s="85"/>
      <c r="E24" s="86"/>
      <c r="F24" s="85"/>
      <c r="G24" s="310" t="s">
        <v>232</v>
      </c>
      <c r="H24" s="312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3"/>
      <c r="B25" s="85"/>
      <c r="C25" s="92"/>
      <c r="D25" s="85"/>
      <c r="E25" s="86"/>
      <c r="F25" s="85"/>
      <c r="G25" s="310" t="s">
        <v>233</v>
      </c>
      <c r="H25" s="312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3"/>
      <c r="B26" s="85"/>
      <c r="C26" s="92"/>
      <c r="D26" s="85"/>
      <c r="E26" s="86"/>
      <c r="F26" s="85"/>
      <c r="G26" s="85" t="s">
        <v>234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3"/>
      <c r="B27" s="85"/>
      <c r="C27" s="92"/>
      <c r="D27" s="85"/>
      <c r="E27" s="86"/>
      <c r="F27" s="85"/>
      <c r="G27" s="85" t="s">
        <v>235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3"/>
      <c r="B28" s="85"/>
      <c r="C28" s="92"/>
      <c r="D28" s="85"/>
      <c r="E28" s="86"/>
      <c r="F28" s="85"/>
      <c r="G28" s="85" t="s">
        <v>236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3"/>
      <c r="B29" s="85"/>
      <c r="C29" s="92"/>
      <c r="D29" s="85"/>
      <c r="E29" s="86"/>
      <c r="F29" s="85"/>
      <c r="G29" s="85" t="s">
        <v>237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5"/>
      <c r="B30" s="85"/>
      <c r="C30" s="105"/>
      <c r="D30" s="85"/>
      <c r="E30" s="86"/>
      <c r="F30" s="85"/>
      <c r="G30" s="85" t="s">
        <v>238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490" t="s">
        <v>257</v>
      </c>
      <c r="B31" s="457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179000000</v>
      </c>
      <c r="I31" s="510"/>
      <c r="J31" s="458"/>
      <c r="K31" s="102">
        <f>H31/C31</f>
        <v>0.95824411134903642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85" t="s">
        <v>31</v>
      </c>
      <c r="B32" s="486" t="s">
        <v>258</v>
      </c>
      <c r="C32" s="11" t="s">
        <v>46</v>
      </c>
      <c r="D32" s="85"/>
      <c r="E32" s="86">
        <f>예산!G69+예산!G70</f>
        <v>503952190</v>
      </c>
      <c r="F32" s="85"/>
      <c r="G32" s="85" t="s">
        <v>377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3"/>
      <c r="B33" s="443"/>
      <c r="C33" s="11" t="s">
        <v>99</v>
      </c>
      <c r="D33" s="85"/>
      <c r="E33" s="86">
        <f>예산!G71</f>
        <v>29920000</v>
      </c>
      <c r="F33" s="85"/>
      <c r="G33" s="310" t="s">
        <v>376</v>
      </c>
      <c r="H33" s="312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3"/>
      <c r="B34" s="443"/>
      <c r="C34" s="11" t="s">
        <v>101</v>
      </c>
      <c r="D34" s="85"/>
      <c r="E34" s="86">
        <f>예산!G72</f>
        <v>97163000</v>
      </c>
      <c r="F34" s="85"/>
      <c r="G34" s="85" t="s">
        <v>377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3"/>
      <c r="B35" s="443"/>
      <c r="C35" s="11" t="s">
        <v>103</v>
      </c>
      <c r="D35" s="85"/>
      <c r="E35" s="86">
        <f>예산!G73</f>
        <v>98474200</v>
      </c>
      <c r="F35" s="85"/>
      <c r="G35" s="85" t="s">
        <v>377</v>
      </c>
      <c r="H35" s="104">
        <f t="shared" si="4"/>
        <v>98474200</v>
      </c>
      <c r="I35" s="87"/>
      <c r="J35" s="85" t="s">
        <v>406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4"/>
      <c r="B36" s="444"/>
      <c r="C36" s="11" t="s">
        <v>340</v>
      </c>
      <c r="D36" s="85"/>
      <c r="E36" s="86">
        <v>340000000</v>
      </c>
      <c r="F36" s="85"/>
      <c r="G36" s="85" t="s">
        <v>378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4"/>
      <c r="B37" s="444"/>
      <c r="C37" s="11" t="s">
        <v>339</v>
      </c>
      <c r="D37" s="85"/>
      <c r="E37" s="86">
        <v>85000000</v>
      </c>
      <c r="F37" s="85"/>
      <c r="G37" s="85" t="s">
        <v>382</v>
      </c>
      <c r="H37" s="104">
        <f t="shared" si="4"/>
        <v>85000000</v>
      </c>
      <c r="I37" s="87"/>
      <c r="J37" s="85" t="s">
        <v>407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4"/>
      <c r="B38" s="444"/>
      <c r="C38" s="11" t="s">
        <v>379</v>
      </c>
      <c r="D38" s="85"/>
      <c r="E38" s="86">
        <v>42998000</v>
      </c>
      <c r="F38" s="85"/>
      <c r="G38" s="310" t="s">
        <v>384</v>
      </c>
      <c r="H38" s="312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4"/>
      <c r="B39" s="444"/>
      <c r="C39" s="11" t="s">
        <v>380</v>
      </c>
      <c r="D39" s="85"/>
      <c r="E39" s="86">
        <v>22000000</v>
      </c>
      <c r="F39" s="85"/>
      <c r="G39" s="310" t="s">
        <v>384</v>
      </c>
      <c r="H39" s="312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3"/>
      <c r="B40" s="445"/>
      <c r="C40" s="245" t="s">
        <v>381</v>
      </c>
      <c r="D40" s="85"/>
      <c r="E40" s="86">
        <v>8030000</v>
      </c>
      <c r="F40" s="85"/>
      <c r="G40" s="310" t="s">
        <v>402</v>
      </c>
      <c r="H40" s="312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43"/>
      <c r="B41" s="474" t="s">
        <v>21</v>
      </c>
      <c r="C41" s="457"/>
      <c r="D41" s="458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43"/>
      <c r="B42" s="486" t="s">
        <v>70</v>
      </c>
      <c r="C42" s="29" t="s">
        <v>107</v>
      </c>
      <c r="D42" s="85"/>
      <c r="E42" s="86">
        <f>예산!G87</f>
        <v>0</v>
      </c>
      <c r="F42" s="85"/>
      <c r="G42" s="85" t="s">
        <v>238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3"/>
      <c r="B43" s="443"/>
      <c r="C43" s="11" t="s">
        <v>112</v>
      </c>
      <c r="D43" s="85"/>
      <c r="E43" s="86">
        <f>예산!G88</f>
        <v>0</v>
      </c>
      <c r="F43" s="85"/>
      <c r="G43" s="85" t="s">
        <v>238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3"/>
      <c r="B44" s="445"/>
      <c r="C44" s="11" t="s">
        <v>114</v>
      </c>
      <c r="D44" s="85"/>
      <c r="E44" s="86">
        <f>예산!G89</f>
        <v>2000000</v>
      </c>
      <c r="F44" s="85"/>
      <c r="G44" s="85" t="s">
        <v>238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5"/>
      <c r="B45" s="474" t="s">
        <v>21</v>
      </c>
      <c r="C45" s="457"/>
      <c r="D45" s="458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490" t="s">
        <v>259</v>
      </c>
      <c r="B46" s="457"/>
      <c r="C46" s="96">
        <f>예산!G66</f>
        <v>1250357390</v>
      </c>
      <c r="D46" s="97"/>
      <c r="E46" s="98"/>
      <c r="F46" s="99"/>
      <c r="G46" s="100"/>
      <c r="H46" s="101">
        <f>H41+H45</f>
        <v>1229537390</v>
      </c>
      <c r="I46" s="510"/>
      <c r="J46" s="458"/>
      <c r="K46" s="102">
        <f>H46/C46</f>
        <v>0.98334876078910527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91" t="s">
        <v>72</v>
      </c>
      <c r="B47" s="486" t="s">
        <v>279</v>
      </c>
      <c r="C47" s="103" t="s">
        <v>261</v>
      </c>
      <c r="D47" s="85"/>
      <c r="E47" s="86">
        <f>예산!$G100</f>
        <v>3075509</v>
      </c>
      <c r="F47" s="85"/>
      <c r="G47" s="310" t="s">
        <v>229</v>
      </c>
      <c r="H47" s="311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492"/>
      <c r="B48" s="443"/>
      <c r="C48" s="103" t="s">
        <v>262</v>
      </c>
      <c r="D48" s="85"/>
      <c r="E48" s="86">
        <f>예산!$G104+예산!$G105</f>
        <v>9608500</v>
      </c>
      <c r="F48" s="85"/>
      <c r="G48" s="310" t="s">
        <v>230</v>
      </c>
      <c r="H48" s="311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92"/>
      <c r="B49" s="443"/>
      <c r="C49" s="92" t="s">
        <v>263</v>
      </c>
      <c r="D49" s="85"/>
      <c r="E49" s="86">
        <f>예산!$G108</f>
        <v>19250000</v>
      </c>
      <c r="F49" s="85"/>
      <c r="G49" s="310" t="s">
        <v>229</v>
      </c>
      <c r="H49" s="311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92"/>
      <c r="B50" s="445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92"/>
      <c r="B51" s="494" t="s">
        <v>264</v>
      </c>
      <c r="C51" s="482" t="s">
        <v>265</v>
      </c>
      <c r="D51" s="85"/>
      <c r="E51" s="86">
        <f>예산!$G106-10640000</f>
        <v>24825491</v>
      </c>
      <c r="F51" s="85"/>
      <c r="G51" s="85" t="s">
        <v>235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92"/>
      <c r="B52" s="495"/>
      <c r="C52" s="484"/>
      <c r="D52" s="85"/>
      <c r="E52" s="86">
        <v>10640000</v>
      </c>
      <c r="F52" s="85"/>
      <c r="G52" s="310" t="s">
        <v>376</v>
      </c>
      <c r="H52" s="315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92"/>
      <c r="B53" s="495"/>
      <c r="C53" s="497" t="s">
        <v>139</v>
      </c>
      <c r="D53" s="85"/>
      <c r="E53" s="86">
        <f>예산!$G109</f>
        <v>5676000</v>
      </c>
      <c r="F53" s="85"/>
      <c r="G53" s="254" t="s">
        <v>384</v>
      </c>
      <c r="H53" s="265">
        <f>예산!$G109</f>
        <v>5676000</v>
      </c>
      <c r="I53" s="317"/>
      <c r="J53" s="236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92"/>
      <c r="B54" s="495"/>
      <c r="C54" s="498"/>
      <c r="D54" s="235"/>
      <c r="E54" s="86"/>
      <c r="F54" s="85"/>
      <c r="G54" s="254"/>
      <c r="H54" s="265"/>
      <c r="I54" s="283"/>
      <c r="J54" s="237"/>
      <c r="K54" s="316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92"/>
      <c r="B55" s="495"/>
      <c r="C55" s="498"/>
      <c r="D55" s="235"/>
      <c r="E55" s="86"/>
      <c r="F55" s="85"/>
      <c r="G55" s="254"/>
      <c r="H55" s="265"/>
      <c r="I55" s="283"/>
      <c r="J55" s="237"/>
      <c r="K55" s="316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92"/>
      <c r="B56" s="495"/>
      <c r="C56" s="498"/>
      <c r="D56" s="235"/>
      <c r="E56" s="86"/>
      <c r="F56" s="85"/>
      <c r="G56" s="254"/>
      <c r="H56" s="265"/>
      <c r="I56" s="283"/>
      <c r="J56" s="237"/>
      <c r="K56" s="316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92"/>
      <c r="B57" s="495"/>
      <c r="C57" s="498"/>
      <c r="D57" s="235"/>
      <c r="E57" s="86"/>
      <c r="F57" s="85"/>
      <c r="G57" s="254"/>
      <c r="H57" s="265"/>
      <c r="I57" s="283"/>
      <c r="J57" s="237"/>
      <c r="K57" s="316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92"/>
      <c r="B58" s="495"/>
      <c r="C58" s="498"/>
      <c r="D58" s="235"/>
      <c r="E58" s="86"/>
      <c r="F58" s="85"/>
      <c r="G58" s="254"/>
      <c r="H58" s="265"/>
      <c r="I58" s="283"/>
      <c r="J58" s="237"/>
      <c r="K58" s="316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92"/>
      <c r="B59" s="495"/>
      <c r="C59" s="498"/>
      <c r="D59" s="235"/>
      <c r="E59" s="86"/>
      <c r="F59" s="85"/>
      <c r="G59" s="254"/>
      <c r="H59" s="265"/>
      <c r="I59" s="283"/>
      <c r="J59" s="237"/>
      <c r="K59" s="316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92"/>
      <c r="B60" s="495"/>
      <c r="C60" s="498"/>
      <c r="D60" s="235"/>
      <c r="E60" s="86"/>
      <c r="F60" s="85"/>
      <c r="G60" s="254"/>
      <c r="H60" s="265"/>
      <c r="I60" s="283"/>
      <c r="J60" s="237"/>
      <c r="K60" s="316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92"/>
      <c r="B61" s="495"/>
      <c r="C61" s="498"/>
      <c r="D61" s="235"/>
      <c r="E61" s="86"/>
      <c r="F61" s="85"/>
      <c r="G61" s="254"/>
      <c r="H61" s="265"/>
      <c r="I61" s="283"/>
      <c r="J61" s="237"/>
      <c r="K61" s="316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92"/>
      <c r="B62" s="495"/>
      <c r="C62" s="498"/>
      <c r="D62" s="235"/>
      <c r="E62" s="86"/>
      <c r="F62" s="85"/>
      <c r="G62" s="254"/>
      <c r="H62" s="265"/>
      <c r="I62" s="283"/>
      <c r="J62" s="237"/>
      <c r="K62" s="316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92"/>
      <c r="B63" s="495"/>
      <c r="C63" s="498"/>
      <c r="D63" s="235"/>
      <c r="E63" s="86"/>
      <c r="F63" s="85"/>
      <c r="G63" s="254"/>
      <c r="H63" s="265"/>
      <c r="I63" s="283"/>
      <c r="J63" s="237"/>
      <c r="K63" s="316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92"/>
      <c r="B64" s="495"/>
      <c r="C64" s="498"/>
      <c r="D64" s="235"/>
      <c r="E64" s="86"/>
      <c r="F64" s="85"/>
      <c r="G64" s="254"/>
      <c r="H64" s="265"/>
      <c r="I64" s="283"/>
      <c r="J64" s="237"/>
      <c r="K64" s="316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493"/>
      <c r="B65" s="496"/>
      <c r="C65" s="499"/>
      <c r="D65" s="235"/>
      <c r="E65" s="86"/>
      <c r="F65" s="85"/>
      <c r="G65" s="254"/>
      <c r="H65" s="265"/>
      <c r="I65" s="283"/>
      <c r="J65" s="237"/>
      <c r="K65" s="316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490" t="s">
        <v>266</v>
      </c>
      <c r="B66" s="457"/>
      <c r="C66" s="96">
        <f>예산!G97</f>
        <v>108039500</v>
      </c>
      <c r="D66" s="97"/>
      <c r="E66" s="98"/>
      <c r="F66" s="99"/>
      <c r="G66" s="100"/>
      <c r="H66" s="277">
        <f>SUM(H47:H53)</f>
        <v>73075500</v>
      </c>
      <c r="I66" s="487"/>
      <c r="J66" s="465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85" t="s">
        <v>84</v>
      </c>
      <c r="B67" s="503" t="s">
        <v>267</v>
      </c>
      <c r="C67" s="103" t="s">
        <v>268</v>
      </c>
      <c r="D67" s="85" t="s">
        <v>269</v>
      </c>
      <c r="E67" s="86">
        <v>5500000</v>
      </c>
      <c r="F67" s="85"/>
      <c r="G67" s="310" t="s">
        <v>229</v>
      </c>
      <c r="H67" s="312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3"/>
      <c r="B68" s="504"/>
      <c r="C68" s="482" t="s">
        <v>373</v>
      </c>
      <c r="D68" s="85" t="s">
        <v>374</v>
      </c>
      <c r="E68" s="86">
        <v>5000000</v>
      </c>
      <c r="F68" s="85"/>
      <c r="G68" s="310" t="s">
        <v>376</v>
      </c>
      <c r="H68" s="312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3"/>
      <c r="B69" s="504"/>
      <c r="C69" s="483"/>
      <c r="D69" s="85" t="s">
        <v>398</v>
      </c>
      <c r="E69" s="86">
        <v>5000000</v>
      </c>
      <c r="F69" s="85"/>
      <c r="G69" s="310" t="s">
        <v>376</v>
      </c>
      <c r="H69" s="312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3"/>
      <c r="B70" s="504"/>
      <c r="C70" s="483"/>
      <c r="D70" s="85" t="s">
        <v>375</v>
      </c>
      <c r="E70" s="86">
        <v>800000</v>
      </c>
      <c r="F70" s="85"/>
      <c r="G70" s="310" t="s">
        <v>376</v>
      </c>
      <c r="H70" s="312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4"/>
      <c r="B71" s="504"/>
      <c r="C71" s="483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4"/>
      <c r="B72" s="504"/>
      <c r="C72" s="483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4"/>
      <c r="B73" s="504"/>
      <c r="C73" s="483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4"/>
      <c r="B74" s="504"/>
      <c r="C74" s="484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4"/>
      <c r="B75" s="504"/>
      <c r="C75" s="482" t="s">
        <v>385</v>
      </c>
      <c r="D75" s="85" t="s">
        <v>387</v>
      </c>
      <c r="E75" s="86">
        <v>3300000</v>
      </c>
      <c r="F75" s="85"/>
      <c r="G75" s="310" t="s">
        <v>376</v>
      </c>
      <c r="H75" s="313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4"/>
      <c r="B76" s="504"/>
      <c r="C76" s="483"/>
      <c r="D76" s="85" t="s">
        <v>371</v>
      </c>
      <c r="E76" s="86">
        <v>3300000</v>
      </c>
      <c r="F76" s="85"/>
      <c r="G76" s="310" t="s">
        <v>376</v>
      </c>
      <c r="H76" s="313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4"/>
      <c r="B77" s="504"/>
      <c r="C77" s="483"/>
      <c r="D77" s="85" t="s">
        <v>388</v>
      </c>
      <c r="E77" s="86">
        <v>800000</v>
      </c>
      <c r="F77" s="85"/>
      <c r="G77" s="310" t="s">
        <v>376</v>
      </c>
      <c r="H77" s="313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4"/>
      <c r="B78" s="504"/>
      <c r="C78" s="483"/>
      <c r="D78" s="85" t="s">
        <v>389</v>
      </c>
      <c r="E78" s="86">
        <v>2300000</v>
      </c>
      <c r="F78" s="85"/>
      <c r="G78" s="310" t="s">
        <v>376</v>
      </c>
      <c r="H78" s="313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4"/>
      <c r="B79" s="504"/>
      <c r="C79" s="484"/>
      <c r="D79" s="85" t="s">
        <v>390</v>
      </c>
      <c r="E79" s="86">
        <v>2300000</v>
      </c>
      <c r="F79" s="85"/>
      <c r="G79" s="310" t="s">
        <v>376</v>
      </c>
      <c r="H79" s="313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4"/>
      <c r="B80" s="481" t="s">
        <v>420</v>
      </c>
      <c r="C80" s="92" t="s">
        <v>421</v>
      </c>
      <c r="D80" s="85" t="s">
        <v>423</v>
      </c>
      <c r="E80" s="86">
        <v>14000000</v>
      </c>
      <c r="F80" s="85"/>
      <c r="G80" s="85" t="s">
        <v>377</v>
      </c>
      <c r="H80" s="246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4"/>
      <c r="B81" s="481"/>
      <c r="C81" s="92" t="s">
        <v>422</v>
      </c>
      <c r="D81" s="85" t="s">
        <v>424</v>
      </c>
      <c r="E81" s="86">
        <v>67000000</v>
      </c>
      <c r="F81" s="85"/>
      <c r="G81" s="85" t="s">
        <v>377</v>
      </c>
      <c r="H81" s="246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4"/>
      <c r="B82" s="481"/>
      <c r="C82" s="92"/>
      <c r="D82" s="85"/>
      <c r="E82" s="86"/>
      <c r="F82" s="85"/>
      <c r="G82" s="85"/>
      <c r="H82" s="24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3"/>
      <c r="B83" s="251"/>
      <c r="C83" s="92" t="s">
        <v>399</v>
      </c>
      <c r="D83" s="85" t="s">
        <v>400</v>
      </c>
      <c r="E83" s="86">
        <v>1000000</v>
      </c>
      <c r="F83" s="85"/>
      <c r="G83" s="310" t="s">
        <v>401</v>
      </c>
      <c r="H83" s="313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4"/>
      <c r="B84" s="244"/>
      <c r="C84" s="482" t="s">
        <v>403</v>
      </c>
      <c r="D84" s="85" t="s">
        <v>427</v>
      </c>
      <c r="E84" s="86">
        <v>1000000</v>
      </c>
      <c r="F84" s="85"/>
      <c r="G84" s="310" t="s">
        <v>402</v>
      </c>
      <c r="H84" s="313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4"/>
      <c r="B85" s="244"/>
      <c r="C85" s="483"/>
      <c r="D85" s="85" t="s">
        <v>428</v>
      </c>
      <c r="E85" s="86">
        <v>1000000</v>
      </c>
      <c r="F85" s="85"/>
      <c r="G85" s="310" t="s">
        <v>402</v>
      </c>
      <c r="H85" s="313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4"/>
      <c r="B86" s="244"/>
      <c r="C86" s="483"/>
      <c r="D86" s="85">
        <v>3</v>
      </c>
      <c r="E86" s="86">
        <v>2000000</v>
      </c>
      <c r="F86" s="85"/>
      <c r="G86" s="85"/>
      <c r="H86" s="246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4"/>
      <c r="B87" s="244"/>
      <c r="C87" s="483"/>
      <c r="D87" s="85"/>
      <c r="E87" s="86">
        <v>2000000</v>
      </c>
      <c r="F87" s="85"/>
      <c r="G87" s="85"/>
      <c r="H87" s="246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4"/>
      <c r="B88" s="244"/>
      <c r="C88" s="483"/>
      <c r="D88" s="85"/>
      <c r="E88" s="86">
        <v>2000000</v>
      </c>
      <c r="F88" s="85"/>
      <c r="G88" s="85"/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4"/>
      <c r="B89" s="244"/>
      <c r="C89" s="484"/>
      <c r="D89" s="85"/>
      <c r="E89" s="86"/>
      <c r="F89" s="85"/>
      <c r="G89" s="85"/>
      <c r="H89" s="246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3"/>
      <c r="B90" s="486" t="s">
        <v>270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3"/>
      <c r="B91" s="443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3"/>
      <c r="B92" s="443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3"/>
      <c r="B93" s="443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3"/>
      <c r="B94" s="445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3"/>
      <c r="B95" s="486" t="s">
        <v>144</v>
      </c>
      <c r="C95" s="92" t="s">
        <v>370</v>
      </c>
      <c r="D95" s="85" t="s">
        <v>371</v>
      </c>
      <c r="E95" s="86">
        <v>1000000</v>
      </c>
      <c r="F95" s="85"/>
      <c r="G95" s="310" t="s">
        <v>372</v>
      </c>
      <c r="H95" s="313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3"/>
      <c r="B96" s="443"/>
      <c r="C96" s="92"/>
      <c r="D96" s="85" t="s">
        <v>388</v>
      </c>
      <c r="E96" s="86">
        <v>1800000</v>
      </c>
      <c r="F96" s="85"/>
      <c r="G96" s="310" t="s">
        <v>384</v>
      </c>
      <c r="H96" s="311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3"/>
      <c r="B97" s="443"/>
      <c r="C97" s="92"/>
      <c r="D97" s="85" t="s">
        <v>429</v>
      </c>
      <c r="E97" s="86">
        <v>2000000</v>
      </c>
      <c r="F97" s="85"/>
      <c r="G97" s="85" t="s">
        <v>377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3"/>
      <c r="B98" s="445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3"/>
      <c r="B99" s="486" t="s">
        <v>271</v>
      </c>
      <c r="C99" s="92" t="s">
        <v>280</v>
      </c>
      <c r="D99" s="85" t="s">
        <v>281</v>
      </c>
      <c r="E99" s="86">
        <f>10000000*13+5000000*5+15000000*2</f>
        <v>185000000</v>
      </c>
      <c r="F99" s="85"/>
      <c r="G99" s="310" t="s">
        <v>376</v>
      </c>
      <c r="H99" s="311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3"/>
      <c r="B100" s="443"/>
      <c r="C100" s="92" t="s">
        <v>282</v>
      </c>
      <c r="D100" s="85" t="s">
        <v>283</v>
      </c>
      <c r="E100" s="86">
        <f>8000000*41</f>
        <v>328000000</v>
      </c>
      <c r="F100" s="85"/>
      <c r="G100" s="85" t="s">
        <v>238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3"/>
      <c r="B101" s="443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3"/>
      <c r="B102" s="443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3"/>
      <c r="B103" s="443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3"/>
      <c r="B104" s="445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3"/>
      <c r="B105" s="474" t="s">
        <v>21</v>
      </c>
      <c r="C105" s="457"/>
      <c r="D105" s="458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3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238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3"/>
      <c r="B107" s="85"/>
      <c r="C107" s="11" t="s">
        <v>166</v>
      </c>
      <c r="D107" s="85"/>
      <c r="E107" s="86">
        <f>예산!$G145</f>
        <v>0</v>
      </c>
      <c r="F107" s="85"/>
      <c r="G107" s="85" t="s">
        <v>238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3"/>
      <c r="B108" s="85"/>
      <c r="C108" s="11" t="s">
        <v>170</v>
      </c>
      <c r="D108" s="85"/>
      <c r="E108" s="86">
        <f>예산!$G146</f>
        <v>672872</v>
      </c>
      <c r="F108" s="85"/>
      <c r="G108" s="310" t="s">
        <v>229</v>
      </c>
      <c r="H108" s="311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3"/>
      <c r="B109" s="85"/>
      <c r="C109" s="11" t="s">
        <v>171</v>
      </c>
      <c r="D109" s="85"/>
      <c r="E109" s="86">
        <f>예산!$G147</f>
        <v>672872</v>
      </c>
      <c r="F109" s="85"/>
      <c r="G109" s="310" t="s">
        <v>229</v>
      </c>
      <c r="H109" s="311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3"/>
      <c r="B110" s="85"/>
      <c r="C110" s="11" t="s">
        <v>391</v>
      </c>
      <c r="D110" s="85"/>
      <c r="E110" s="86">
        <f>예산!$G148</f>
        <v>550000</v>
      </c>
      <c r="F110" s="85"/>
      <c r="G110" s="85" t="s">
        <v>377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3"/>
      <c r="B111" s="85"/>
      <c r="C111" s="11" t="s">
        <v>392</v>
      </c>
      <c r="D111" s="85"/>
      <c r="E111" s="86">
        <f>예산!$G149</f>
        <v>550000</v>
      </c>
      <c r="F111" s="85"/>
      <c r="G111" s="85" t="s">
        <v>377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3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3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3"/>
      <c r="B114" s="474" t="s">
        <v>21</v>
      </c>
      <c r="C114" s="457"/>
      <c r="D114" s="458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3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3"/>
      <c r="B116" s="474" t="s">
        <v>21</v>
      </c>
      <c r="C116" s="457"/>
      <c r="D116" s="458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3"/>
      <c r="B117" s="85" t="s">
        <v>272</v>
      </c>
      <c r="C117" s="11" t="s">
        <v>188</v>
      </c>
      <c r="D117" s="85"/>
      <c r="E117" s="86">
        <f>예산!$G163</f>
        <v>230000</v>
      </c>
      <c r="F117" s="85"/>
      <c r="G117" s="310" t="s">
        <v>229</v>
      </c>
      <c r="H117" s="311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3"/>
      <c r="B118" s="85"/>
      <c r="C118" s="12" t="s">
        <v>189</v>
      </c>
      <c r="D118" s="85"/>
      <c r="E118" s="86">
        <f>예산!$G165</f>
        <v>230000</v>
      </c>
      <c r="F118" s="85"/>
      <c r="G118" s="310" t="s">
        <v>229</v>
      </c>
      <c r="H118" s="311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3"/>
      <c r="B119" s="85"/>
      <c r="C119" s="12" t="s">
        <v>190</v>
      </c>
      <c r="D119" s="85"/>
      <c r="E119" s="86">
        <f>예산!$G168</f>
        <v>11057430</v>
      </c>
      <c r="F119" s="85"/>
      <c r="G119" s="310" t="s">
        <v>229</v>
      </c>
      <c r="H119" s="311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3"/>
      <c r="B120" s="85"/>
      <c r="C120" s="12" t="s">
        <v>419</v>
      </c>
      <c r="D120" s="85"/>
      <c r="E120" s="86">
        <f>예산!$G169</f>
        <v>10000000</v>
      </c>
      <c r="F120" s="85"/>
      <c r="G120" s="85" t="s">
        <v>383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3"/>
      <c r="B121" s="85"/>
      <c r="C121" s="12" t="s">
        <v>192</v>
      </c>
      <c r="D121" s="85"/>
      <c r="E121" s="86">
        <f>예산!$G170</f>
        <v>2800000</v>
      </c>
      <c r="F121" s="85"/>
      <c r="G121" s="310" t="s">
        <v>229</v>
      </c>
      <c r="H121" s="311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3"/>
      <c r="B122" s="85"/>
      <c r="C122" s="12" t="s">
        <v>416</v>
      </c>
      <c r="D122" s="85"/>
      <c r="E122" s="120">
        <f>예산!$G171</f>
        <v>8750000</v>
      </c>
      <c r="F122" s="85"/>
      <c r="G122" s="85" t="s">
        <v>377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44"/>
      <c r="B123" s="85"/>
      <c r="C123" s="11" t="s">
        <v>418</v>
      </c>
      <c r="D123" s="85"/>
      <c r="E123" s="120">
        <f>예산!F167</f>
        <v>700000</v>
      </c>
      <c r="F123" s="85"/>
      <c r="G123" s="85" t="s">
        <v>377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44"/>
      <c r="B124" s="85"/>
      <c r="C124" s="11" t="s">
        <v>417</v>
      </c>
      <c r="D124" s="85"/>
      <c r="E124" s="120">
        <f>예산!F166</f>
        <v>990000</v>
      </c>
      <c r="F124" s="85"/>
      <c r="G124" s="85" t="s">
        <v>377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44"/>
      <c r="B125" s="85"/>
      <c r="F125" s="85"/>
      <c r="G125" s="85"/>
      <c r="H125" s="120"/>
      <c r="I125" s="87"/>
      <c r="J125" s="85" t="s">
        <v>408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3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237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3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3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237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3"/>
      <c r="B129" s="85"/>
      <c r="C129" s="92" t="s">
        <v>394</v>
      </c>
      <c r="D129" s="85"/>
      <c r="E129" s="86">
        <f>예산!G181</f>
        <v>516000</v>
      </c>
      <c r="F129" s="85"/>
      <c r="G129" s="310" t="s">
        <v>372</v>
      </c>
      <c r="H129" s="314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3"/>
      <c r="C130" s="216" t="s">
        <v>411</v>
      </c>
      <c r="D130" s="31"/>
      <c r="E130">
        <v>20000000</v>
      </c>
      <c r="G130" s="11" t="s">
        <v>377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44"/>
      <c r="C131" s="216" t="s">
        <v>425</v>
      </c>
      <c r="D131" s="31"/>
      <c r="E131">
        <v>6734000</v>
      </c>
      <c r="G131" s="11" t="s">
        <v>377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43"/>
      <c r="B132" s="571" t="s">
        <v>21</v>
      </c>
      <c r="C132" s="572"/>
      <c r="D132" s="573"/>
      <c r="E132" s="88">
        <f>예산!G183</f>
        <v>83031841</v>
      </c>
      <c r="F132" s="94"/>
      <c r="G132" s="89"/>
      <c r="H132" s="88">
        <f>SUM(H117:H130)</f>
        <v>85273430</v>
      </c>
      <c r="I132" s="90"/>
      <c r="J132" s="89"/>
      <c r="K132" s="91">
        <f>H132/E132</f>
        <v>1.026996739720609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43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383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43"/>
      <c r="B134" s="85"/>
      <c r="C134" s="11" t="s">
        <v>119</v>
      </c>
      <c r="D134" s="85"/>
      <c r="E134" s="86">
        <f>예산!$G188</f>
        <v>100000</v>
      </c>
      <c r="F134" s="85"/>
      <c r="G134" s="85" t="s">
        <v>383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3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3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3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3"/>
      <c r="B138" s="474" t="s">
        <v>21</v>
      </c>
      <c r="C138" s="457"/>
      <c r="D138" s="458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3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43"/>
      <c r="B140" s="474" t="s">
        <v>21</v>
      </c>
      <c r="C140" s="457"/>
      <c r="D140" s="458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3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378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3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377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3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377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3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378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3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3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3"/>
      <c r="B149" s="474" t="s">
        <v>21</v>
      </c>
      <c r="C149" s="457"/>
      <c r="D149" s="458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3"/>
      <c r="B150" s="85" t="s">
        <v>273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3"/>
      <c r="B151" s="85"/>
      <c r="C151" s="27" t="s">
        <v>209</v>
      </c>
      <c r="D151" s="85"/>
      <c r="E151" s="86">
        <f>예산!$G209</f>
        <v>25000</v>
      </c>
      <c r="F151" s="85"/>
      <c r="G151" s="85" t="s">
        <v>238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3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238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3"/>
      <c r="B153" s="474" t="s">
        <v>21</v>
      </c>
      <c r="C153" s="457"/>
      <c r="D153" s="458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3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393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3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0" t="s">
        <v>230</v>
      </c>
      <c r="H155" s="311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3"/>
      <c r="B157" s="474" t="s">
        <v>21</v>
      </c>
      <c r="C157" s="457"/>
      <c r="D157" s="458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3"/>
      <c r="B158" s="85" t="s">
        <v>135</v>
      </c>
      <c r="C158" s="92" t="s">
        <v>284</v>
      </c>
      <c r="D158" s="85"/>
      <c r="E158" s="86">
        <f>예산!$G221</f>
        <v>151120240</v>
      </c>
      <c r="F158" s="85"/>
      <c r="G158" s="310" t="s">
        <v>231</v>
      </c>
      <c r="H158" s="311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3"/>
      <c r="B159" s="85"/>
      <c r="C159" s="92" t="s">
        <v>285</v>
      </c>
      <c r="D159" s="85"/>
      <c r="E159" s="86">
        <f>예산!$G222</f>
        <v>186772440</v>
      </c>
      <c r="F159" s="85"/>
      <c r="G159" s="310" t="s">
        <v>384</v>
      </c>
      <c r="H159" s="311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3"/>
      <c r="B160" s="85"/>
      <c r="C160" s="92" t="s">
        <v>158</v>
      </c>
      <c r="D160" s="85"/>
      <c r="E160" s="86">
        <f>예산!$G223</f>
        <v>12743500</v>
      </c>
      <c r="F160" s="85"/>
      <c r="G160" s="310" t="s">
        <v>229</v>
      </c>
      <c r="H160" s="311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3"/>
      <c r="B161" s="474" t="s">
        <v>21</v>
      </c>
      <c r="C161" s="457"/>
      <c r="D161" s="458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3"/>
      <c r="B162" s="85" t="s">
        <v>143</v>
      </c>
      <c r="C162" s="92" t="s">
        <v>222</v>
      </c>
      <c r="D162" s="85"/>
      <c r="E162" s="86"/>
      <c r="F162" s="85"/>
      <c r="G162" s="310" t="s">
        <v>231</v>
      </c>
      <c r="H162" s="311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3"/>
      <c r="B163" s="85"/>
      <c r="C163" s="11" t="s">
        <v>219</v>
      </c>
      <c r="D163" s="18" t="s">
        <v>220</v>
      </c>
      <c r="E163" s="86"/>
      <c r="F163" s="85"/>
      <c r="G163" s="310" t="s">
        <v>231</v>
      </c>
      <c r="H163" s="311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3"/>
      <c r="B164" s="85"/>
      <c r="C164" s="11" t="s">
        <v>442</v>
      </c>
      <c r="D164" s="18" t="s">
        <v>221</v>
      </c>
      <c r="E164" s="86"/>
      <c r="F164" s="85"/>
      <c r="G164" s="310" t="s">
        <v>231</v>
      </c>
      <c r="H164" s="311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3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45"/>
      <c r="B166" s="474" t="s">
        <v>21</v>
      </c>
      <c r="C166" s="457"/>
      <c r="D166" s="458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475" t="s">
        <v>274</v>
      </c>
      <c r="B167" s="476"/>
      <c r="C167" s="96">
        <f>예산!G128</f>
        <v>1158492665</v>
      </c>
      <c r="D167" s="107"/>
      <c r="E167" s="108">
        <f>SUM(E166,E157,E153,E149,E140,E138,E132,E116,E114,E105)</f>
        <v>807856485</v>
      </c>
      <c r="F167" s="109"/>
      <c r="G167" s="110"/>
      <c r="H167" s="101">
        <f>SUM(H166,H161,H157,H153,H149,H140,H138,H132,H116,H114,H105)</f>
        <v>1070100154</v>
      </c>
      <c r="I167" s="472"/>
      <c r="J167" s="473"/>
      <c r="K167" s="102">
        <f t="shared" ref="K167:K168" si="10">H167/C167</f>
        <v>0.92370041376135947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275</v>
      </c>
      <c r="B168" s="112"/>
      <c r="C168" s="113">
        <f>SUM(C167,C66,C46,C31,C18)</f>
        <v>2918188313.4000001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0.94792093769201236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E7:F7"/>
    <mergeCell ref="D8:F14"/>
    <mergeCell ref="K4:K14"/>
    <mergeCell ref="D3:F3"/>
    <mergeCell ref="A1:K1"/>
    <mergeCell ref="E4:F4"/>
    <mergeCell ref="E5:F5"/>
    <mergeCell ref="X2:Y2"/>
    <mergeCell ref="Z2:AA2"/>
    <mergeCell ref="E6:F6"/>
    <mergeCell ref="P2:Q2"/>
    <mergeCell ref="R2:S2"/>
    <mergeCell ref="T2:U2"/>
    <mergeCell ref="V2:W2"/>
    <mergeCell ref="B15:D15"/>
    <mergeCell ref="B17:D17"/>
    <mergeCell ref="A18:B18"/>
    <mergeCell ref="A19:A30"/>
    <mergeCell ref="A31:B31"/>
    <mergeCell ref="A4:A17"/>
    <mergeCell ref="B4:B14"/>
    <mergeCell ref="C4:C1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I31:J31"/>
    <mergeCell ref="I18:J18"/>
    <mergeCell ref="B32:B40"/>
    <mergeCell ref="B41:D41"/>
    <mergeCell ref="B42:B44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B67:B79"/>
    <mergeCell ref="B80:B82"/>
    <mergeCell ref="B157:D157"/>
    <mergeCell ref="B161:D161"/>
    <mergeCell ref="B166:D166"/>
    <mergeCell ref="B153:D153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77" t="s">
        <v>286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121" t="s">
        <v>242</v>
      </c>
      <c r="P2" s="580" t="s">
        <v>7</v>
      </c>
      <c r="Q2" s="458"/>
      <c r="R2" s="509" t="s">
        <v>243</v>
      </c>
      <c r="S2" s="458"/>
      <c r="T2" s="580" t="s">
        <v>31</v>
      </c>
      <c r="U2" s="458"/>
      <c r="V2" s="580" t="s">
        <v>72</v>
      </c>
      <c r="W2" s="458"/>
      <c r="X2" s="580" t="s">
        <v>84</v>
      </c>
      <c r="Y2" s="458"/>
      <c r="Z2" s="580" t="s">
        <v>244</v>
      </c>
      <c r="AA2" s="458"/>
    </row>
    <row r="3" spans="1:27" ht="16.5" customHeight="1">
      <c r="A3" s="72" t="s">
        <v>245</v>
      </c>
      <c r="B3" s="73" t="s">
        <v>246</v>
      </c>
      <c r="C3" s="74" t="s">
        <v>0</v>
      </c>
      <c r="D3" s="524" t="s">
        <v>247</v>
      </c>
      <c r="E3" s="525"/>
      <c r="F3" s="526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122" t="s">
        <v>253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485" t="s">
        <v>7</v>
      </c>
      <c r="B4" s="486" t="s">
        <v>254</v>
      </c>
      <c r="C4" s="511">
        <f>예산!P5</f>
        <v>4028892</v>
      </c>
      <c r="D4" s="85" t="s">
        <v>15</v>
      </c>
      <c r="E4" s="522">
        <f>예산!P7</f>
        <v>2439392</v>
      </c>
      <c r="F4" s="458"/>
      <c r="G4" s="85" t="s">
        <v>227</v>
      </c>
      <c r="H4" s="86">
        <f>예산!N7+예산!N8</f>
        <v>3405260</v>
      </c>
      <c r="I4" s="87">
        <v>45776</v>
      </c>
      <c r="J4" s="85"/>
      <c r="K4" s="513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43"/>
      <c r="B5" s="443"/>
      <c r="C5" s="443"/>
      <c r="D5" s="85" t="s">
        <v>19</v>
      </c>
      <c r="E5" s="522">
        <f>예산!P8</f>
        <v>1589500</v>
      </c>
      <c r="F5" s="458"/>
      <c r="G5" s="85" t="s">
        <v>228</v>
      </c>
      <c r="H5" s="86">
        <f>예산!N7-1192128</f>
        <v>623632</v>
      </c>
      <c r="I5" s="87"/>
      <c r="J5" s="85"/>
      <c r="K5" s="44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43"/>
      <c r="B6" s="443"/>
      <c r="C6" s="443"/>
      <c r="D6" s="85" t="s">
        <v>255</v>
      </c>
      <c r="E6" s="522"/>
      <c r="F6" s="458"/>
      <c r="G6" s="85"/>
      <c r="H6" s="86"/>
      <c r="I6" s="87"/>
      <c r="J6" s="85"/>
      <c r="K6" s="44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43"/>
      <c r="B7" s="443"/>
      <c r="C7" s="443"/>
      <c r="D7" s="85" t="s">
        <v>255</v>
      </c>
      <c r="E7" s="522"/>
      <c r="F7" s="458"/>
      <c r="G7" s="85"/>
      <c r="H7" s="86"/>
      <c r="I7" s="87"/>
      <c r="J7" s="85"/>
      <c r="K7" s="44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43"/>
      <c r="B8" s="443"/>
      <c r="C8" s="443"/>
      <c r="D8" s="574"/>
      <c r="E8" s="575"/>
      <c r="F8" s="533"/>
      <c r="G8" s="85"/>
      <c r="H8" s="86"/>
      <c r="I8" s="87"/>
      <c r="J8" s="85"/>
      <c r="K8" s="44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43"/>
      <c r="B9" s="443"/>
      <c r="C9" s="443"/>
      <c r="D9" s="452"/>
      <c r="E9" s="450"/>
      <c r="F9" s="576"/>
      <c r="G9" s="85"/>
      <c r="H9" s="86"/>
      <c r="I9" s="87"/>
      <c r="J9" s="85"/>
      <c r="K9" s="44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43"/>
      <c r="B10" s="443"/>
      <c r="C10" s="443"/>
      <c r="D10" s="452"/>
      <c r="E10" s="450"/>
      <c r="F10" s="576"/>
      <c r="G10" s="85"/>
      <c r="H10" s="86"/>
      <c r="I10" s="87"/>
      <c r="J10" s="85"/>
      <c r="K10" s="44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43"/>
      <c r="B11" s="443"/>
      <c r="C11" s="443"/>
      <c r="D11" s="452"/>
      <c r="E11" s="450"/>
      <c r="F11" s="576"/>
      <c r="G11" s="85"/>
      <c r="H11" s="86"/>
      <c r="I11" s="87"/>
      <c r="J11" s="85"/>
      <c r="K11" s="44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43"/>
      <c r="B12" s="443"/>
      <c r="C12" s="443"/>
      <c r="D12" s="452"/>
      <c r="E12" s="450"/>
      <c r="F12" s="576"/>
      <c r="G12" s="85"/>
      <c r="H12" s="86"/>
      <c r="I12" s="87"/>
      <c r="J12" s="85"/>
      <c r="K12" s="44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43"/>
      <c r="B13" s="443"/>
      <c r="C13" s="443"/>
      <c r="D13" s="452"/>
      <c r="E13" s="450"/>
      <c r="F13" s="576"/>
      <c r="G13" s="85"/>
      <c r="H13" s="86"/>
      <c r="I13" s="87"/>
      <c r="J13" s="85"/>
      <c r="K13" s="44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43"/>
      <c r="B14" s="445"/>
      <c r="C14" s="445"/>
      <c r="D14" s="455"/>
      <c r="E14" s="548"/>
      <c r="F14" s="534"/>
      <c r="G14" s="85"/>
      <c r="H14" s="86"/>
      <c r="I14" s="87"/>
      <c r="J14" s="85"/>
      <c r="K14" s="44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43"/>
      <c r="B15" s="474" t="s">
        <v>21</v>
      </c>
      <c r="C15" s="457"/>
      <c r="D15" s="458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43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5"/>
      <c r="B17" s="474" t="s">
        <v>21</v>
      </c>
      <c r="C17" s="457"/>
      <c r="D17" s="458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90" t="s">
        <v>256</v>
      </c>
      <c r="B18" s="457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10"/>
      <c r="J18" s="458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85" t="s">
        <v>243</v>
      </c>
      <c r="B19" s="486" t="s">
        <v>243</v>
      </c>
      <c r="C19" s="578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3"/>
      <c r="B20" s="443"/>
      <c r="C20" s="443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3"/>
      <c r="B21" s="443"/>
      <c r="C21" s="443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3"/>
      <c r="B22" s="443"/>
      <c r="C22" s="443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3"/>
      <c r="B23" s="443"/>
      <c r="C23" s="443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3"/>
      <c r="B24" s="443"/>
      <c r="C24" s="443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3"/>
      <c r="B25" s="443"/>
      <c r="C25" s="443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3"/>
      <c r="B26" s="443"/>
      <c r="C26" s="443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3"/>
      <c r="B27" s="443"/>
      <c r="C27" s="443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3"/>
      <c r="B28" s="443"/>
      <c r="C28" s="443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5"/>
      <c r="B29" s="445"/>
      <c r="C29" s="579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90" t="s">
        <v>257</v>
      </c>
      <c r="B30" s="457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10"/>
      <c r="J30" s="458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485" t="s">
        <v>31</v>
      </c>
      <c r="B31" s="486" t="s">
        <v>258</v>
      </c>
      <c r="C31" s="578">
        <f>예산!P26</f>
        <v>282398210</v>
      </c>
      <c r="D31" s="85" t="s">
        <v>287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43"/>
      <c r="B32" s="443"/>
      <c r="C32" s="443"/>
      <c r="D32" s="85" t="s">
        <v>288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3"/>
      <c r="B33" s="443"/>
      <c r="C33" s="443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3"/>
      <c r="B34" s="443"/>
      <c r="C34" s="443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3"/>
      <c r="B35" s="445"/>
      <c r="C35" s="445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3"/>
      <c r="B36" s="474" t="s">
        <v>21</v>
      </c>
      <c r="C36" s="457"/>
      <c r="D36" s="458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3"/>
      <c r="B37" s="486" t="s">
        <v>70</v>
      </c>
      <c r="C37" s="511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3"/>
      <c r="B38" s="443"/>
      <c r="C38" s="443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3"/>
      <c r="B39" s="445"/>
      <c r="C39" s="445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5"/>
      <c r="B40" s="474" t="s">
        <v>21</v>
      </c>
      <c r="C40" s="457"/>
      <c r="D40" s="458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90" t="s">
        <v>259</v>
      </c>
      <c r="B41" s="457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10"/>
      <c r="J41" s="458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85" t="s">
        <v>72</v>
      </c>
      <c r="B42" s="486" t="s">
        <v>260</v>
      </c>
      <c r="C42" s="578">
        <f>예산!P53</f>
        <v>1144000</v>
      </c>
      <c r="D42" s="85" t="s">
        <v>261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3"/>
      <c r="B43" s="443"/>
      <c r="C43" s="443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3"/>
      <c r="B44" s="443"/>
      <c r="C44" s="443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3"/>
      <c r="B45" s="445"/>
      <c r="C45" s="445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43"/>
      <c r="B46" s="486" t="s">
        <v>264</v>
      </c>
      <c r="C46" s="511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45"/>
      <c r="B47" s="445"/>
      <c r="C47" s="579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490" t="s">
        <v>266</v>
      </c>
      <c r="B48" s="457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10"/>
      <c r="J48" s="458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85" t="s">
        <v>84</v>
      </c>
      <c r="B49" s="486" t="s">
        <v>94</v>
      </c>
      <c r="C49" s="511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43"/>
      <c r="B50" s="443"/>
      <c r="C50" s="443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43"/>
      <c r="B51" s="443"/>
      <c r="C51" s="443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43"/>
      <c r="B52" s="443"/>
      <c r="C52" s="443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43"/>
      <c r="B53" s="443"/>
      <c r="C53" s="443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43"/>
      <c r="B54" s="443"/>
      <c r="C54" s="443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43"/>
      <c r="B55" s="443"/>
      <c r="C55" s="443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43"/>
      <c r="B56" s="445"/>
      <c r="C56" s="445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43"/>
      <c r="B57" s="474" t="s">
        <v>21</v>
      </c>
      <c r="C57" s="457"/>
      <c r="D57" s="458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43"/>
      <c r="B58" s="85" t="s">
        <v>121</v>
      </c>
      <c r="C58" s="92">
        <f>예산!P102</f>
        <v>150000</v>
      </c>
      <c r="D58" s="85" t="s">
        <v>289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43"/>
      <c r="B59" s="474" t="s">
        <v>21</v>
      </c>
      <c r="C59" s="457"/>
      <c r="D59" s="458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43"/>
      <c r="B60" s="486" t="s">
        <v>135</v>
      </c>
      <c r="C60" s="511">
        <f>예산!P127</f>
        <v>157759520</v>
      </c>
      <c r="D60" s="85" t="s">
        <v>284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43"/>
      <c r="B61" s="443"/>
      <c r="C61" s="443"/>
      <c r="D61" s="85" t="s">
        <v>285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43"/>
      <c r="B62" s="443"/>
      <c r="C62" s="443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43"/>
      <c r="B63" s="443"/>
      <c r="C63" s="443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43"/>
      <c r="B64" s="443"/>
      <c r="C64" s="443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43"/>
      <c r="B65" s="443"/>
      <c r="C65" s="443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43"/>
      <c r="B66" s="443"/>
      <c r="C66" s="443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43"/>
      <c r="B67" s="443"/>
      <c r="C67" s="443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3"/>
      <c r="B68" s="443"/>
      <c r="C68" s="443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3"/>
      <c r="B69" s="443"/>
      <c r="C69" s="443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3"/>
      <c r="B70" s="445"/>
      <c r="C70" s="445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3"/>
      <c r="B71" s="474" t="s">
        <v>21</v>
      </c>
      <c r="C71" s="457"/>
      <c r="D71" s="458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3"/>
      <c r="B72" s="486" t="s">
        <v>116</v>
      </c>
      <c r="C72" s="511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3"/>
      <c r="B73" s="443"/>
      <c r="C73" s="443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3"/>
      <c r="B74" s="443"/>
      <c r="C74" s="443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3"/>
      <c r="B75" s="443"/>
      <c r="C75" s="443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3"/>
      <c r="B76" s="445"/>
      <c r="C76" s="445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3"/>
      <c r="B77" s="474" t="s">
        <v>21</v>
      </c>
      <c r="C77" s="457"/>
      <c r="D77" s="458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3"/>
      <c r="B78" s="486" t="s">
        <v>105</v>
      </c>
      <c r="C78" s="511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3"/>
      <c r="B79" s="443"/>
      <c r="C79" s="443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3"/>
      <c r="B80" s="443"/>
      <c r="C80" s="443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3"/>
      <c r="B81" s="443"/>
      <c r="C81" s="443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3"/>
      <c r="B82" s="443"/>
      <c r="C82" s="443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3"/>
      <c r="B83" s="443"/>
      <c r="C83" s="443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3"/>
      <c r="B84" s="443"/>
      <c r="C84" s="443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3"/>
      <c r="B85" s="445"/>
      <c r="C85" s="445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3"/>
      <c r="B86" s="474" t="s">
        <v>21</v>
      </c>
      <c r="C86" s="457"/>
      <c r="D86" s="458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3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472"/>
      <c r="J87" s="473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3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3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3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3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3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3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3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3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3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3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3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3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3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3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3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3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3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3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3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3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3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3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3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3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3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3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3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3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3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3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3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3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3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5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274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275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  <mergeCell ref="I87:J87"/>
    <mergeCell ref="B49:B56"/>
    <mergeCell ref="C49:C56"/>
    <mergeCell ref="B57:D57"/>
    <mergeCell ref="B59:D59"/>
    <mergeCell ref="B60:B70"/>
    <mergeCell ref="C60:C70"/>
    <mergeCell ref="B71:D71"/>
    <mergeCell ref="A1:K1"/>
    <mergeCell ref="P2:Q2"/>
    <mergeCell ref="R2:S2"/>
    <mergeCell ref="T2:U2"/>
    <mergeCell ref="V2:W2"/>
    <mergeCell ref="X2:Y2"/>
    <mergeCell ref="Z2:AA2"/>
    <mergeCell ref="E6:F6"/>
    <mergeCell ref="E7:F7"/>
    <mergeCell ref="D8:F14"/>
    <mergeCell ref="K4:K14"/>
    <mergeCell ref="B15:D15"/>
    <mergeCell ref="D3:F3"/>
    <mergeCell ref="A4:A17"/>
    <mergeCell ref="B4:B14"/>
    <mergeCell ref="C4:C14"/>
    <mergeCell ref="E4:F4"/>
    <mergeCell ref="E5:F5"/>
    <mergeCell ref="B17:D17"/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2025-10-27T04:23:14Z</dcterms:modified>
</cp:coreProperties>
</file>