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<sst xmlns="http://schemas.openxmlformats.org/spreadsheetml/2006/main" count="230" uniqueCount="183">
  <si>
    <t>COMPANY NAME</t>
  </si>
  <si>
    <t>TICKER</t>
  </si>
  <si>
    <t>OPEN</t>
  </si>
  <si>
    <t>CLOSE</t>
  </si>
  <si>
    <t>LTP</t>
  </si>
  <si>
    <t>CHANGE</t>
  </si>
  <si>
    <t>MARKET CAP</t>
  </si>
  <si>
    <t>VOLUME</t>
  </si>
  <si>
    <t>52-HIGH</t>
  </si>
  <si>
    <t>52-LOW</t>
  </si>
  <si>
    <t>OUTSHARES</t>
  </si>
  <si>
    <t>EPS</t>
  </si>
  <si>
    <t>PE</t>
  </si>
  <si>
    <t>EARNING YEILD</t>
  </si>
  <si>
    <t>LTT</t>
  </si>
  <si>
    <t>DELAY</t>
  </si>
  <si>
    <t>SECTOR</t>
  </si>
  <si>
    <t>__PowerAppsId__</t>
  </si>
  <si>
    <t>Adani Enterprises</t>
  </si>
  <si>
    <t>ADANIENT</t>
  </si>
  <si>
    <t>Metals &amp; Mining</t>
  </si>
  <si>
    <t>9433dbff73a142828645f161f631d891</t>
  </si>
  <si>
    <t>Adani Ports &amp; SEZ</t>
  </si>
  <si>
    <t>ADANIPORTS</t>
  </si>
  <si>
    <t>Services</t>
  </si>
  <si>
    <t>e38ff8f61af44a779e501d0a7dc8069f</t>
  </si>
  <si>
    <t>Apollo Hospitals</t>
  </si>
  <si>
    <t>APOLLOHOSP</t>
  </si>
  <si>
    <t>Healthcare</t>
  </si>
  <si>
    <t>838cf95e189d46ef8e239ab2f6b2ad33</t>
  </si>
  <si>
    <t>Asian Paints</t>
  </si>
  <si>
    <t>ASIANPAINT</t>
  </si>
  <si>
    <t>Consumer Durables</t>
  </si>
  <si>
    <t>db036a2938714ee1993786040af26ed3</t>
  </si>
  <si>
    <t>Axis Bank</t>
  </si>
  <si>
    <t>AXISBANK</t>
  </si>
  <si>
    <t>Financial Services</t>
  </si>
  <si>
    <t>742f0d00d6e9443e8ec68569016066bd</t>
  </si>
  <si>
    <t>Bajaj Auto</t>
  </si>
  <si>
    <t>BAJAJ-AUTO</t>
  </si>
  <si>
    <t>Automobile and Auto Components</t>
  </si>
  <si>
    <t>e0de3278160647a5bfc71eddec15fcbd</t>
  </si>
  <si>
    <t>Bajaj Finance</t>
  </si>
  <si>
    <t>BAJFINANCE</t>
  </si>
  <si>
    <t>7e462acf8ede4725a62c7ede27becacb</t>
  </si>
  <si>
    <t>Bajaj Finserv</t>
  </si>
  <si>
    <t>BAJAJFINSV</t>
  </si>
  <si>
    <t>d642c2a85b134b618277fcd3a906bd24</t>
  </si>
  <si>
    <t>Bharat Electronics</t>
  </si>
  <si>
    <t>BEL</t>
  </si>
  <si>
    <t>Capital Goods</t>
  </si>
  <si>
    <t>5ea9be9805fa4b73bbfa65765e9b62e6</t>
  </si>
  <si>
    <t xml:space="preserve">Eternal </t>
  </si>
  <si>
    <t>ETERNAL</t>
  </si>
  <si>
    <t>Information Technology</t>
  </si>
  <si>
    <t>2fcf599362794621a74b595b719421ca</t>
  </si>
  <si>
    <t>Bharti Airtel</t>
  </si>
  <si>
    <t>BHARTIARTL</t>
  </si>
  <si>
    <t>Telecommunication</t>
  </si>
  <si>
    <t>15cb369970c44b58a3acbb140b28837d</t>
  </si>
  <si>
    <t xml:space="preserve">Jio Finanacial Services </t>
  </si>
  <si>
    <t>JIOFIN</t>
  </si>
  <si>
    <t>92818ba3e9624d11a7fc066751582398</t>
  </si>
  <si>
    <t>Cipla</t>
  </si>
  <si>
    <t>CIPLA</t>
  </si>
  <si>
    <t>7fc7bd645e554127999e497aa2c4236e</t>
  </si>
  <si>
    <t>Coal India</t>
  </si>
  <si>
    <t>COALINDIA</t>
  </si>
  <si>
    <t>Oil, Gas &amp; Consumable Fuels</t>
  </si>
  <si>
    <t>e15e98f13eaa42c0aca988d01c218209</t>
  </si>
  <si>
    <t>Dr. Reddy's Laboratories</t>
  </si>
  <si>
    <t>DRREDDY</t>
  </si>
  <si>
    <t>024ab6fc50294041953050b429a6c65c</t>
  </si>
  <si>
    <t>Eicher Motors</t>
  </si>
  <si>
    <t>EICHERMOT</t>
  </si>
  <si>
    <t>862be2d3afe34fd19a874bffcf2b4727</t>
  </si>
  <si>
    <t>Grasim Industries</t>
  </si>
  <si>
    <t>GRASIM</t>
  </si>
  <si>
    <t>Construction Materials</t>
  </si>
  <si>
    <t>34a3e7ef5ca54ebcb0fb1ff5ba4bed27</t>
  </si>
  <si>
    <t>HCLTech</t>
  </si>
  <si>
    <t>HCLTECH</t>
  </si>
  <si>
    <t>215d3834360d43ac82193ead88a9d177</t>
  </si>
  <si>
    <t>HDFC Bank</t>
  </si>
  <si>
    <t>HDFCBANK</t>
  </si>
  <si>
    <t>6fd01de596ee45568a71d303a2e47d70</t>
  </si>
  <si>
    <t>HDFC Life</t>
  </si>
  <si>
    <t>HDFCLIFE</t>
  </si>
  <si>
    <t>2b46ac1b2a684bbc95155243b21bec49</t>
  </si>
  <si>
    <t>Hero MotoCorp</t>
  </si>
  <si>
    <t>HEROMOTOCO</t>
  </si>
  <si>
    <t>82c24e608bc14b4db9f2b23590963c32</t>
  </si>
  <si>
    <t>Hindalco Industries</t>
  </si>
  <si>
    <t>HINDALCO</t>
  </si>
  <si>
    <t>6675ec5babdb48fdbb454d6dd403b41a</t>
  </si>
  <si>
    <t>Hindustan Unilever</t>
  </si>
  <si>
    <t>HINDUNILVR</t>
  </si>
  <si>
    <t>Fast Moving Consumer Goods</t>
  </si>
  <si>
    <t>2e9b13d3f68740599ed235a18d61d611</t>
  </si>
  <si>
    <t>ICICI Bank</t>
  </si>
  <si>
    <t>ICICIBANK</t>
  </si>
  <si>
    <t>d876043482c54610bc6821c0125dea9e</t>
  </si>
  <si>
    <t>IndusInd Bank</t>
  </si>
  <si>
    <t>INDUSINDBK</t>
  </si>
  <si>
    <t>44eb8e43f8b749ac9b5c21a4e2435c9a</t>
  </si>
  <si>
    <t>Infosys</t>
  </si>
  <si>
    <t>INFY</t>
  </si>
  <si>
    <t>65efcad505dc42848d3d251daeb7aec4</t>
  </si>
  <si>
    <t>ITC</t>
  </si>
  <si>
    <t>7c4466c1ad294baeb1e0c9639c02f5df</t>
  </si>
  <si>
    <t>JSW Steel</t>
  </si>
  <si>
    <t>JSWSTEEL</t>
  </si>
  <si>
    <t>2b48fd07b7554a5a9aaaeb35cec545b1</t>
  </si>
  <si>
    <t>Kotak Mahindra Bank</t>
  </si>
  <si>
    <t>KOTAKBANK</t>
  </si>
  <si>
    <t>9f58b2b0f58b42f6a6308a04664f1366</t>
  </si>
  <si>
    <t>Larsen &amp; Toubro</t>
  </si>
  <si>
    <t>LT</t>
  </si>
  <si>
    <t>Construction</t>
  </si>
  <si>
    <t>605ba4755915465da8e707e41aa75416</t>
  </si>
  <si>
    <t>Mahindra &amp; Mahindra</t>
  </si>
  <si>
    <t>M&amp;M</t>
  </si>
  <si>
    <t>5d0d4dc73fbc4c07ae3deb7bbb507d9f</t>
  </si>
  <si>
    <t>Maruti Suzuki</t>
  </si>
  <si>
    <t>MARUTI</t>
  </si>
  <si>
    <t>250a4608845247869704a5fdece05faa</t>
  </si>
  <si>
    <t>Nestlé India</t>
  </si>
  <si>
    <t>NESTLEIND</t>
  </si>
  <si>
    <t>0028ed4d95a648dc840fa02744d18633</t>
  </si>
  <si>
    <t>NTPC</t>
  </si>
  <si>
    <t>Power</t>
  </si>
  <si>
    <t>e4cdcca75251419a86d37de91e74ea8d</t>
  </si>
  <si>
    <t>Oil and Natural Gas Corporation</t>
  </si>
  <si>
    <t>ONGC</t>
  </si>
  <si>
    <t>ed8c7bb55cc94716a043e1a896e1e96a</t>
  </si>
  <si>
    <t>Power Grid</t>
  </si>
  <si>
    <t>POWERGRID</t>
  </si>
  <si>
    <t>3306606e97a941f3ac14cca8cdb910c8</t>
  </si>
  <si>
    <t>Reliance Industries</t>
  </si>
  <si>
    <t>RELIANCE</t>
  </si>
  <si>
    <t>189f85fd4a154f9ebc533e3a59ee3851</t>
  </si>
  <si>
    <t>SBI Life Insurance Company</t>
  </si>
  <si>
    <t>SBILIFE</t>
  </si>
  <si>
    <t>d69454645d1a415abca7dda7e3048d88</t>
  </si>
  <si>
    <t>Shriram Finance</t>
  </si>
  <si>
    <t>SHRIRAMFIN</t>
  </si>
  <si>
    <t>85d580462d4148b0ab8446cb0335f9ec</t>
  </si>
  <si>
    <t>State Bank of India</t>
  </si>
  <si>
    <t>SBIN</t>
  </si>
  <si>
    <t>3997c68f8c8d4454a12bbb3f16579a4c</t>
  </si>
  <si>
    <t>Sun Pharma</t>
  </si>
  <si>
    <t>SUNPHARMA</t>
  </si>
  <si>
    <t>dc2a0434990c4cee9218fac4a5ad1529</t>
  </si>
  <si>
    <t>Tata Consultancy Services</t>
  </si>
  <si>
    <t>TCS</t>
  </si>
  <si>
    <t>b0f923e92289455589d7e0b4ac01a5d4</t>
  </si>
  <si>
    <t>Tata Consumer Products</t>
  </si>
  <si>
    <t>TATACONSUM</t>
  </si>
  <si>
    <t>502dbfdf2d134ef287a7b9f98f2ebef3</t>
  </si>
  <si>
    <t>Tata Motors</t>
  </si>
  <si>
    <t>TATAMOTORS</t>
  </si>
  <si>
    <t>039548e30951478588bdf1ff32d57715</t>
  </si>
  <si>
    <t>Tata Steel</t>
  </si>
  <si>
    <t>TATASTEEL</t>
  </si>
  <si>
    <t>8f50e0b55f26459c845c5a3a1b71ce6b</t>
  </si>
  <si>
    <t>Tech Mahindra</t>
  </si>
  <si>
    <t>TECHM</t>
  </si>
  <si>
    <t>2f2db2b0fa084754b39cf8b6dd787b5c</t>
  </si>
  <si>
    <t>Titan Company</t>
  </si>
  <si>
    <t>TITAN</t>
  </si>
  <si>
    <t>510aebaa8df94bb0a0e483080c075e0c</t>
  </si>
  <si>
    <t>Trent</t>
  </si>
  <si>
    <t>TRENT</t>
  </si>
  <si>
    <t>Consumer Services</t>
  </si>
  <si>
    <t>f093b4d130bd42f5903520249b8fb77a</t>
  </si>
  <si>
    <t>UltraTech Cement</t>
  </si>
  <si>
    <t>ULTRACEMCO</t>
  </si>
  <si>
    <t>34a02ec0b539437b865831228984abd9</t>
  </si>
  <si>
    <t>Wipro</t>
  </si>
  <si>
    <t>WIPRO</t>
  </si>
  <si>
    <t>c57de9aef8814fb98dc82a1bd3863607</t>
  </si>
  <si>
    <t>Nifty 50</t>
  </si>
  <si>
    <t>NIFTY_50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</si>
</sst>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474747"/>
      <name val="Arial"/>
    </font>
    <font>
      <color theme="1"/>
      <name val="Arial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2" fontId="2" numFmtId="0" xfId="0" applyAlignment="1" applyFill="1" applyFont="1">
      <alignment horizontal="left" readingOrder="0" shrinkToFit="0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7" max="7" width="14.0"/>
    <col customWidth="1" min="13" max="15" width="15.38"/>
    <col customWidth="1" min="17" max="17" width="2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 t="s">
        <v>17</v>
      </c>
    </row>
    <row r="2">
      <c r="A2" s="3" t="s">
        <v>18</v>
      </c>
      <c r="B2" s="3" t="s">
        <v>19</v>
      </c>
      <c r="C2" s="4">
        <f>IFERROR(__xludf.DUMMYFUNCTION("GOOGLEFINANCE(""NSE:"" &amp;B2,""PRICEOPEN"")"),2425.0)</f>
        <v>2425</v>
      </c>
      <c r="D2" s="4">
        <f>IFERROR(__xludf.DUMMYFUNCTION("GOOGLEFINANCE(""NSE:"" &amp;B2,""CLOSEYEST"")"),2430.7)</f>
        <v>2430.7</v>
      </c>
      <c r="E2" s="4">
        <f>IFERROR(__xludf.DUMMYFUNCTION("GOOGLEFINANCE(""NSE:"" &amp;B2,""PRICE"")"),2341.5)</f>
        <v>2341.5</v>
      </c>
      <c r="F2" s="4">
        <f>IFERROR(__xludf.DUMMYFUNCTION("GOOGLEFINANCE(""NSE:"" &amp;B2,""CHANGE"")"),-89.2)</f>
        <v>-89.2</v>
      </c>
      <c r="G2" s="4">
        <f>IFERROR(__xludf.DUMMYFUNCTION("GOOGLEFINANCE(""NSE:"" &amp;B2,""MARKETCAP"")"),2.713282231263E12)</f>
        <v>2713282231263</v>
      </c>
      <c r="H2" s="4">
        <f>IFERROR(__xludf.DUMMYFUNCTION("GOOGLEFINANCE(""NSE:"" &amp;B2,""VOLUME"")"),976341.0)</f>
        <v>976341</v>
      </c>
      <c r="I2" s="4">
        <f>IFERROR(__xludf.DUMMYFUNCTION("GOOGLEFINANCE(""NSE:"" &amp;B2,""HIGH52"")"),3258.0)</f>
        <v>3258</v>
      </c>
      <c r="J2" s="4">
        <f>IFERROR(__xludf.DUMMYFUNCTION("GOOGLEFINANCE(""NSE:"" &amp;B2,""LOW52"")"),2025.0)</f>
        <v>2025</v>
      </c>
      <c r="K2" s="4">
        <f>IFERROR(__xludf.DUMMYFUNCTION("iferror(GOOGLEFINANCE(""NSE:"" &amp;B2,""SHARES""),0)"),1.099800064E9)</f>
        <v>1099800064</v>
      </c>
      <c r="L2" s="4">
        <f>IFERROR(__xludf.DUMMYFUNCTION("GOOGLEFINANCE(""NSE:"" &amp;B2,""EPS"")"),62.03)</f>
        <v>62.03</v>
      </c>
      <c r="M2" s="4">
        <f>IFERROR(__xludf.DUMMYFUNCTION("GOOGLEFINANCE(""NSE:"" &amp;B2,""PE"")"),37.75)</f>
        <v>37.75</v>
      </c>
      <c r="N2" s="4">
        <f t="shared" ref="N2:N51" si="1">(1/M2)*100</f>
        <v>2.649006623</v>
      </c>
      <c r="O2" s="5">
        <f>IFERROR(__xludf.DUMMYFUNCTION("GOOGLEFINANCE(""NSE:"" &amp;B2,""TRADETIME"")"),45870.64583333333)</f>
        <v>45870.64583</v>
      </c>
      <c r="P2" s="4">
        <f>IFERROR(__xludf.DUMMYFUNCTION("GOOGLEFINANCE(""NSE:"" &amp;B2,""DATADELAY"")"),0.0)</f>
        <v>0</v>
      </c>
      <c r="Q2" s="3" t="s">
        <v>20</v>
      </c>
      <c r="R2" s="3" t="s">
        <v>21</v>
      </c>
    </row>
    <row r="3">
      <c r="A3" s="3" t="s">
        <v>22</v>
      </c>
      <c r="B3" s="3" t="s">
        <v>23</v>
      </c>
      <c r="C3" s="4">
        <f>IFERROR(__xludf.DUMMYFUNCTION("GOOGLEFINANCE(""NSE:"" &amp;B3,""PRICEOPEN"")"),1371.0)</f>
        <v>1371</v>
      </c>
      <c r="D3" s="4">
        <f>IFERROR(__xludf.DUMMYFUNCTION("GOOGLEFINANCE(""NSE:"" &amp;B3,""CLOSEYEST"")"),1373.1)</f>
        <v>1373.1</v>
      </c>
      <c r="E3" s="4">
        <f>IFERROR(__xludf.DUMMYFUNCTION("GOOGLEFINANCE(""NSE:"" &amp;B3,""PRICE"")"),1349.8)</f>
        <v>1349.8</v>
      </c>
      <c r="F3" s="4">
        <f>IFERROR(__xludf.DUMMYFUNCTION("GOOGLEFINANCE(""NSE:"" &amp;B3,""CHANGE"")"),-23.3)</f>
        <v>-23.3</v>
      </c>
      <c r="G3" s="4">
        <f>IFERROR(__xludf.DUMMYFUNCTION("GOOGLEFINANCE(""NSE:"" &amp;B3,""MARKETCAP"")"),2.911021905E12)</f>
        <v>2911021905000</v>
      </c>
      <c r="H3" s="4">
        <f>IFERROR(__xludf.DUMMYFUNCTION("GOOGLEFINANCE(""NSE:"" &amp;B3,""VOLUME"")"),1239941.0)</f>
        <v>1239941</v>
      </c>
      <c r="I3" s="4">
        <f>IFERROR(__xludf.DUMMYFUNCTION("GOOGLEFINANCE(""NSE:"" &amp;B3,""HIGH52"")"),1604.95)</f>
        <v>1604.95</v>
      </c>
      <c r="J3" s="4">
        <f>IFERROR(__xludf.DUMMYFUNCTION("GOOGLEFINANCE(""NSE:"" &amp;B3,""LOW52"")"),995.65)</f>
        <v>995.65</v>
      </c>
      <c r="K3" s="4">
        <f>IFERROR(__xludf.DUMMYFUNCTION("iferror(GOOGLEFINANCE(""NSE:"" &amp;B3,""SHARES""),0)"),2.070950016E9)</f>
        <v>2070950016</v>
      </c>
      <c r="L3" s="4">
        <f>IFERROR(__xludf.DUMMYFUNCTION("GOOGLEFINANCE(""NSE:"" &amp;B3,""EPS"")"),51.35)</f>
        <v>51.35</v>
      </c>
      <c r="M3" s="4">
        <f>IFERROR(__xludf.DUMMYFUNCTION("GOOGLEFINANCE(""NSE:"" &amp;B3,""PE"")"),26.29)</f>
        <v>26.29</v>
      </c>
      <c r="N3" s="4">
        <f t="shared" si="1"/>
        <v>3.803727653</v>
      </c>
      <c r="O3" s="5">
        <f>IFERROR(__xludf.DUMMYFUNCTION("GOOGLEFINANCE(""NSE:"" &amp;B3,""TRADETIME"")"),45870.64586805555)</f>
        <v>45870.64587</v>
      </c>
      <c r="P3" s="4">
        <f>IFERROR(__xludf.DUMMYFUNCTION("GOOGLEFINANCE(""NSE:"" &amp;B3,""DATADELAY"")"),0.0)</f>
        <v>0</v>
      </c>
      <c r="Q3" s="3" t="s">
        <v>24</v>
      </c>
      <c r="R3" s="3" t="s">
        <v>25</v>
      </c>
    </row>
    <row r="4">
      <c r="A4" s="3" t="s">
        <v>26</v>
      </c>
      <c r="B4" s="3" t="s">
        <v>27</v>
      </c>
      <c r="C4" s="4">
        <f>IFERROR(__xludf.DUMMYFUNCTION("GOOGLEFINANCE(""NSE:"" &amp;B4,""PRICEOPEN"")"),7538.0)</f>
        <v>7538</v>
      </c>
      <c r="D4" s="4">
        <f>IFERROR(__xludf.DUMMYFUNCTION("GOOGLEFINANCE(""NSE:"" &amp;B4,""CLOSEYEST"")"),7498.0)</f>
        <v>7498</v>
      </c>
      <c r="E4" s="4">
        <f>IFERROR(__xludf.DUMMYFUNCTION("GOOGLEFINANCE(""NSE:"" &amp;B4,""PRICE"")"),7360.0)</f>
        <v>7360</v>
      </c>
      <c r="F4" s="4">
        <f>IFERROR(__xludf.DUMMYFUNCTION("GOOGLEFINANCE(""NSE:"" &amp;B4,""CHANGE"")"),-138.0)</f>
        <v>-138</v>
      </c>
      <c r="G4" s="4">
        <f>IFERROR(__xludf.DUMMYFUNCTION("GOOGLEFINANCE(""NSE:"" &amp;B4,""MARKETCAP"")"),1.056321746116E12)</f>
        <v>1056321746116</v>
      </c>
      <c r="H4" s="4">
        <f>IFERROR(__xludf.DUMMYFUNCTION("GOOGLEFINANCE(""NSE:"" &amp;B4,""VOLUME"")"),215243.0)</f>
        <v>215243</v>
      </c>
      <c r="I4" s="4">
        <f>IFERROR(__xludf.DUMMYFUNCTION("GOOGLEFINANCE(""NSE:"" &amp;B4,""HIGH52"")"),7635.0)</f>
        <v>7635</v>
      </c>
      <c r="J4" s="4">
        <f>IFERROR(__xludf.DUMMYFUNCTION("GOOGLEFINANCE(""NSE:"" &amp;B4,""LOW52"")"),6001.0)</f>
        <v>6001</v>
      </c>
      <c r="K4" s="4">
        <f>IFERROR(__xludf.DUMMYFUNCTION("iferror(GOOGLEFINANCE(""NSE:"" &amp;B4,""SHARES""),0)"),1.39125152E8)</f>
        <v>139125152</v>
      </c>
      <c r="L4" s="4">
        <f>IFERROR(__xludf.DUMMYFUNCTION("GOOGLEFINANCE(""NSE:"" &amp;B4,""EPS"")"),100.56)</f>
        <v>100.56</v>
      </c>
      <c r="M4" s="4">
        <f>IFERROR(__xludf.DUMMYFUNCTION("GOOGLEFINANCE(""NSE:"" &amp;B4,""PE"")"),73.19)</f>
        <v>73.19</v>
      </c>
      <c r="N4" s="4">
        <f t="shared" si="1"/>
        <v>1.366306873</v>
      </c>
      <c r="O4" s="5">
        <f>IFERROR(__xludf.DUMMYFUNCTION("GOOGLEFINANCE(""NSE:"" &amp;B4,""TRADETIME"")"),45870.64583333333)</f>
        <v>45870.64583</v>
      </c>
      <c r="P4" s="4">
        <f>IFERROR(__xludf.DUMMYFUNCTION("GOOGLEFINANCE(""NSE:"" &amp;B4,""DATADELAY"")"),0.0)</f>
        <v>0</v>
      </c>
      <c r="Q4" s="3" t="s">
        <v>28</v>
      </c>
      <c r="R4" s="3" t="s">
        <v>29</v>
      </c>
    </row>
    <row r="5">
      <c r="A5" s="3" t="s">
        <v>30</v>
      </c>
      <c r="B5" s="3" t="s">
        <v>31</v>
      </c>
      <c r="C5" s="4">
        <f>IFERROR(__xludf.DUMMYFUNCTION("GOOGLEFINANCE(""NSE:"" &amp;B5,""PRICEOPEN"")"),2378.0)</f>
        <v>2378</v>
      </c>
      <c r="D5" s="4">
        <f>IFERROR(__xludf.DUMMYFUNCTION("GOOGLEFINANCE(""NSE:"" &amp;B5,""CLOSEYEST"")"),2396.1)</f>
        <v>2396.1</v>
      </c>
      <c r="E5" s="4">
        <f>IFERROR(__xludf.DUMMYFUNCTION("GOOGLEFINANCE(""NSE:"" &amp;B5,""PRICE"")"),2434.0)</f>
        <v>2434</v>
      </c>
      <c r="F5" s="4">
        <f>IFERROR(__xludf.DUMMYFUNCTION("GOOGLEFINANCE(""NSE:"" &amp;B5,""CHANGE"")"),37.9)</f>
        <v>37.9</v>
      </c>
      <c r="G5" s="4">
        <f>IFERROR(__xludf.DUMMYFUNCTION("GOOGLEFINANCE(""NSE:"" &amp;B5,""MARKETCAP"")"),2.328239795041E12)</f>
        <v>2328239795041</v>
      </c>
      <c r="H5" s="4">
        <f>IFERROR(__xludf.DUMMYFUNCTION("GOOGLEFINANCE(""NSE:"" &amp;B5,""VOLUME"")"),2225293.0)</f>
        <v>2225293</v>
      </c>
      <c r="I5" s="4">
        <f>IFERROR(__xludf.DUMMYFUNCTION("GOOGLEFINANCE(""NSE:"" &amp;B5,""HIGH52"")"),3394.9)</f>
        <v>3394.9</v>
      </c>
      <c r="J5" s="4">
        <f>IFERROR(__xludf.DUMMYFUNCTION("GOOGLEFINANCE(""NSE:"" &amp;B5,""LOW52"")"),2124.75)</f>
        <v>2124.75</v>
      </c>
      <c r="K5" s="4">
        <f>IFERROR(__xludf.DUMMYFUNCTION("iferror(GOOGLEFINANCE(""NSE:"" &amp;B5,""SHARES""),0)"),9.592E8)</f>
        <v>959200000</v>
      </c>
      <c r="L5" s="4">
        <f>IFERROR(__xludf.DUMMYFUNCTION("GOOGLEFINANCE(""NSE:"" &amp;B5,""EPS"")"),37.51)</f>
        <v>37.51</v>
      </c>
      <c r="M5" s="4">
        <f>IFERROR(__xludf.DUMMYFUNCTION("GOOGLEFINANCE(""NSE:"" &amp;B5,""PE"")"),64.9)</f>
        <v>64.9</v>
      </c>
      <c r="N5" s="4">
        <f t="shared" si="1"/>
        <v>1.540832049</v>
      </c>
      <c r="O5" s="5">
        <f>IFERROR(__xludf.DUMMYFUNCTION("GOOGLEFINANCE(""NSE:"" &amp;B5,""TRADETIME"")"),45870.64584490741)</f>
        <v>45870.64584</v>
      </c>
      <c r="P5" s="4">
        <f>IFERROR(__xludf.DUMMYFUNCTION("GOOGLEFINANCE(""NSE:"" &amp;B5,""DATADELAY"")"),0.0)</f>
        <v>0</v>
      </c>
      <c r="Q5" s="3" t="s">
        <v>32</v>
      </c>
      <c r="R5" s="3" t="s">
        <v>33</v>
      </c>
    </row>
    <row r="6">
      <c r="A6" s="3" t="s">
        <v>34</v>
      </c>
      <c r="B6" s="3" t="s">
        <v>35</v>
      </c>
      <c r="C6" s="4">
        <f>IFERROR(__xludf.DUMMYFUNCTION("GOOGLEFINANCE(""NSE:"" &amp;B6,""PRICEOPEN"")"),1065.0)</f>
        <v>1065</v>
      </c>
      <c r="D6" s="4">
        <f>IFERROR(__xludf.DUMMYFUNCTION("GOOGLEFINANCE(""NSE:"" &amp;B6,""CLOSEYEST"")"),1068.4)</f>
        <v>1068.4</v>
      </c>
      <c r="E6" s="4">
        <f>IFERROR(__xludf.DUMMYFUNCTION("GOOGLEFINANCE(""NSE:"" &amp;B6,""PRICE"")"),1061.5)</f>
        <v>1061.5</v>
      </c>
      <c r="F6" s="4">
        <f>IFERROR(__xludf.DUMMYFUNCTION("GOOGLEFINANCE(""NSE:"" &amp;B6,""CHANGE"")"),-6.9)</f>
        <v>-6.9</v>
      </c>
      <c r="G6" s="4">
        <f>IFERROR(__xludf.DUMMYFUNCTION("GOOGLEFINANCE(""NSE:"" &amp;B6,""MARKETCAP"")"),3.294645416902E12)</f>
        <v>3294645416902</v>
      </c>
      <c r="H6" s="4">
        <f>IFERROR(__xludf.DUMMYFUNCTION("GOOGLEFINANCE(""NSE:"" &amp;B6,""VOLUME"")"),5545447.0)</f>
        <v>5545447</v>
      </c>
      <c r="I6" s="4">
        <f>IFERROR(__xludf.DUMMYFUNCTION("GOOGLEFINANCE(""NSE:"" &amp;B6,""HIGH52"")"),1281.65)</f>
        <v>1281.65</v>
      </c>
      <c r="J6" s="4">
        <f>IFERROR(__xludf.DUMMYFUNCTION("GOOGLEFINANCE(""NSE:"" &amp;B6,""LOW52"")"),933.5)</f>
        <v>933.5</v>
      </c>
      <c r="K6" s="4">
        <f>IFERROR(__xludf.DUMMYFUNCTION("iferror(GOOGLEFINANCE(""NSE:"" &amp;B6,""SHARES""),0)"),2.569895168E9)</f>
        <v>2569895168</v>
      </c>
      <c r="L6" s="4">
        <f>IFERROR(__xludf.DUMMYFUNCTION("GOOGLEFINANCE(""NSE:"" &amp;B6,""EPS"")"),89.53)</f>
        <v>89.53</v>
      </c>
      <c r="M6" s="4">
        <f>IFERROR(__xludf.DUMMYFUNCTION("GOOGLEFINANCE(""NSE:"" &amp;B6,""PE"")"),11.86)</f>
        <v>11.86</v>
      </c>
      <c r="N6" s="4">
        <f t="shared" si="1"/>
        <v>8.431703204</v>
      </c>
      <c r="O6" s="5">
        <f>IFERROR(__xludf.DUMMYFUNCTION("GOOGLEFINANCE(""NSE:"" &amp;B6,""TRADETIME"")"),45870.64583333333)</f>
        <v>45870.64583</v>
      </c>
      <c r="P6" s="4">
        <f>IFERROR(__xludf.DUMMYFUNCTION("GOOGLEFINANCE(""NSE:"" &amp;B6,""DATADELAY"")"),0.0)</f>
        <v>0</v>
      </c>
      <c r="Q6" s="3" t="s">
        <v>36</v>
      </c>
      <c r="R6" s="3" t="s">
        <v>37</v>
      </c>
    </row>
    <row r="7">
      <c r="A7" s="3" t="s">
        <v>38</v>
      </c>
      <c r="B7" s="3" t="s">
        <v>39</v>
      </c>
      <c r="C7" s="4">
        <f>IFERROR(__xludf.DUMMYFUNCTION("GOOGLEFINANCE(""NSE:"" &amp;B7,""PRICEOPEN"")"),8008.0)</f>
        <v>8008</v>
      </c>
      <c r="D7" s="4">
        <f>IFERROR(__xludf.DUMMYFUNCTION("GOOGLEFINANCE(""NSE:"" &amp;B7,""CLOSEYEST"")"),8008.0)</f>
        <v>8008</v>
      </c>
      <c r="E7" s="4">
        <f>IFERROR(__xludf.DUMMYFUNCTION("GOOGLEFINANCE(""NSE:"" &amp;B7,""PRICE"")"),8055.0)</f>
        <v>8055</v>
      </c>
      <c r="F7" s="4">
        <f>IFERROR(__xludf.DUMMYFUNCTION("GOOGLEFINANCE(""NSE:"" &amp;B7,""CHANGE"")"),47.0)</f>
        <v>47</v>
      </c>
      <c r="G7" s="4">
        <f>IFERROR(__xludf.DUMMYFUNCTION("GOOGLEFINANCE(""NSE:"" &amp;B7,""MARKETCAP"")"),2.245028400132E12)</f>
        <v>2245028400132</v>
      </c>
      <c r="H7" s="4">
        <f>IFERROR(__xludf.DUMMYFUNCTION("GOOGLEFINANCE(""NSE:"" &amp;B7,""VOLUME"")"),329818.0)</f>
        <v>329818</v>
      </c>
      <c r="I7" s="4">
        <f>IFERROR(__xludf.DUMMYFUNCTION("GOOGLEFINANCE(""NSE:"" &amp;B7,""HIGH52"")"),12774.0)</f>
        <v>12774</v>
      </c>
      <c r="J7" s="4">
        <f>IFERROR(__xludf.DUMMYFUNCTION("GOOGLEFINANCE(""NSE:"" &amp;B7,""LOW52"")"),7089.35)</f>
        <v>7089.35</v>
      </c>
      <c r="K7" s="4">
        <f>IFERROR(__xludf.DUMMYFUNCTION("iferror(GOOGLEFINANCE(""NSE:"" &amp;B7,""SHARES""),0)"),2.89367008E8)</f>
        <v>289367008</v>
      </c>
      <c r="L7" s="4">
        <f>IFERROR(__xludf.DUMMYFUNCTION("GOOGLEFINANCE(""NSE:"" &amp;B7,""EPS"")"),269.51)</f>
        <v>269.51</v>
      </c>
      <c r="M7" s="4">
        <f>IFERROR(__xludf.DUMMYFUNCTION("GOOGLEFINANCE(""NSE:"" &amp;B7,""PE"")"),29.89)</f>
        <v>29.89</v>
      </c>
      <c r="N7" s="4">
        <f t="shared" si="1"/>
        <v>3.345600535</v>
      </c>
      <c r="O7" s="5">
        <f>IFERROR(__xludf.DUMMYFUNCTION("GOOGLEFINANCE(""NSE:"" &amp;B7,""TRADETIME"")"),45870.64585648148)</f>
        <v>45870.64586</v>
      </c>
      <c r="P7" s="4">
        <f>IFERROR(__xludf.DUMMYFUNCTION("GOOGLEFINANCE(""NSE:"" &amp;B7,""DATADELAY"")"),0.0)</f>
        <v>0</v>
      </c>
      <c r="Q7" s="3" t="s">
        <v>40</v>
      </c>
      <c r="R7" s="3" t="s">
        <v>41</v>
      </c>
    </row>
    <row r="8">
      <c r="A8" s="3" t="s">
        <v>42</v>
      </c>
      <c r="B8" s="3" t="s">
        <v>43</v>
      </c>
      <c r="C8" s="4">
        <f>IFERROR(__xludf.DUMMYFUNCTION("GOOGLEFINANCE(""NSE:"" &amp;B8,""PRICEOPEN"")"),884.8)</f>
        <v>884.8</v>
      </c>
      <c r="D8" s="4">
        <f>IFERROR(__xludf.DUMMYFUNCTION("GOOGLEFINANCE(""NSE:"" &amp;B8,""CLOSEYEST"")"),881.2)</f>
        <v>881.2</v>
      </c>
      <c r="E8" s="4">
        <f>IFERROR(__xludf.DUMMYFUNCTION("GOOGLEFINANCE(""NSE:"" &amp;B8,""PRICE"")"),877.0)</f>
        <v>877</v>
      </c>
      <c r="F8" s="4">
        <f>IFERROR(__xludf.DUMMYFUNCTION("GOOGLEFINANCE(""NSE:"" &amp;B8,""CHANGE"")"),-4.2)</f>
        <v>-4.2</v>
      </c>
      <c r="G8" s="4">
        <f>IFERROR(__xludf.DUMMYFUNCTION("GOOGLEFINANCE(""NSE:"" &amp;B8,""MARKETCAP"")"),5.44762575313E11)</f>
        <v>544762575313</v>
      </c>
      <c r="H8" s="4">
        <f>IFERROR(__xludf.DUMMYFUNCTION("GOOGLEFINANCE(""NSE:"" &amp;B8,""VOLUME"")"),5300299.0)</f>
        <v>5300299</v>
      </c>
      <c r="I8" s="4">
        <f>IFERROR(__xludf.DUMMYFUNCTION("GOOGLEFINANCE(""NSE:"" &amp;B8,""HIGH52"")"),978.8)</f>
        <v>978.8</v>
      </c>
      <c r="J8" s="4">
        <f>IFERROR(__xludf.DUMMYFUNCTION("GOOGLEFINANCE(""NSE:"" &amp;B8,""LOW52"")"),642.5)</f>
        <v>642.5</v>
      </c>
      <c r="K8" s="4">
        <f>IFERROR(__xludf.DUMMYFUNCTION("iferror(GOOGLEFINANCE(""NSE:"" &amp;B8,""SHARES""),0)"),5.76445632E8)</f>
        <v>576445632</v>
      </c>
      <c r="L8" s="4">
        <f>IFERROR(__xludf.DUMMYFUNCTION("GOOGLEFINANCE(""NSE:"" &amp;B8,""EPS"")"),28.06)</f>
        <v>28.06</v>
      </c>
      <c r="M8" s="4">
        <f>IFERROR(__xludf.DUMMYFUNCTION("GOOGLEFINANCE(""NSE:"" &amp;B8,""PE"")"),31.26)</f>
        <v>31.26</v>
      </c>
      <c r="N8" s="4">
        <f t="shared" si="1"/>
        <v>3.198976328</v>
      </c>
      <c r="O8" s="5">
        <f>IFERROR(__xludf.DUMMYFUNCTION("GOOGLEFINANCE(""NSE:"" &amp;B8,""TRADETIME"")"),45870.64583333333)</f>
        <v>45870.64583</v>
      </c>
      <c r="P8" s="4">
        <f>IFERROR(__xludf.DUMMYFUNCTION("GOOGLEFINANCE(""NSE:"" &amp;B8,""DATADELAY"")"),0.0)</f>
        <v>0</v>
      </c>
      <c r="Q8" s="3" t="s">
        <v>36</v>
      </c>
      <c r="R8" s="3" t="s">
        <v>44</v>
      </c>
    </row>
    <row r="9">
      <c r="A9" s="3" t="s">
        <v>45</v>
      </c>
      <c r="B9" s="3" t="s">
        <v>46</v>
      </c>
      <c r="C9" s="4">
        <f>IFERROR(__xludf.DUMMYFUNCTION("GOOGLEFINANCE(""NSE:"" &amp;B9,""PRICEOPEN"")"),1945.0)</f>
        <v>1945</v>
      </c>
      <c r="D9" s="4">
        <f>IFERROR(__xludf.DUMMYFUNCTION("GOOGLEFINANCE(""NSE:"" &amp;B9,""CLOSEYEST"")"),1948.0)</f>
        <v>1948</v>
      </c>
      <c r="E9" s="4">
        <f>IFERROR(__xludf.DUMMYFUNCTION("GOOGLEFINANCE(""NSE:"" &amp;B9,""PRICE"")"),1920.0)</f>
        <v>1920</v>
      </c>
      <c r="F9" s="4">
        <f>IFERROR(__xludf.DUMMYFUNCTION("GOOGLEFINANCE(""NSE:"" &amp;B9,""CHANGE"")"),-28.0)</f>
        <v>-28</v>
      </c>
      <c r="G9" s="4">
        <f>IFERROR(__xludf.DUMMYFUNCTION("GOOGLEFINANCE(""NSE:"" &amp;B9,""MARKETCAP"")"),3.057874744659E12)</f>
        <v>3057874744659</v>
      </c>
      <c r="H9" s="4">
        <f>IFERROR(__xludf.DUMMYFUNCTION("GOOGLEFINANCE(""NSE:"" &amp;B9,""VOLUME"")"),836974.0)</f>
        <v>836974</v>
      </c>
      <c r="I9" s="4">
        <f>IFERROR(__xludf.DUMMYFUNCTION("GOOGLEFINANCE(""NSE:"" &amp;B9,""HIGH52"")"),2135.0)</f>
        <v>2135</v>
      </c>
      <c r="J9" s="4">
        <f>IFERROR(__xludf.DUMMYFUNCTION("GOOGLEFINANCE(""NSE:"" &amp;B9,""LOW52"")"),1523.25)</f>
        <v>1523.25</v>
      </c>
      <c r="K9" s="4">
        <f>IFERROR(__xludf.DUMMYFUNCTION("iferror(GOOGLEFINANCE(""NSE:"" &amp;B9,""SHARES""),0)"),1.5914E8)</f>
        <v>159140000</v>
      </c>
      <c r="L9" s="4">
        <f>IFERROR(__xludf.DUMMYFUNCTION("GOOGLEFINANCE(""NSE:"" &amp;B9,""EPS"")"),59.15)</f>
        <v>59.15</v>
      </c>
      <c r="M9" s="4">
        <f>IFERROR(__xludf.DUMMYFUNCTION("GOOGLEFINANCE(""NSE:"" &amp;B9,""PE"")"),32.46)</f>
        <v>32.46</v>
      </c>
      <c r="N9" s="4">
        <f t="shared" si="1"/>
        <v>3.080714726</v>
      </c>
      <c r="O9" s="5">
        <f>IFERROR(__xludf.DUMMYFUNCTION("GOOGLEFINANCE(""NSE:"" &amp;B9,""TRADETIME"")"),45870.64585648148)</f>
        <v>45870.64586</v>
      </c>
      <c r="P9" s="4">
        <f>IFERROR(__xludf.DUMMYFUNCTION("GOOGLEFINANCE(""NSE:"" &amp;B9,""DATADELAY"")"),0.0)</f>
        <v>0</v>
      </c>
      <c r="Q9" s="3" t="s">
        <v>36</v>
      </c>
      <c r="R9" s="3" t="s">
        <v>47</v>
      </c>
    </row>
    <row r="10">
      <c r="A10" s="3" t="s">
        <v>48</v>
      </c>
      <c r="B10" s="3" t="s">
        <v>49</v>
      </c>
      <c r="C10" s="4">
        <f>IFERROR(__xludf.DUMMYFUNCTION("GOOGLEFINANCE(""NSE:"" &amp;B10,""PRICEOPEN"")"),383.1)</f>
        <v>383.1</v>
      </c>
      <c r="D10" s="4">
        <f>IFERROR(__xludf.DUMMYFUNCTION("GOOGLEFINANCE(""NSE:"" &amp;B10,""CLOSEYEST"")"),383.1)</f>
        <v>383.1</v>
      </c>
      <c r="E10" s="4">
        <f>IFERROR(__xludf.DUMMYFUNCTION("GOOGLEFINANCE(""NSE:"" &amp;B10,""PRICE"")"),377.25)</f>
        <v>377.25</v>
      </c>
      <c r="F10" s="4">
        <f>IFERROR(__xludf.DUMMYFUNCTION("GOOGLEFINANCE(""NSE:"" &amp;B10,""CHANGE"")"),-5.85)</f>
        <v>-5.85</v>
      </c>
      <c r="G10" s="4">
        <f>IFERROR(__xludf.DUMMYFUNCTION("GOOGLEFINANCE(""NSE:"" &amp;B10,""MARKETCAP"")"),2.756151705669E12)</f>
        <v>2756151705669</v>
      </c>
      <c r="H10" s="4">
        <f>IFERROR(__xludf.DUMMYFUNCTION("GOOGLEFINANCE(""NSE:"" &amp;B10,""VOLUME"")"),8702605.0)</f>
        <v>8702605</v>
      </c>
      <c r="I10" s="4">
        <f>IFERROR(__xludf.DUMMYFUNCTION("GOOGLEFINANCE(""NSE:"" &amp;B10,""HIGH52"")"),436.0)</f>
        <v>436</v>
      </c>
      <c r="J10" s="4">
        <f>IFERROR(__xludf.DUMMYFUNCTION("GOOGLEFINANCE(""NSE:"" &amp;B10,""LOW52"")"),240.25)</f>
        <v>240.25</v>
      </c>
      <c r="K10" s="4">
        <f>IFERROR(__xludf.DUMMYFUNCTION("iferror(GOOGLEFINANCE(""NSE:"" &amp;B10,""SHARES""),0)"),2.436592896E9)</f>
        <v>2436592896</v>
      </c>
      <c r="L10" s="4">
        <f>IFERROR(__xludf.DUMMYFUNCTION("GOOGLEFINANCE(""NSE:"" &amp;B10,""EPS"")"),7.53)</f>
        <v>7.53</v>
      </c>
      <c r="M10" s="4">
        <f>IFERROR(__xludf.DUMMYFUNCTION("GOOGLEFINANCE(""NSE:"" &amp;B10,""PE"")"),50.1)</f>
        <v>50.1</v>
      </c>
      <c r="N10" s="4">
        <f t="shared" si="1"/>
        <v>1.996007984</v>
      </c>
      <c r="O10" s="5">
        <f>IFERROR(__xludf.DUMMYFUNCTION("GOOGLEFINANCE(""NSE:"" &amp;B10,""TRADETIME"")"),45870.64583333333)</f>
        <v>45870.64583</v>
      </c>
      <c r="P10" s="4">
        <f>IFERROR(__xludf.DUMMYFUNCTION("GOOGLEFINANCE(""NSE:"" &amp;B10,""DATADELAY"")"),0.0)</f>
        <v>0</v>
      </c>
      <c r="Q10" s="3" t="s">
        <v>50</v>
      </c>
      <c r="R10" s="3" t="s">
        <v>51</v>
      </c>
    </row>
    <row r="11">
      <c r="A11" s="6" t="s">
        <v>52</v>
      </c>
      <c r="B11" s="6" t="s">
        <v>53</v>
      </c>
      <c r="C11" s="4">
        <f>IFERROR(__xludf.DUMMYFUNCTION("GOOGLEFINANCE(""NSE:"" &amp;B11,""PRICEOPEN"")"),309.8)</f>
        <v>309.8</v>
      </c>
      <c r="D11" s="4">
        <f>IFERROR(__xludf.DUMMYFUNCTION("GOOGLEFINANCE(""NSE:"" &amp;B11,""CLOSEYEST"")"),307.8)</f>
        <v>307.8</v>
      </c>
      <c r="E11" s="4">
        <f>IFERROR(__xludf.DUMMYFUNCTION("GOOGLEFINANCE(""NSE:"" &amp;B11,""PRICE"")"),304.6)</f>
        <v>304.6</v>
      </c>
      <c r="F11" s="4">
        <f>IFERROR(__xludf.DUMMYFUNCTION("GOOGLEFINANCE(""NSE:"" &amp;B11,""CHANGE"")"),-3.2)</f>
        <v>-3.2</v>
      </c>
      <c r="G11" s="4">
        <f>IFERROR(__xludf.DUMMYFUNCTION("GOOGLEFINANCE(""NSE:"" &amp;B11,""MARKETCAP"")"),2.763086928936E12)</f>
        <v>2763086928936</v>
      </c>
      <c r="H11" s="4">
        <f>IFERROR(__xludf.DUMMYFUNCTION("GOOGLEFINANCE(""NSE:"" &amp;B11,""VOLUME"")"),1.6415906E7)</f>
        <v>16415906</v>
      </c>
      <c r="I11" s="4">
        <f>IFERROR(__xludf.DUMMYFUNCTION("GOOGLEFINANCE(""NSE:"" &amp;B11,""HIGH52"")"),314.45)</f>
        <v>314.45</v>
      </c>
      <c r="J11" s="4">
        <f>IFERROR(__xludf.DUMMYFUNCTION("GOOGLEFINANCE(""NSE:"" &amp;B11,""LOW52"")"),209.86)</f>
        <v>209.86</v>
      </c>
      <c r="K11" s="4">
        <f>IFERROR(__xludf.DUMMYFUNCTION("iferror(GOOGLEFINANCE(""NSE:"" &amp;B11,""SHARES""),0)"),0.0)</f>
        <v>0</v>
      </c>
      <c r="L11" s="4">
        <f>IFERROR(__xludf.DUMMYFUNCTION("GOOGLEFINANCE(""NSE:"" &amp;B11,""EPS"")"),0.33)</f>
        <v>0.33</v>
      </c>
      <c r="M11" s="4">
        <f>IFERROR(__xludf.DUMMYFUNCTION("GOOGLEFINANCE(""NSE:"" &amp;B11,""PE"")"),919.27)</f>
        <v>919.27</v>
      </c>
      <c r="N11" s="4">
        <f t="shared" si="1"/>
        <v>0.1087819683</v>
      </c>
      <c r="O11" s="5">
        <f>IFERROR(__xludf.DUMMYFUNCTION("GOOGLEFINANCE(""NSE:"" &amp;B11,""TRADETIME"")"),45870.64583333333)</f>
        <v>45870.64583</v>
      </c>
      <c r="P11" s="4">
        <f>IFERROR(__xludf.DUMMYFUNCTION("GOOGLEFINANCE(""NSE:"" &amp;B11,""DATADELAY"")"),0.0)</f>
        <v>0</v>
      </c>
      <c r="Q11" s="3" t="s">
        <v>54</v>
      </c>
      <c r="R11" s="3" t="s">
        <v>55</v>
      </c>
    </row>
    <row r="12">
      <c r="A12" s="3" t="s">
        <v>56</v>
      </c>
      <c r="B12" s="3" t="s">
        <v>57</v>
      </c>
      <c r="C12" s="4">
        <f>IFERROR(__xludf.DUMMYFUNCTION("GOOGLEFINANCE(""NSE:"" &amp;B12,""PRICEOPEN"")"),1914.0)</f>
        <v>1914</v>
      </c>
      <c r="D12" s="4">
        <f>IFERROR(__xludf.DUMMYFUNCTION("GOOGLEFINANCE(""NSE:"" &amp;B12,""CLOSEYEST"")"),1914.3)</f>
        <v>1914.3</v>
      </c>
      <c r="E12" s="4">
        <f>IFERROR(__xludf.DUMMYFUNCTION("GOOGLEFINANCE(""NSE:"" &amp;B12,""PRICE"")"),1878.1)</f>
        <v>1878.1</v>
      </c>
      <c r="F12" s="4">
        <f>IFERROR(__xludf.DUMMYFUNCTION("GOOGLEFINANCE(""NSE:"" &amp;B12,""CHANGE"")"),-36.2)</f>
        <v>-36.2</v>
      </c>
      <c r="G12" s="4">
        <f>IFERROR(__xludf.DUMMYFUNCTION("GOOGLEFINANCE(""NSE:"" &amp;B12,""MARKETCAP"")"),1.126520628E13)</f>
        <v>11265206280000</v>
      </c>
      <c r="H12" s="4">
        <f>IFERROR(__xludf.DUMMYFUNCTION("GOOGLEFINANCE(""NSE:"" &amp;B12,""VOLUME"")"),5192594.0)</f>
        <v>5192594</v>
      </c>
      <c r="I12" s="4">
        <f>IFERROR(__xludf.DUMMYFUNCTION("GOOGLEFINANCE(""NSE:"" &amp;B12,""HIGH52"")"),2045.8)</f>
        <v>2045.8</v>
      </c>
      <c r="J12" s="4">
        <f>IFERROR(__xludf.DUMMYFUNCTION("GOOGLEFINANCE(""NSE:"" &amp;B12,""LOW52"")"),1422.6)</f>
        <v>1422.6</v>
      </c>
      <c r="K12" s="4">
        <f>IFERROR(__xludf.DUMMYFUNCTION("iferror(GOOGLEFINANCE(""NSE:"" &amp;B12,""SHARES""),0)"),3.995603712E9)</f>
        <v>3995603712</v>
      </c>
      <c r="L12" s="4">
        <f>IFERROR(__xludf.DUMMYFUNCTION("GOOGLEFINANCE(""NSE:"" &amp;B12,""EPS"")"),56.0)</f>
        <v>56</v>
      </c>
      <c r="M12" s="4">
        <f>IFERROR(__xludf.DUMMYFUNCTION("GOOGLEFINANCE(""NSE:"" &amp;B12,""PE"")"),33.54)</f>
        <v>33.54</v>
      </c>
      <c r="N12" s="4">
        <f t="shared" si="1"/>
        <v>2.981514609</v>
      </c>
      <c r="O12" s="5">
        <f>IFERROR(__xludf.DUMMYFUNCTION("GOOGLEFINANCE(""NSE:"" &amp;B12,""TRADETIME"")"),45870.64583333333)</f>
        <v>45870.64583</v>
      </c>
      <c r="P12" s="4">
        <f>IFERROR(__xludf.DUMMYFUNCTION("GOOGLEFINANCE(""NSE:"" &amp;B12,""DATADELAY"")"),0.0)</f>
        <v>0</v>
      </c>
      <c r="Q12" s="3" t="s">
        <v>58</v>
      </c>
      <c r="R12" s="3" t="s">
        <v>59</v>
      </c>
    </row>
    <row r="13">
      <c r="A13" s="3" t="s">
        <v>60</v>
      </c>
      <c r="B13" s="6" t="s">
        <v>61</v>
      </c>
      <c r="C13" s="4">
        <f>IFERROR(__xludf.DUMMYFUNCTION("GOOGLEFINANCE(""NSE:"" &amp;B13,""PRICEOPEN"")"),329.95)</f>
        <v>329.95</v>
      </c>
      <c r="D13" s="4">
        <f>IFERROR(__xludf.DUMMYFUNCTION("GOOGLEFINANCE(""NSE:"" &amp;B13,""CLOSEYEST"")"),329.25)</f>
        <v>329.25</v>
      </c>
      <c r="E13" s="4">
        <f>IFERROR(__xludf.DUMMYFUNCTION("GOOGLEFINANCE(""NSE:"" &amp;B13,""PRICE"")"),329.85)</f>
        <v>329.85</v>
      </c>
      <c r="F13" s="4">
        <f>IFERROR(__xludf.DUMMYFUNCTION("GOOGLEFINANCE(""NSE:"" &amp;B13,""CHANGE"")"),0.6)</f>
        <v>0.6</v>
      </c>
      <c r="G13" s="4">
        <f>IFERROR(__xludf.DUMMYFUNCTION("GOOGLEFINANCE(""NSE:"" &amp;B13,""MARKETCAP"")"),2.097447293848E12)</f>
        <v>2097447293848</v>
      </c>
      <c r="H13" s="4">
        <f>IFERROR(__xludf.DUMMYFUNCTION("GOOGLEFINANCE(""NSE:"" &amp;B13,""VOLUME"")"),1.963575E7)</f>
        <v>19635750</v>
      </c>
      <c r="I13" s="4">
        <f>IFERROR(__xludf.DUMMYFUNCTION("GOOGLEFINANCE(""NSE:"" &amp;B13,""HIGH52"")"),363.0)</f>
        <v>363</v>
      </c>
      <c r="J13" s="4">
        <f>IFERROR(__xludf.DUMMYFUNCTION("GOOGLEFINANCE(""NSE:"" &amp;B13,""LOW52"")"),198.65)</f>
        <v>198.65</v>
      </c>
      <c r="K13" s="4">
        <f>IFERROR(__xludf.DUMMYFUNCTION("iferror(GOOGLEFINANCE(""NSE:"" &amp;B13,""SHARES""),0)"),0.0)</f>
        <v>0</v>
      </c>
      <c r="L13" s="4">
        <f>IFERROR(__xludf.DUMMYFUNCTION("GOOGLEFINANCE(""NSE:"" &amp;B13,""EPS"")"),2.56)</f>
        <v>2.56</v>
      </c>
      <c r="M13" s="4">
        <f>IFERROR(__xludf.DUMMYFUNCTION("GOOGLEFINANCE(""NSE:"" &amp;B13,""PE"")"),128.65)</f>
        <v>128.65</v>
      </c>
      <c r="N13" s="4">
        <f t="shared" si="1"/>
        <v>0.7773027594</v>
      </c>
      <c r="O13" s="5">
        <f>IFERROR(__xludf.DUMMYFUNCTION("GOOGLEFINANCE(""NSE:"" &amp;B13,""TRADETIME"")"),45870.64583333333)</f>
        <v>45870.64583</v>
      </c>
      <c r="P13" s="4">
        <f>IFERROR(__xludf.DUMMYFUNCTION("GOOGLEFINANCE(""NSE:"" &amp;B13,""DATADELAY"")"),0.0)</f>
        <v>0</v>
      </c>
      <c r="Q13" s="3" t="s">
        <v>36</v>
      </c>
      <c r="R13" s="3" t="s">
        <v>62</v>
      </c>
    </row>
    <row r="14">
      <c r="A14" s="3" t="s">
        <v>63</v>
      </c>
      <c r="B14" s="3" t="s">
        <v>64</v>
      </c>
      <c r="C14" s="4">
        <f>IFERROR(__xludf.DUMMYFUNCTION("GOOGLEFINANCE(""NSE:"" &amp;B14,""PRICEOPEN"")"),1544.0)</f>
        <v>1544</v>
      </c>
      <c r="D14" s="4">
        <f>IFERROR(__xludf.DUMMYFUNCTION("GOOGLEFINANCE(""NSE:"" &amp;B14,""CLOSEYEST"")"),1554.6)</f>
        <v>1554.6</v>
      </c>
      <c r="E14" s="4">
        <f>IFERROR(__xludf.DUMMYFUNCTION("GOOGLEFINANCE(""NSE:"" &amp;B14,""PRICE"")"),1505.0)</f>
        <v>1505</v>
      </c>
      <c r="F14" s="4">
        <f>IFERROR(__xludf.DUMMYFUNCTION("GOOGLEFINANCE(""NSE:"" &amp;B14,""CHANGE"")"),-49.6)</f>
        <v>-49.6</v>
      </c>
      <c r="G14" s="4">
        <f>IFERROR(__xludf.DUMMYFUNCTION("GOOGLEFINANCE(""NSE:"" &amp;B14,""MARKETCAP"")"),1.2157313245E12)</f>
        <v>1215731324500</v>
      </c>
      <c r="H14" s="4">
        <f>IFERROR(__xludf.DUMMYFUNCTION("GOOGLEFINANCE(""NSE:"" &amp;B14,""VOLUME"")"),2109707.0)</f>
        <v>2109707</v>
      </c>
      <c r="I14" s="4">
        <f>IFERROR(__xludf.DUMMYFUNCTION("GOOGLEFINANCE(""NSE:"" &amp;B14,""HIGH52"")"),1702.05)</f>
        <v>1702.05</v>
      </c>
      <c r="J14" s="4">
        <f>IFERROR(__xludf.DUMMYFUNCTION("GOOGLEFINANCE(""NSE:"" &amp;B14,""LOW52"")"),1335.0)</f>
        <v>1335</v>
      </c>
      <c r="K14" s="4">
        <f>IFERROR(__xludf.DUMMYFUNCTION("iferror(GOOGLEFINANCE(""NSE:"" &amp;B14,""SHARES""),0)"),8.0566752E8)</f>
        <v>805667520</v>
      </c>
      <c r="L14" s="4">
        <f>IFERROR(__xludf.DUMMYFUNCTION("GOOGLEFINANCE(""NSE:"" &amp;B14,""EPS"")"),66.73)</f>
        <v>66.73</v>
      </c>
      <c r="M14" s="4">
        <f>IFERROR(__xludf.DUMMYFUNCTION("GOOGLEFINANCE(""NSE:"" &amp;B14,""PE"")"),22.55)</f>
        <v>22.55</v>
      </c>
      <c r="N14" s="4">
        <f t="shared" si="1"/>
        <v>4.4345898</v>
      </c>
      <c r="O14" s="5">
        <f>IFERROR(__xludf.DUMMYFUNCTION("GOOGLEFINANCE(""NSE:"" &amp;B14,""TRADETIME"")"),45870.64586805555)</f>
        <v>45870.64587</v>
      </c>
      <c r="P14" s="4">
        <f>IFERROR(__xludf.DUMMYFUNCTION("GOOGLEFINANCE(""NSE:"" &amp;B14,""DATADELAY"")"),0.0)</f>
        <v>0</v>
      </c>
      <c r="Q14" s="3" t="s">
        <v>28</v>
      </c>
      <c r="R14" s="3" t="s">
        <v>65</v>
      </c>
    </row>
    <row r="15">
      <c r="A15" s="3" t="s">
        <v>66</v>
      </c>
      <c r="B15" s="3" t="s">
        <v>67</v>
      </c>
      <c r="C15" s="4">
        <f>IFERROR(__xludf.DUMMYFUNCTION("GOOGLEFINANCE(""NSE:"" &amp;B15,""PRICEOPEN"")"),375.0)</f>
        <v>375</v>
      </c>
      <c r="D15" s="4">
        <f>IFERROR(__xludf.DUMMYFUNCTION("GOOGLEFINANCE(""NSE:"" &amp;B15,""CLOSEYEST"")"),376.35)</f>
        <v>376.35</v>
      </c>
      <c r="E15" s="4">
        <f>IFERROR(__xludf.DUMMYFUNCTION("GOOGLEFINANCE(""NSE:"" &amp;B15,""PRICE"")"),372.8)</f>
        <v>372.8</v>
      </c>
      <c r="F15" s="4">
        <f>IFERROR(__xludf.DUMMYFUNCTION("GOOGLEFINANCE(""NSE:"" &amp;B15,""CHANGE"")"),-3.55)</f>
        <v>-3.55</v>
      </c>
      <c r="G15" s="4">
        <f>IFERROR(__xludf.DUMMYFUNCTION("GOOGLEFINANCE(""NSE:"" &amp;B15,""MARKETCAP"")"),2.294424139195E12)</f>
        <v>2294424139195</v>
      </c>
      <c r="H15" s="4">
        <f>IFERROR(__xludf.DUMMYFUNCTION("GOOGLEFINANCE(""NSE:"" &amp;B15,""VOLUME"")"),1.3769152E7)</f>
        <v>13769152</v>
      </c>
      <c r="I15" s="4">
        <f>IFERROR(__xludf.DUMMYFUNCTION("GOOGLEFINANCE(""NSE:"" &amp;B15,""HIGH52"")"),543.55)</f>
        <v>543.55</v>
      </c>
      <c r="J15" s="4">
        <f>IFERROR(__xludf.DUMMYFUNCTION("GOOGLEFINANCE(""NSE:"" &amp;B15,""LOW52"")"),349.25)</f>
        <v>349.25</v>
      </c>
      <c r="K15" s="4">
        <f>IFERROR(__xludf.DUMMYFUNCTION("iferror(GOOGLEFINANCE(""NSE:"" &amp;B15,""SHARES""),0)"),6.207409152E9)</f>
        <v>6207409152</v>
      </c>
      <c r="L15" s="4">
        <f>IFERROR(__xludf.DUMMYFUNCTION("GOOGLEFINANCE(""NSE:"" &amp;B15,""EPS"")"),57.37)</f>
        <v>57.37</v>
      </c>
      <c r="M15" s="4">
        <f>IFERROR(__xludf.DUMMYFUNCTION("GOOGLEFINANCE(""NSE:"" &amp;B15,""PE"")"),6.5)</f>
        <v>6.5</v>
      </c>
      <c r="N15" s="4">
        <f t="shared" si="1"/>
        <v>15.38461538</v>
      </c>
      <c r="O15" s="5">
        <f>IFERROR(__xludf.DUMMYFUNCTION("GOOGLEFINANCE(""NSE:"" &amp;B15,""TRADETIME"")"),45870.64583333333)</f>
        <v>45870.64583</v>
      </c>
      <c r="P15" s="4">
        <f>IFERROR(__xludf.DUMMYFUNCTION("GOOGLEFINANCE(""NSE:"" &amp;B15,""DATADELAY"")"),0.0)</f>
        <v>0</v>
      </c>
      <c r="Q15" s="3" t="s">
        <v>68</v>
      </c>
      <c r="R15" s="3" t="s">
        <v>69</v>
      </c>
    </row>
    <row r="16">
      <c r="A16" s="3" t="s">
        <v>70</v>
      </c>
      <c r="B16" s="3" t="s">
        <v>71</v>
      </c>
      <c r="C16" s="4">
        <f>IFERROR(__xludf.DUMMYFUNCTION("GOOGLEFINANCE(""NSE:"" &amp;B16,""PRICEOPEN"")"),1258.0)</f>
        <v>1258</v>
      </c>
      <c r="D16" s="4">
        <f>IFERROR(__xludf.DUMMYFUNCTION("GOOGLEFINANCE(""NSE:"" &amp;B16,""CLOSEYEST"")"),1270.3)</f>
        <v>1270.3</v>
      </c>
      <c r="E16" s="4">
        <f>IFERROR(__xludf.DUMMYFUNCTION("GOOGLEFINANCE(""NSE:"" &amp;B16,""PRICE"")"),1221.4)</f>
        <v>1221.4</v>
      </c>
      <c r="F16" s="4">
        <f>IFERROR(__xludf.DUMMYFUNCTION("GOOGLEFINANCE(""NSE:"" &amp;B16,""CHANGE"")"),-48.9)</f>
        <v>-48.9</v>
      </c>
      <c r="G16" s="4">
        <f>IFERROR(__xludf.DUMMYFUNCTION("GOOGLEFINANCE(""NSE:"" &amp;B16,""MARKETCAP"")"),1.1841250348E10)</f>
        <v>11841250348</v>
      </c>
      <c r="H16" s="4">
        <f>IFERROR(__xludf.DUMMYFUNCTION("GOOGLEFINANCE(""NSE:"" &amp;B16,""VOLUME"")"),2525210.0)</f>
        <v>2525210</v>
      </c>
      <c r="I16" s="4">
        <f>IFERROR(__xludf.DUMMYFUNCTION("GOOGLEFINANCE(""NSE:"" &amp;B16,""HIGH52"")"),1421.49)</f>
        <v>1421.49</v>
      </c>
      <c r="J16" s="4">
        <f>IFERROR(__xludf.DUMMYFUNCTION("GOOGLEFINANCE(""NSE:"" &amp;B16,""LOW52"")"),1020.0)</f>
        <v>1020</v>
      </c>
      <c r="K16" s="4">
        <f>IFERROR(__xludf.DUMMYFUNCTION("iferror(GOOGLEFINANCE(""NSE:"" &amp;B16,""SHARES""),0)"),1.66061056E8)</f>
        <v>166061056</v>
      </c>
      <c r="L16" s="4">
        <f>IFERROR(__xludf.DUMMYFUNCTION("GOOGLEFINANCE(""NSE:"" &amp;B16,""EPS"")"),68.14)</f>
        <v>68.14</v>
      </c>
      <c r="M16" s="4">
        <f>IFERROR(__xludf.DUMMYFUNCTION("GOOGLEFINANCE(""NSE:"" &amp;B16,""PE"")"),17.93)</f>
        <v>17.93</v>
      </c>
      <c r="N16" s="4">
        <f t="shared" si="1"/>
        <v>5.577244841</v>
      </c>
      <c r="O16" s="5">
        <f>IFERROR(__xludf.DUMMYFUNCTION("GOOGLEFINANCE(""NSE:"" &amp;B16,""TRADETIME"")"),45870.64583333333)</f>
        <v>45870.64583</v>
      </c>
      <c r="P16" s="4">
        <f>IFERROR(__xludf.DUMMYFUNCTION("GOOGLEFINANCE(""NSE:"" &amp;B16,""DATADELAY"")"),0.0)</f>
        <v>0</v>
      </c>
      <c r="Q16" s="3" t="s">
        <v>28</v>
      </c>
      <c r="R16" s="3" t="s">
        <v>72</v>
      </c>
    </row>
    <row r="17">
      <c r="A17" s="3" t="s">
        <v>73</v>
      </c>
      <c r="B17" s="3" t="s">
        <v>74</v>
      </c>
      <c r="C17" s="4">
        <f>IFERROR(__xludf.DUMMYFUNCTION("GOOGLEFINANCE(""NSE:"" &amp;B17,""PRICEOPEN"")"),5551.0)</f>
        <v>5551</v>
      </c>
      <c r="D17" s="4">
        <f>IFERROR(__xludf.DUMMYFUNCTION("GOOGLEFINANCE(""NSE:"" &amp;B17,""CLOSEYEST"")"),5468.5)</f>
        <v>5468.5</v>
      </c>
      <c r="E17" s="4">
        <f>IFERROR(__xludf.DUMMYFUNCTION("GOOGLEFINANCE(""NSE:"" &amp;B17,""PRICE"")"),5518.0)</f>
        <v>5518</v>
      </c>
      <c r="F17" s="4">
        <f>IFERROR(__xludf.DUMMYFUNCTION("GOOGLEFINANCE(""NSE:"" &amp;B17,""CHANGE"")"),49.5)</f>
        <v>49.5</v>
      </c>
      <c r="G17" s="4">
        <f>IFERROR(__xludf.DUMMYFUNCTION("GOOGLEFINANCE(""NSE:"" &amp;B17,""MARKETCAP"")"),1.5141592336E12)</f>
        <v>1514159233600</v>
      </c>
      <c r="H17" s="4">
        <f>IFERROR(__xludf.DUMMYFUNCTION("GOOGLEFINANCE(""NSE:"" &amp;B17,""VOLUME"")"),1408773.0)</f>
        <v>1408773</v>
      </c>
      <c r="I17" s="4">
        <f>IFERROR(__xludf.DUMMYFUNCTION("GOOGLEFINANCE(""NSE:"" &amp;B17,""HIGH52"")"),5906.5)</f>
        <v>5906.5</v>
      </c>
      <c r="J17" s="4">
        <f>IFERROR(__xludf.DUMMYFUNCTION("GOOGLEFINANCE(""NSE:"" &amp;B17,""LOW52"")"),4508.75)</f>
        <v>4508.75</v>
      </c>
      <c r="K17" s="4">
        <f>IFERROR(__xludf.DUMMYFUNCTION("iferror(GOOGLEFINANCE(""NSE:"" &amp;B17,""SHARES""),0)"),2.7275652E7)</f>
        <v>27275652</v>
      </c>
      <c r="L17" s="4">
        <f>IFERROR(__xludf.DUMMYFUNCTION("GOOGLEFINANCE(""NSE:"" &amp;B17,""EPS"")"),172.37)</f>
        <v>172.37</v>
      </c>
      <c r="M17" s="4">
        <f>IFERROR(__xludf.DUMMYFUNCTION("GOOGLEFINANCE(""NSE:"" &amp;B17,""PE"")"),32.01)</f>
        <v>32.01</v>
      </c>
      <c r="N17" s="4">
        <f t="shared" si="1"/>
        <v>3.124023743</v>
      </c>
      <c r="O17" s="5">
        <f>IFERROR(__xludf.DUMMYFUNCTION("GOOGLEFINANCE(""NSE:"" &amp;B17,""TRADETIME"")"),45870.64583333333)</f>
        <v>45870.64583</v>
      </c>
      <c r="P17" s="4">
        <f>IFERROR(__xludf.DUMMYFUNCTION("GOOGLEFINANCE(""NSE:"" &amp;B17,""DATADELAY"")"),0.0)</f>
        <v>0</v>
      </c>
      <c r="Q17" s="3" t="s">
        <v>40</v>
      </c>
      <c r="R17" s="3" t="s">
        <v>75</v>
      </c>
    </row>
    <row r="18">
      <c r="A18" s="3" t="s">
        <v>76</v>
      </c>
      <c r="B18" s="3" t="s">
        <v>77</v>
      </c>
      <c r="C18" s="4">
        <f>IFERROR(__xludf.DUMMYFUNCTION("GOOGLEFINANCE(""NSE:"" &amp;B18,""PRICEOPEN"")"),2748.0)</f>
        <v>2748</v>
      </c>
      <c r="D18" s="4">
        <f>IFERROR(__xludf.DUMMYFUNCTION("GOOGLEFINANCE(""NSE:"" &amp;B18,""CLOSEYEST"")"),2746.4)</f>
        <v>2746.4</v>
      </c>
      <c r="E18" s="4">
        <f>IFERROR(__xludf.DUMMYFUNCTION("GOOGLEFINANCE(""NSE:"" &amp;B18,""PRICE"")"),2731.6)</f>
        <v>2731.6</v>
      </c>
      <c r="F18" s="4">
        <f>IFERROR(__xludf.DUMMYFUNCTION("GOOGLEFINANCE(""NSE:"" &amp;B18,""CHANGE"")"),-14.8)</f>
        <v>-14.8</v>
      </c>
      <c r="G18" s="4">
        <f>IFERROR(__xludf.DUMMYFUNCTION("GOOGLEFINANCE(""NSE:"" &amp;B18,""MARKETCAP"")"),1.842262164E12)</f>
        <v>1842262164000</v>
      </c>
      <c r="H18" s="4">
        <f>IFERROR(__xludf.DUMMYFUNCTION("GOOGLEFINANCE(""NSE:"" &amp;B18,""VOLUME"")"),329586.0)</f>
        <v>329586</v>
      </c>
      <c r="I18" s="4">
        <f>IFERROR(__xludf.DUMMYFUNCTION("GOOGLEFINANCE(""NSE:"" &amp;B18,""HIGH52"")"),2896.0)</f>
        <v>2896</v>
      </c>
      <c r="J18" s="4">
        <f>IFERROR(__xludf.DUMMYFUNCTION("GOOGLEFINANCE(""NSE:"" &amp;B18,""LOW52"")"),2276.95)</f>
        <v>2276.95</v>
      </c>
      <c r="K18" s="4">
        <f>IFERROR(__xludf.DUMMYFUNCTION("iferror(GOOGLEFINANCE(""NSE:"" &amp;B18,""SHARES""),0)"),6.576E8)</f>
        <v>657600000</v>
      </c>
      <c r="L18" s="4">
        <f>IFERROR(__xludf.DUMMYFUNCTION("GOOGLEFINANCE(""NSE:"" &amp;B18,""EPS"")"),55.5)</f>
        <v>55.5</v>
      </c>
      <c r="M18" s="4">
        <f>IFERROR(__xludf.DUMMYFUNCTION("GOOGLEFINANCE(""NSE:"" &amp;B18,""PE"")"),49.22)</f>
        <v>49.22</v>
      </c>
      <c r="N18" s="4">
        <f t="shared" si="1"/>
        <v>2.031694433</v>
      </c>
      <c r="O18" s="5">
        <f>IFERROR(__xludf.DUMMYFUNCTION("GOOGLEFINANCE(""NSE:"" &amp;B18,""TRADETIME"")"),45870.64583333333)</f>
        <v>45870.64583</v>
      </c>
      <c r="P18" s="4">
        <f>IFERROR(__xludf.DUMMYFUNCTION("GOOGLEFINANCE(""NSE:"" &amp;B18,""DATADELAY"")"),0.0)</f>
        <v>0</v>
      </c>
      <c r="Q18" s="3" t="s">
        <v>78</v>
      </c>
      <c r="R18" s="3" t="s">
        <v>79</v>
      </c>
    </row>
    <row r="19">
      <c r="A19" s="3" t="s">
        <v>80</v>
      </c>
      <c r="B19" s="3" t="s">
        <v>81</v>
      </c>
      <c r="C19" s="4">
        <f>IFERROR(__xludf.DUMMYFUNCTION("GOOGLEFINANCE(""NSE:"" &amp;B19,""PRICEOPEN"")"),1465.0)</f>
        <v>1465</v>
      </c>
      <c r="D19" s="4">
        <f>IFERROR(__xludf.DUMMYFUNCTION("GOOGLEFINANCE(""NSE:"" &amp;B19,""CLOSEYEST"")"),1467.9)</f>
        <v>1467.9</v>
      </c>
      <c r="E19" s="4">
        <f>IFERROR(__xludf.DUMMYFUNCTION("GOOGLEFINANCE(""NSE:"" &amp;B19,""PRICE"")"),1450.2)</f>
        <v>1450.2</v>
      </c>
      <c r="F19" s="4">
        <f>IFERROR(__xludf.DUMMYFUNCTION("GOOGLEFINANCE(""NSE:"" &amp;B19,""CHANGE"")"),-17.7)</f>
        <v>-17.7</v>
      </c>
      <c r="G19" s="4">
        <f>IFERROR(__xludf.DUMMYFUNCTION("GOOGLEFINANCE(""NSE:"" &amp;B19,""MARKETCAP"")"),3.933628067855E12)</f>
        <v>3933628067855</v>
      </c>
      <c r="H19" s="4">
        <f>IFERROR(__xludf.DUMMYFUNCTION("GOOGLEFINANCE(""NSE:"" &amp;B19,""VOLUME"")"),2152783.0)</f>
        <v>2152783</v>
      </c>
      <c r="I19" s="4">
        <f>IFERROR(__xludf.DUMMYFUNCTION("GOOGLEFINANCE(""NSE:"" &amp;B19,""HIGH52"")"),2012.2)</f>
        <v>2012.2</v>
      </c>
      <c r="J19" s="4">
        <f>IFERROR(__xludf.DUMMYFUNCTION("GOOGLEFINANCE(""NSE:"" &amp;B19,""LOW52"")"),1302.75)</f>
        <v>1302.75</v>
      </c>
      <c r="K19" s="4">
        <f>IFERROR(__xludf.DUMMYFUNCTION("iferror(GOOGLEFINANCE(""NSE:"" &amp;B19,""SHARES""),0)"),1.356261248E9)</f>
        <v>1356261248</v>
      </c>
      <c r="L19" s="4">
        <f>IFERROR(__xludf.DUMMYFUNCTION("GOOGLEFINANCE(""NSE:"" &amp;B19,""EPS"")"),62.59)</f>
        <v>62.59</v>
      </c>
      <c r="M19" s="4">
        <f>IFERROR(__xludf.DUMMYFUNCTION("GOOGLEFINANCE(""NSE:"" &amp;B19,""PE"")"),23.17)</f>
        <v>23.17</v>
      </c>
      <c r="N19" s="4">
        <f t="shared" si="1"/>
        <v>4.315925766</v>
      </c>
      <c r="O19" s="5">
        <f>IFERROR(__xludf.DUMMYFUNCTION("GOOGLEFINANCE(""NSE:"" &amp;B19,""TRADETIME"")"),45870.64587962963)</f>
        <v>45870.64588</v>
      </c>
      <c r="P19" s="4">
        <f>IFERROR(__xludf.DUMMYFUNCTION("GOOGLEFINANCE(""NSE:"" &amp;B19,""DATADELAY"")"),0.0)</f>
        <v>0</v>
      </c>
      <c r="Q19" s="3" t="s">
        <v>54</v>
      </c>
      <c r="R19" s="3" t="s">
        <v>82</v>
      </c>
    </row>
    <row r="20">
      <c r="A20" s="3" t="s">
        <v>83</v>
      </c>
      <c r="B20" s="3" t="s">
        <v>84</v>
      </c>
      <c r="C20" s="4">
        <f>IFERROR(__xludf.DUMMYFUNCTION("GOOGLEFINANCE(""NSE:"" &amp;B20,""PRICEOPEN"")"),2014.0)</f>
        <v>2014</v>
      </c>
      <c r="D20" s="4">
        <f>IFERROR(__xludf.DUMMYFUNCTION("GOOGLEFINANCE(""NSE:"" &amp;B20,""CLOSEYEST"")"),2018.2)</f>
        <v>2018.2</v>
      </c>
      <c r="E20" s="4">
        <f>IFERROR(__xludf.DUMMYFUNCTION("GOOGLEFINANCE(""NSE:"" &amp;B20,""PRICE"")"),2016.9)</f>
        <v>2016.9</v>
      </c>
      <c r="F20" s="4">
        <f>IFERROR(__xludf.DUMMYFUNCTION("GOOGLEFINANCE(""NSE:"" &amp;B20,""CHANGE"")"),-1.3)</f>
        <v>-1.3</v>
      </c>
      <c r="G20" s="4">
        <f>IFERROR(__xludf.DUMMYFUNCTION("GOOGLEFINANCE(""NSE:"" &amp;B20,""MARKETCAP"")"),1.77390711313E11)</f>
        <v>177390711313</v>
      </c>
      <c r="H20" s="4">
        <f>IFERROR(__xludf.DUMMYFUNCTION("GOOGLEFINANCE(""NSE:"" &amp;B20,""VOLUME"")"),5658629.0)</f>
        <v>5658629</v>
      </c>
      <c r="I20" s="4">
        <f>IFERROR(__xludf.DUMMYFUNCTION("GOOGLEFINANCE(""NSE:"" &amp;B20,""HIGH52"")"),2037.7)</f>
        <v>2037.7</v>
      </c>
      <c r="J20" s="4">
        <f>IFERROR(__xludf.DUMMYFUNCTION("GOOGLEFINANCE(""NSE:"" &amp;B20,""LOW52"")"),1593.3)</f>
        <v>1593.3</v>
      </c>
      <c r="K20" s="4">
        <f>IFERROR(__xludf.DUMMYFUNCTION("iferror(GOOGLEFINANCE(""NSE:"" &amp;B20,""SHARES""),0)"),2.718492928E9)</f>
        <v>2718492928</v>
      </c>
      <c r="L20" s="4">
        <f>IFERROR(__xludf.DUMMYFUNCTION("GOOGLEFINANCE(""NSE:"" &amp;B20,""EPS"")"),91.92)</f>
        <v>91.92</v>
      </c>
      <c r="M20" s="4">
        <f>IFERROR(__xludf.DUMMYFUNCTION("GOOGLEFINANCE(""NSE:"" &amp;B20,""PE"")"),21.94)</f>
        <v>21.94</v>
      </c>
      <c r="N20" s="4">
        <f t="shared" si="1"/>
        <v>4.557885141</v>
      </c>
      <c r="O20" s="5">
        <f>IFERROR(__xludf.DUMMYFUNCTION("GOOGLEFINANCE(""NSE:"" &amp;B20,""TRADETIME"")"),45870.64583333333)</f>
        <v>45870.64583</v>
      </c>
      <c r="P20" s="4">
        <f>IFERROR(__xludf.DUMMYFUNCTION("GOOGLEFINANCE(""NSE:"" &amp;B20,""DATADELAY"")"),0.0)</f>
        <v>0</v>
      </c>
      <c r="Q20" s="3" t="s">
        <v>36</v>
      </c>
      <c r="R20" s="3" t="s">
        <v>85</v>
      </c>
    </row>
    <row r="21">
      <c r="A21" s="3" t="s">
        <v>86</v>
      </c>
      <c r="B21" s="3" t="s">
        <v>87</v>
      </c>
      <c r="C21" s="4">
        <f>IFERROR(__xludf.DUMMYFUNCTION("GOOGLEFINANCE(""NSE:"" &amp;B21,""PRICEOPEN"")"),752.55)</f>
        <v>752.55</v>
      </c>
      <c r="D21" s="4">
        <f>IFERROR(__xludf.DUMMYFUNCTION("GOOGLEFINANCE(""NSE:"" &amp;B21,""CLOSEYEST"")"),755.5)</f>
        <v>755.5</v>
      </c>
      <c r="E21" s="4">
        <f>IFERROR(__xludf.DUMMYFUNCTION("GOOGLEFINANCE(""NSE:"" &amp;B21,""PRICE"")"),741.95)</f>
        <v>741.95</v>
      </c>
      <c r="F21" s="4">
        <f>IFERROR(__xludf.DUMMYFUNCTION("GOOGLEFINANCE(""NSE:"" &amp;B21,""CHANGE"")"),-13.55)</f>
        <v>-13.55</v>
      </c>
      <c r="G21" s="4">
        <f>IFERROR(__xludf.DUMMYFUNCTION("GOOGLEFINANCE(""NSE:"" &amp;B21,""MARKETCAP"")"),1.598834016905E12)</f>
        <v>1598834016905</v>
      </c>
      <c r="H21" s="4">
        <f>IFERROR(__xludf.DUMMYFUNCTION("GOOGLEFINANCE(""NSE:"" &amp;B21,""VOLUME"")"),1697685.0)</f>
        <v>1697685</v>
      </c>
      <c r="I21" s="4">
        <f>IFERROR(__xludf.DUMMYFUNCTION("GOOGLEFINANCE(""NSE:"" &amp;B21,""HIGH52"")"),820.75)</f>
        <v>820.75</v>
      </c>
      <c r="J21" s="4">
        <f>IFERROR(__xludf.DUMMYFUNCTION("GOOGLEFINANCE(""NSE:"" &amp;B21,""LOW52"")"),584.3)</f>
        <v>584.3</v>
      </c>
      <c r="K21" s="4">
        <f>IFERROR(__xludf.DUMMYFUNCTION("iferror(GOOGLEFINANCE(""NSE:"" &amp;B21,""SHARES""),0)"),2.017256704E9)</f>
        <v>2017256704</v>
      </c>
      <c r="L21" s="4">
        <f>IFERROR(__xludf.DUMMYFUNCTION("GOOGLEFINANCE(""NSE:"" &amp;B21,""EPS"")"),8.72)</f>
        <v>8.72</v>
      </c>
      <c r="M21" s="4">
        <f>IFERROR(__xludf.DUMMYFUNCTION("GOOGLEFINANCE(""NSE:"" &amp;B21,""PE"")"),85.04)</f>
        <v>85.04</v>
      </c>
      <c r="N21" s="4">
        <f t="shared" si="1"/>
        <v>1.175917215</v>
      </c>
      <c r="O21" s="5">
        <f>IFERROR(__xludf.DUMMYFUNCTION("GOOGLEFINANCE(""NSE:"" &amp;B21,""TRADETIME"")"),45870.64583333333)</f>
        <v>45870.64583</v>
      </c>
      <c r="P21" s="4">
        <f>IFERROR(__xludf.DUMMYFUNCTION("GOOGLEFINANCE(""NSE:"" &amp;B21,""DATADELAY"")"),0.0)</f>
        <v>0</v>
      </c>
      <c r="Q21" s="3" t="s">
        <v>36</v>
      </c>
      <c r="R21" s="3" t="s">
        <v>88</v>
      </c>
    </row>
    <row r="22">
      <c r="A22" s="3" t="s">
        <v>89</v>
      </c>
      <c r="B22" s="3" t="s">
        <v>90</v>
      </c>
      <c r="C22" s="4">
        <f>IFERROR(__xludf.DUMMYFUNCTION("GOOGLEFINANCE(""NSE:"" &amp;B22,""PRICEOPEN"")"),4255.1)</f>
        <v>4255.1</v>
      </c>
      <c r="D22" s="4">
        <f>IFERROR(__xludf.DUMMYFUNCTION("GOOGLEFINANCE(""NSE:"" &amp;B22,""CLOSEYEST"")"),4260.7)</f>
        <v>4260.7</v>
      </c>
      <c r="E22" s="4">
        <f>IFERROR(__xludf.DUMMYFUNCTION("GOOGLEFINANCE(""NSE:"" &amp;B22,""PRICE"")"),4309.0)</f>
        <v>4309</v>
      </c>
      <c r="F22" s="4">
        <f>IFERROR(__xludf.DUMMYFUNCTION("GOOGLEFINANCE(""NSE:"" &amp;B22,""CHANGE"")"),48.3)</f>
        <v>48.3</v>
      </c>
      <c r="G22" s="4">
        <f>IFERROR(__xludf.DUMMYFUNCTION("GOOGLEFINANCE(""NSE:"" &amp;B22,""MARKETCAP"")"),8.62957364074E11)</f>
        <v>862957364074</v>
      </c>
      <c r="H22" s="4">
        <f>IFERROR(__xludf.DUMMYFUNCTION("GOOGLEFINANCE(""NSE:"" &amp;B22,""VOLUME"")"),473918.0)</f>
        <v>473918</v>
      </c>
      <c r="I22" s="4">
        <f>IFERROR(__xludf.DUMMYFUNCTION("GOOGLEFINANCE(""NSE:"" &amp;B22,""HIGH52"")"),6246.25)</f>
        <v>6246.25</v>
      </c>
      <c r="J22" s="4">
        <f>IFERROR(__xludf.DUMMYFUNCTION("GOOGLEFINANCE(""NSE:"" &amp;B22,""LOW52"")"),3344.0)</f>
        <v>3344</v>
      </c>
      <c r="K22" s="4">
        <f>IFERROR(__xludf.DUMMYFUNCTION("iferror(GOOGLEFINANCE(""NSE:"" &amp;B22,""SHARES""),0)"),1.99719344E8)</f>
        <v>199719344</v>
      </c>
      <c r="L22" s="4">
        <f>IFERROR(__xludf.DUMMYFUNCTION("GOOGLEFINANCE(""NSE:"" &amp;B22,""EPS"")"),218.69)</f>
        <v>218.69</v>
      </c>
      <c r="M22" s="4">
        <f>IFERROR(__xludf.DUMMYFUNCTION("GOOGLEFINANCE(""NSE:"" &amp;B22,""PE"")"),19.7)</f>
        <v>19.7</v>
      </c>
      <c r="N22" s="4">
        <f t="shared" si="1"/>
        <v>5.076142132</v>
      </c>
      <c r="O22" s="5">
        <f>IFERROR(__xludf.DUMMYFUNCTION("GOOGLEFINANCE(""NSE:"" &amp;B22,""TRADETIME"")"),45870.64583333333)</f>
        <v>45870.64583</v>
      </c>
      <c r="P22" s="4">
        <f>IFERROR(__xludf.DUMMYFUNCTION("GOOGLEFINANCE(""NSE:"" &amp;B22,""DATADELAY"")"),0.0)</f>
        <v>0</v>
      </c>
      <c r="Q22" s="3" t="s">
        <v>40</v>
      </c>
      <c r="R22" s="3" t="s">
        <v>91</v>
      </c>
    </row>
    <row r="23">
      <c r="A23" s="3" t="s">
        <v>92</v>
      </c>
      <c r="B23" s="3" t="s">
        <v>93</v>
      </c>
      <c r="C23" s="4">
        <f>IFERROR(__xludf.DUMMYFUNCTION("GOOGLEFINANCE(""NSE:"" &amp;B23,""PRICEOPEN"")"),680.0)</f>
        <v>680</v>
      </c>
      <c r="D23" s="4">
        <f>IFERROR(__xludf.DUMMYFUNCTION("GOOGLEFINANCE(""NSE:"" &amp;B23,""CLOSEYEST"")"),683.05)</f>
        <v>683.05</v>
      </c>
      <c r="E23" s="4">
        <f>IFERROR(__xludf.DUMMYFUNCTION("GOOGLEFINANCE(""NSE:"" &amp;B23,""PRICE"")"),674.35)</f>
        <v>674.35</v>
      </c>
      <c r="F23" s="4">
        <f>IFERROR(__xludf.DUMMYFUNCTION("GOOGLEFINANCE(""NSE:"" &amp;B23,""CHANGE"")"),-8.7)</f>
        <v>-8.7</v>
      </c>
      <c r="G23" s="4">
        <f>IFERROR(__xludf.DUMMYFUNCTION("GOOGLEFINANCE(""NSE:"" &amp;B23,""MARKETCAP"")"),1.503431792102E12)</f>
        <v>1503431792102</v>
      </c>
      <c r="H23" s="4">
        <f>IFERROR(__xludf.DUMMYFUNCTION("GOOGLEFINANCE(""NSE:"" &amp;B23,""VOLUME"")"),3475656.0)</f>
        <v>3475656</v>
      </c>
      <c r="I23" s="4">
        <f>IFERROR(__xludf.DUMMYFUNCTION("GOOGLEFINANCE(""NSE:"" &amp;B23,""HIGH52"")"),772.65)</f>
        <v>772.65</v>
      </c>
      <c r="J23" s="4">
        <f>IFERROR(__xludf.DUMMYFUNCTION("GOOGLEFINANCE(""NSE:"" &amp;B23,""LOW52"")"),546.45)</f>
        <v>546.45</v>
      </c>
      <c r="K23" s="4">
        <f>IFERROR(__xludf.DUMMYFUNCTION("iferror(GOOGLEFINANCE(""NSE:"" &amp;B23,""SHARES""),0)"),0.0)</f>
        <v>0</v>
      </c>
      <c r="L23" s="4">
        <f>IFERROR(__xludf.DUMMYFUNCTION("GOOGLEFINANCE(""NSE:"" &amp;B23,""EPS"")"),71.91)</f>
        <v>71.91</v>
      </c>
      <c r="M23" s="4">
        <f>IFERROR(__xludf.DUMMYFUNCTION("GOOGLEFINANCE(""NSE:"" &amp;B23,""PE"")"),9.38)</f>
        <v>9.38</v>
      </c>
      <c r="N23" s="4">
        <f t="shared" si="1"/>
        <v>10.66098081</v>
      </c>
      <c r="O23" s="5">
        <f>IFERROR(__xludf.DUMMYFUNCTION("GOOGLEFINANCE(""NSE:"" &amp;B23,""TRADETIME"")"),45870.64583333333)</f>
        <v>45870.64583</v>
      </c>
      <c r="P23" s="4">
        <f>IFERROR(__xludf.DUMMYFUNCTION("GOOGLEFINANCE(""NSE:"" &amp;B23,""DATADELAY"")"),0.0)</f>
        <v>0</v>
      </c>
      <c r="Q23" s="3" t="s">
        <v>20</v>
      </c>
      <c r="R23" s="3" t="s">
        <v>94</v>
      </c>
    </row>
    <row r="24">
      <c r="A24" s="3" t="s">
        <v>95</v>
      </c>
      <c r="B24" s="3" t="s">
        <v>96</v>
      </c>
      <c r="C24" s="4">
        <f>IFERROR(__xludf.DUMMYFUNCTION("GOOGLEFINANCE(""NSE:"" &amp;B24,""PRICEOPEN"")"),2550.0)</f>
        <v>2550</v>
      </c>
      <c r="D24" s="4">
        <f>IFERROR(__xludf.DUMMYFUNCTION("GOOGLEFINANCE(""NSE:"" &amp;B24,""CLOSEYEST"")"),2521.2)</f>
        <v>2521.2</v>
      </c>
      <c r="E24" s="4">
        <f>IFERROR(__xludf.DUMMYFUNCTION("GOOGLEFINANCE(""NSE:"" &amp;B24,""PRICE"")"),2554.0)</f>
        <v>2554</v>
      </c>
      <c r="F24" s="4">
        <f>IFERROR(__xludf.DUMMYFUNCTION("GOOGLEFINANCE(""NSE:"" &amp;B24,""CHANGE"")"),32.8)</f>
        <v>32.8</v>
      </c>
      <c r="G24" s="4">
        <f>IFERROR(__xludf.DUMMYFUNCTION("GOOGLEFINANCE(""NSE:"" &amp;B24,""MARKETCAP"")"),5.991950309699E12)</f>
        <v>5991950309699</v>
      </c>
      <c r="H24" s="4">
        <f>IFERROR(__xludf.DUMMYFUNCTION("GOOGLEFINANCE(""NSE:"" &amp;B24,""VOLUME"")"),4259653.0)</f>
        <v>4259653</v>
      </c>
      <c r="I24" s="4">
        <f>IFERROR(__xludf.DUMMYFUNCTION("GOOGLEFINANCE(""NSE:"" &amp;B24,""HIGH52"")"),3035.0)</f>
        <v>3035</v>
      </c>
      <c r="J24" s="4">
        <f>IFERROR(__xludf.DUMMYFUNCTION("GOOGLEFINANCE(""NSE:"" &amp;B24,""LOW52"")"),2136.0)</f>
        <v>2136</v>
      </c>
      <c r="K24" s="4">
        <f>IFERROR(__xludf.DUMMYFUNCTION("iferror(GOOGLEFINANCE(""NSE:"" &amp;B24,""SHARES""),0)"),2.217767936E9)</f>
        <v>2217767936</v>
      </c>
      <c r="L24" s="4">
        <f>IFERROR(__xludf.DUMMYFUNCTION("GOOGLEFINANCE(""NSE:"" &amp;B24,""EPS"")"),45.32)</f>
        <v>45.32</v>
      </c>
      <c r="M24" s="4">
        <f>IFERROR(__xludf.DUMMYFUNCTION("GOOGLEFINANCE(""NSE:"" &amp;B24,""PE"")"),56.36)</f>
        <v>56.36</v>
      </c>
      <c r="N24" s="4">
        <f t="shared" si="1"/>
        <v>1.77430802</v>
      </c>
      <c r="O24" s="5">
        <f>IFERROR(__xludf.DUMMYFUNCTION("GOOGLEFINANCE(""NSE:"" &amp;B24,""TRADETIME"")"),45870.64583333333)</f>
        <v>45870.64583</v>
      </c>
      <c r="P24" s="4">
        <f>IFERROR(__xludf.DUMMYFUNCTION("GOOGLEFINANCE(""NSE:"" &amp;B24,""DATADELAY"")"),0.0)</f>
        <v>0</v>
      </c>
      <c r="Q24" s="3" t="s">
        <v>97</v>
      </c>
      <c r="R24" s="3" t="s">
        <v>98</v>
      </c>
    </row>
    <row r="25">
      <c r="A25" s="3" t="s">
        <v>99</v>
      </c>
      <c r="B25" s="3" t="s">
        <v>100</v>
      </c>
      <c r="C25" s="4">
        <f>IFERROR(__xludf.DUMMYFUNCTION("GOOGLEFINANCE(""NSE:"" &amp;B25,""PRICEOPEN"")"),1480.4)</f>
        <v>1480.4</v>
      </c>
      <c r="D25" s="4">
        <f>IFERROR(__xludf.DUMMYFUNCTION("GOOGLEFINANCE(""NSE:"" &amp;B25,""CLOSEYEST"")"),1481.4)</f>
        <v>1481.4</v>
      </c>
      <c r="E25" s="4">
        <f>IFERROR(__xludf.DUMMYFUNCTION("GOOGLEFINANCE(""NSE:"" &amp;B25,""PRICE"")"),1470.1)</f>
        <v>1470.1</v>
      </c>
      <c r="F25" s="4">
        <f>IFERROR(__xludf.DUMMYFUNCTION("GOOGLEFINANCE(""NSE:"" &amp;B25,""CHANGE"")"),-11.3)</f>
        <v>-11.3</v>
      </c>
      <c r="G25" s="4">
        <f>IFERROR(__xludf.DUMMYFUNCTION("GOOGLEFINANCE(""NSE:"" &amp;B25,""MARKETCAP"")"),1.20489830611E11)</f>
        <v>120489830611</v>
      </c>
      <c r="H25" s="4">
        <f>IFERROR(__xludf.DUMMYFUNCTION("GOOGLEFINANCE(""NSE:"" &amp;B25,""VOLUME"")"),4416771.0)</f>
        <v>4416771</v>
      </c>
      <c r="I25" s="4">
        <f>IFERROR(__xludf.DUMMYFUNCTION("GOOGLEFINANCE(""NSE:"" &amp;B25,""HIGH52"")"),1500.0)</f>
        <v>1500</v>
      </c>
      <c r="J25" s="4">
        <f>IFERROR(__xludf.DUMMYFUNCTION("GOOGLEFINANCE(""NSE:"" &amp;B25,""LOW52"")"),1153.0)</f>
        <v>1153</v>
      </c>
      <c r="K25" s="4">
        <f>IFERROR(__xludf.DUMMYFUNCTION("iferror(GOOGLEFINANCE(""NSE:"" &amp;B25,""SHARES""),0)"),6.439910912E9)</f>
        <v>6439910912</v>
      </c>
      <c r="L25" s="4">
        <f>IFERROR(__xludf.DUMMYFUNCTION("GOOGLEFINANCE(""NSE:"" &amp;B25,""EPS"")"),73.55)</f>
        <v>73.55</v>
      </c>
      <c r="M25" s="4">
        <f>IFERROR(__xludf.DUMMYFUNCTION("GOOGLEFINANCE(""NSE:"" &amp;B25,""PE"")"),19.99)</f>
        <v>19.99</v>
      </c>
      <c r="N25" s="4">
        <f t="shared" si="1"/>
        <v>5.002501251</v>
      </c>
      <c r="O25" s="5">
        <f>IFERROR(__xludf.DUMMYFUNCTION("GOOGLEFINANCE(""NSE:"" &amp;B25,""TRADETIME"")"),45870.64583333333)</f>
        <v>45870.64583</v>
      </c>
      <c r="P25" s="4">
        <f>IFERROR(__xludf.DUMMYFUNCTION("GOOGLEFINANCE(""NSE:"" &amp;B25,""DATADELAY"")"),0.0)</f>
        <v>0</v>
      </c>
      <c r="Q25" s="3" t="s">
        <v>36</v>
      </c>
      <c r="R25" s="3" t="s">
        <v>101</v>
      </c>
    </row>
    <row r="26">
      <c r="A26" s="3" t="s">
        <v>102</v>
      </c>
      <c r="B26" s="3" t="s">
        <v>103</v>
      </c>
      <c r="C26" s="4">
        <f>IFERROR(__xludf.DUMMYFUNCTION("GOOGLEFINANCE(""NSE:"" &amp;B26,""PRICEOPEN"")"),792.5)</f>
        <v>792.5</v>
      </c>
      <c r="D26" s="4">
        <f>IFERROR(__xludf.DUMMYFUNCTION("GOOGLEFINANCE(""NSE:"" &amp;B26,""CLOSEYEST"")"),798.9)</f>
        <v>798.9</v>
      </c>
      <c r="E26" s="4">
        <f>IFERROR(__xludf.DUMMYFUNCTION("GOOGLEFINANCE(""NSE:"" &amp;B26,""PRICE"")"),783.95)</f>
        <v>783.95</v>
      </c>
      <c r="F26" s="4">
        <f>IFERROR(__xludf.DUMMYFUNCTION("GOOGLEFINANCE(""NSE:"" &amp;B26,""CHANGE"")"),-14.95)</f>
        <v>-14.95</v>
      </c>
      <c r="G26" s="4">
        <f>IFERROR(__xludf.DUMMYFUNCTION("GOOGLEFINANCE(""NSE:"" &amp;B26,""MARKETCAP"")"),6.10289691695E11)</f>
        <v>610289691695</v>
      </c>
      <c r="H26" s="4">
        <f>IFERROR(__xludf.DUMMYFUNCTION("GOOGLEFINANCE(""NSE:"" &amp;B26,""VOLUME"")"),4739250.0)</f>
        <v>4739250</v>
      </c>
      <c r="I26" s="4">
        <f>IFERROR(__xludf.DUMMYFUNCTION("GOOGLEFINANCE(""NSE:"" &amp;B26,""HIGH52"")"),1498.0)</f>
        <v>1498</v>
      </c>
      <c r="J26" s="4">
        <f>IFERROR(__xludf.DUMMYFUNCTION("GOOGLEFINANCE(""NSE:"" &amp;B26,""LOW52"")"),606.0)</f>
        <v>606</v>
      </c>
      <c r="K26" s="4">
        <f>IFERROR(__xludf.DUMMYFUNCTION("iferror(GOOGLEFINANCE(""NSE:"" &amp;B26,""SHARES""),0)"),6.01752832E8)</f>
        <v>601752832</v>
      </c>
      <c r="L26" s="4">
        <f>IFERROR(__xludf.DUMMYFUNCTION("GOOGLEFINANCE(""NSE:"" &amp;B26,""EPS"")"),12.93)</f>
        <v>12.93</v>
      </c>
      <c r="M26" s="4">
        <f>IFERROR(__xludf.DUMMYFUNCTION("GOOGLEFINANCE(""NSE:"" &amp;B26,""PE"")"),60.63)</f>
        <v>60.63</v>
      </c>
      <c r="N26" s="4">
        <f t="shared" si="1"/>
        <v>1.649348507</v>
      </c>
      <c r="O26" s="5">
        <f>IFERROR(__xludf.DUMMYFUNCTION("GOOGLEFINANCE(""NSE:"" &amp;B26,""TRADETIME"")"),45870.64583333333)</f>
        <v>45870.64583</v>
      </c>
      <c r="P26" s="4">
        <f>IFERROR(__xludf.DUMMYFUNCTION("GOOGLEFINANCE(""NSE:"" &amp;B26,""DATADELAY"")"),0.0)</f>
        <v>0</v>
      </c>
      <c r="Q26" s="3" t="s">
        <v>36</v>
      </c>
      <c r="R26" s="3" t="s">
        <v>104</v>
      </c>
    </row>
    <row r="27">
      <c r="A27" s="3" t="s">
        <v>105</v>
      </c>
      <c r="B27" s="3" t="s">
        <v>106</v>
      </c>
      <c r="C27" s="4">
        <f>IFERROR(__xludf.DUMMYFUNCTION("GOOGLEFINANCE(""NSE:"" &amp;B27,""PRICEOPEN"")"),1493.9)</f>
        <v>1493.9</v>
      </c>
      <c r="D27" s="4">
        <f>IFERROR(__xludf.DUMMYFUNCTION("GOOGLEFINANCE(""NSE:"" &amp;B27,""CLOSEYEST"")"),1509.0)</f>
        <v>1509</v>
      </c>
      <c r="E27" s="4">
        <f>IFERROR(__xludf.DUMMYFUNCTION("GOOGLEFINANCE(""NSE:"" &amp;B27,""PRICE"")"),1468.3)</f>
        <v>1468.3</v>
      </c>
      <c r="F27" s="4">
        <f>IFERROR(__xludf.DUMMYFUNCTION("GOOGLEFINANCE(""NSE:"" &amp;B27,""CHANGE"")"),-40.7)</f>
        <v>-40.7</v>
      </c>
      <c r="G27" s="4">
        <f>IFERROR(__xludf.DUMMYFUNCTION("GOOGLEFINANCE(""NSE:"" &amp;B27,""MARKETCAP"")"),7.0095425294E10)</f>
        <v>70095425294</v>
      </c>
      <c r="H27" s="4">
        <f>IFERROR(__xludf.DUMMYFUNCTION("GOOGLEFINANCE(""NSE:"" &amp;B27,""VOLUME"")"),8702978.0)</f>
        <v>8702978</v>
      </c>
      <c r="I27" s="4">
        <f>IFERROR(__xludf.DUMMYFUNCTION("GOOGLEFINANCE(""NSE:"" &amp;B27,""HIGH52"")"),2006.45)</f>
        <v>2006.45</v>
      </c>
      <c r="J27" s="4">
        <f>IFERROR(__xludf.DUMMYFUNCTION("GOOGLEFINANCE(""NSE:"" &amp;B27,""LOW52"")"),1307.0)</f>
        <v>1307</v>
      </c>
      <c r="K27" s="4">
        <f>IFERROR(__xludf.DUMMYFUNCTION("iferror(GOOGLEFINANCE(""NSE:"" &amp;B27,""SHARES""),0)"),4.347717632E9)</f>
        <v>4347717632</v>
      </c>
      <c r="L27" s="4">
        <f>IFERROR(__xludf.DUMMYFUNCTION("GOOGLEFINANCE(""NSE:"" &amp;B27,""EPS"")"),65.68)</f>
        <v>65.68</v>
      </c>
      <c r="M27" s="4">
        <f>IFERROR(__xludf.DUMMYFUNCTION("GOOGLEFINANCE(""NSE:"" &amp;B27,""PE"")"),22.36)</f>
        <v>22.36</v>
      </c>
      <c r="N27" s="4">
        <f t="shared" si="1"/>
        <v>4.472271914</v>
      </c>
      <c r="O27" s="5">
        <f>IFERROR(__xludf.DUMMYFUNCTION("GOOGLEFINANCE(""NSE:"" &amp;B27,""TRADETIME"")"),45870.64583333333)</f>
        <v>45870.64583</v>
      </c>
      <c r="P27" s="4">
        <f>IFERROR(__xludf.DUMMYFUNCTION("GOOGLEFINANCE(""NSE:"" &amp;B27,""DATADELAY"")"),0.0)</f>
        <v>0</v>
      </c>
      <c r="Q27" s="3" t="s">
        <v>54</v>
      </c>
      <c r="R27" s="3" t="s">
        <v>107</v>
      </c>
    </row>
    <row r="28">
      <c r="A28" s="3" t="s">
        <v>108</v>
      </c>
      <c r="B28" s="3" t="s">
        <v>108</v>
      </c>
      <c r="C28" s="4">
        <f>IFERROR(__xludf.DUMMYFUNCTION("GOOGLEFINANCE(""NSE:"" &amp;B28,""PRICEOPEN"")"),412.4)</f>
        <v>412.4</v>
      </c>
      <c r="D28" s="4">
        <f>IFERROR(__xludf.DUMMYFUNCTION("GOOGLEFINANCE(""NSE:"" &amp;B28,""CLOSEYEST"")"),411.95)</f>
        <v>411.95</v>
      </c>
      <c r="E28" s="4">
        <f>IFERROR(__xludf.DUMMYFUNCTION("GOOGLEFINANCE(""NSE:"" &amp;B28,""PRICE"")"),416.6)</f>
        <v>416.6</v>
      </c>
      <c r="F28" s="4">
        <f>IFERROR(__xludf.DUMMYFUNCTION("GOOGLEFINANCE(""NSE:"" &amp;B28,""CHANGE"")"),4.65)</f>
        <v>4.65</v>
      </c>
      <c r="G28" s="4">
        <f>IFERROR(__xludf.DUMMYFUNCTION("GOOGLEFINANCE(""NSE:"" &amp;B28,""MARKETCAP"")"),5.21229758E12)</f>
        <v>5212297580000</v>
      </c>
      <c r="H28" s="4">
        <f>IFERROR(__xludf.DUMMYFUNCTION("GOOGLEFINANCE(""NSE:"" &amp;B28,""VOLUME"")"),1.4324065E7)</f>
        <v>14324065</v>
      </c>
      <c r="I28" s="4">
        <f>IFERROR(__xludf.DUMMYFUNCTION("GOOGLEFINANCE(""NSE:"" &amp;B28,""HIGH52"")"),528.5)</f>
        <v>528.5</v>
      </c>
      <c r="J28" s="4">
        <f>IFERROR(__xludf.DUMMYFUNCTION("GOOGLEFINANCE(""NSE:"" &amp;B28,""LOW52"")"),390.15)</f>
        <v>390.15</v>
      </c>
      <c r="K28" s="4">
        <f>IFERROR(__xludf.DUMMYFUNCTION("iferror(GOOGLEFINANCE(""NSE:"" &amp;B28,""SHARES""),0)"),1.2245059584E10)</f>
        <v>12245059584</v>
      </c>
      <c r="L28" s="4">
        <f>IFERROR(__xludf.DUMMYFUNCTION("GOOGLEFINANCE(""NSE:"" &amp;B28,""EPS"")"),15.76)</f>
        <v>15.76</v>
      </c>
      <c r="M28" s="4">
        <f>IFERROR(__xludf.DUMMYFUNCTION("GOOGLEFINANCE(""NSE:"" &amp;B28,""PE"")"),26.44)</f>
        <v>26.44</v>
      </c>
      <c r="N28" s="4">
        <f t="shared" si="1"/>
        <v>3.78214826</v>
      </c>
      <c r="O28" s="5">
        <f>IFERROR(__xludf.DUMMYFUNCTION("GOOGLEFINANCE(""NSE:"" &amp;B28,""TRADETIME"")"),45870.64583333333)</f>
        <v>45870.64583</v>
      </c>
      <c r="P28" s="4">
        <f>IFERROR(__xludf.DUMMYFUNCTION("GOOGLEFINANCE(""NSE:"" &amp;B28,""DATADELAY"")"),0.0)</f>
        <v>0</v>
      </c>
      <c r="Q28" s="3" t="s">
        <v>97</v>
      </c>
      <c r="R28" s="3" t="s">
        <v>109</v>
      </c>
    </row>
    <row r="29">
      <c r="A29" s="3" t="s">
        <v>110</v>
      </c>
      <c r="B29" s="3" t="s">
        <v>111</v>
      </c>
      <c r="C29" s="4">
        <f>IFERROR(__xludf.DUMMYFUNCTION("GOOGLEFINANCE(""NSE:"" &amp;B29,""PRICEOPEN"")"),1054.0)</f>
        <v>1054</v>
      </c>
      <c r="D29" s="4">
        <f>IFERROR(__xludf.DUMMYFUNCTION("GOOGLEFINANCE(""NSE:"" &amp;B29,""CLOSEYEST"")"),1048.3)</f>
        <v>1048.3</v>
      </c>
      <c r="E29" s="4">
        <f>IFERROR(__xludf.DUMMYFUNCTION("GOOGLEFINANCE(""NSE:"" &amp;B29,""PRICE"")"),1028.0)</f>
        <v>1028</v>
      </c>
      <c r="F29" s="4">
        <f>IFERROR(__xludf.DUMMYFUNCTION("GOOGLEFINANCE(""NSE:"" &amp;B29,""CHANGE"")"),-20.3)</f>
        <v>-20.3</v>
      </c>
      <c r="G29" s="4">
        <f>IFERROR(__xludf.DUMMYFUNCTION("GOOGLEFINANCE(""NSE:"" &amp;B29,""MARKETCAP"")"),2.507930388E12)</f>
        <v>2507930388000</v>
      </c>
      <c r="H29" s="4">
        <f>IFERROR(__xludf.DUMMYFUNCTION("GOOGLEFINANCE(""NSE:"" &amp;B29,""VOLUME"")"),1604653.0)</f>
        <v>1604653</v>
      </c>
      <c r="I29" s="4">
        <f>IFERROR(__xludf.DUMMYFUNCTION("GOOGLEFINANCE(""NSE:"" &amp;B29,""HIGH52"")"),1074.9)</f>
        <v>1074.9</v>
      </c>
      <c r="J29" s="4">
        <f>IFERROR(__xludf.DUMMYFUNCTION("GOOGLEFINANCE(""NSE:"" &amp;B29,""LOW52"")"),854.15)</f>
        <v>854.15</v>
      </c>
      <c r="K29" s="4">
        <f>IFERROR(__xludf.DUMMYFUNCTION("iferror(GOOGLEFINANCE(""NSE:"" &amp;B29,""SHARES""),0)"),0.0)</f>
        <v>0</v>
      </c>
      <c r="L29" s="4">
        <f>IFERROR(__xludf.DUMMYFUNCTION("GOOGLEFINANCE(""NSE:"" &amp;B29,""EPS"")"),19.79)</f>
        <v>19.79</v>
      </c>
      <c r="M29" s="4">
        <f>IFERROR(__xludf.DUMMYFUNCTION("GOOGLEFINANCE(""NSE:"" &amp;B29,""PE"")"),51.95)</f>
        <v>51.95</v>
      </c>
      <c r="N29" s="4">
        <f t="shared" si="1"/>
        <v>1.924927815</v>
      </c>
      <c r="O29" s="5">
        <f>IFERROR(__xludf.DUMMYFUNCTION("GOOGLEFINANCE(""NSE:"" &amp;B29,""TRADETIME"")"),45870.64584490741)</f>
        <v>45870.64584</v>
      </c>
      <c r="P29" s="4">
        <f>IFERROR(__xludf.DUMMYFUNCTION("GOOGLEFINANCE(""NSE:"" &amp;B29,""DATADELAY"")"),0.0)</f>
        <v>0</v>
      </c>
      <c r="Q29" s="3" t="s">
        <v>20</v>
      </c>
      <c r="R29" s="3" t="s">
        <v>112</v>
      </c>
    </row>
    <row r="30">
      <c r="A30" s="3" t="s">
        <v>113</v>
      </c>
      <c r="B30" s="3" t="s">
        <v>114</v>
      </c>
      <c r="C30" s="4">
        <f>IFERROR(__xludf.DUMMYFUNCTION("GOOGLEFINANCE(""NSE:"" &amp;B30,""PRICEOPEN"")"),1983.0)</f>
        <v>1983</v>
      </c>
      <c r="D30" s="4">
        <f>IFERROR(__xludf.DUMMYFUNCTION("GOOGLEFINANCE(""NSE:"" &amp;B30,""CLOSEYEST"")"),1978.6)</f>
        <v>1978.6</v>
      </c>
      <c r="E30" s="4">
        <f>IFERROR(__xludf.DUMMYFUNCTION("GOOGLEFINANCE(""NSE:"" &amp;B30,""PRICE"")"),1995.9)</f>
        <v>1995.9</v>
      </c>
      <c r="F30" s="4">
        <f>IFERROR(__xludf.DUMMYFUNCTION("GOOGLEFINANCE(""NSE:"" &amp;B30,""CHANGE"")"),17.3)</f>
        <v>17.3</v>
      </c>
      <c r="G30" s="4">
        <f>IFERROR(__xludf.DUMMYFUNCTION("GOOGLEFINANCE(""NSE:"" &amp;B30,""MARKETCAP"")"),3.966686728E12)</f>
        <v>3966686728000</v>
      </c>
      <c r="H30" s="4">
        <f>IFERROR(__xludf.DUMMYFUNCTION("GOOGLEFINANCE(""NSE:"" &amp;B30,""VOLUME"")"),2672373.0)</f>
        <v>2672373</v>
      </c>
      <c r="I30" s="4">
        <f>IFERROR(__xludf.DUMMYFUNCTION("GOOGLEFINANCE(""NSE:"" &amp;B30,""HIGH52"")"),2301.9)</f>
        <v>2301.9</v>
      </c>
      <c r="J30" s="4">
        <f>IFERROR(__xludf.DUMMYFUNCTION("GOOGLEFINANCE(""NSE:"" &amp;B30,""LOW52"")"),1679.05)</f>
        <v>1679.05</v>
      </c>
      <c r="K30" s="4">
        <f>IFERROR(__xludf.DUMMYFUNCTION("iferror(GOOGLEFINANCE(""NSE:"" &amp;B30,""SHARES""),0)"),1.90733824E9)</f>
        <v>1907338240</v>
      </c>
      <c r="L30" s="4">
        <f>IFERROR(__xludf.DUMMYFUNCTION("GOOGLEFINANCE(""NSE:"" &amp;B30,""EPS"")"),96.31)</f>
        <v>96.31</v>
      </c>
      <c r="M30" s="4">
        <f>IFERROR(__xludf.DUMMYFUNCTION("GOOGLEFINANCE(""NSE:"" &amp;B30,""PE"")"),20.72)</f>
        <v>20.72</v>
      </c>
      <c r="N30" s="4">
        <f t="shared" si="1"/>
        <v>4.826254826</v>
      </c>
      <c r="O30" s="5">
        <f>IFERROR(__xludf.DUMMYFUNCTION("GOOGLEFINANCE(""NSE:"" &amp;B30,""TRADETIME"")"),45870.64583333333)</f>
        <v>45870.64583</v>
      </c>
      <c r="P30" s="4">
        <f>IFERROR(__xludf.DUMMYFUNCTION("GOOGLEFINANCE(""NSE:"" &amp;B30,""DATADELAY"")"),0.0)</f>
        <v>0</v>
      </c>
      <c r="Q30" s="3" t="s">
        <v>36</v>
      </c>
      <c r="R30" s="3" t="s">
        <v>115</v>
      </c>
    </row>
    <row r="31">
      <c r="A31" s="3" t="s">
        <v>116</v>
      </c>
      <c r="B31" s="3" t="s">
        <v>117</v>
      </c>
      <c r="C31" s="4">
        <f>IFERROR(__xludf.DUMMYFUNCTION("GOOGLEFINANCE(""NSE:"" &amp;B31,""PRICEOPEN"")"),3636.0)</f>
        <v>3636</v>
      </c>
      <c r="D31" s="4">
        <f>IFERROR(__xludf.DUMMYFUNCTION("GOOGLEFINANCE(""NSE:"" &amp;B31,""CLOSEYEST"")"),3636.5)</f>
        <v>3636.5</v>
      </c>
      <c r="E31" s="4">
        <f>IFERROR(__xludf.DUMMYFUNCTION("GOOGLEFINANCE(""NSE:"" &amp;B31,""PRICE"")"),3595.2)</f>
        <v>3595.2</v>
      </c>
      <c r="F31" s="4">
        <f>IFERROR(__xludf.DUMMYFUNCTION("GOOGLEFINANCE(""NSE:"" &amp;B31,""CHANGE"")"),-41.3)</f>
        <v>-41.3</v>
      </c>
      <c r="G31" s="4">
        <f>IFERROR(__xludf.DUMMYFUNCTION("GOOGLEFINANCE(""NSE:"" &amp;B31,""MARKETCAP"")"),4.936185015111E12)</f>
        <v>4936185015111</v>
      </c>
      <c r="H31" s="4">
        <f>IFERROR(__xludf.DUMMYFUNCTION("GOOGLEFINANCE(""NSE:"" &amp;B31,""VOLUME"")"),1205945.0)</f>
        <v>1205945</v>
      </c>
      <c r="I31" s="4">
        <f>IFERROR(__xludf.DUMMYFUNCTION("GOOGLEFINANCE(""NSE:"" &amp;B31,""HIGH52"")"),3963.5)</f>
        <v>3963.5</v>
      </c>
      <c r="J31" s="4">
        <f>IFERROR(__xludf.DUMMYFUNCTION("GOOGLEFINANCE(""NSE:"" &amp;B31,""LOW52"")"),2965.3)</f>
        <v>2965.3</v>
      </c>
      <c r="K31" s="4">
        <f>IFERROR(__xludf.DUMMYFUNCTION("iferror(GOOGLEFINANCE(""NSE:"" &amp;B31,""SHARES""),0)"),1.402220288E9)</f>
        <v>1402220288</v>
      </c>
      <c r="L31" s="4">
        <f>IFERROR(__xludf.DUMMYFUNCTION("GOOGLEFINANCE(""NSE:"" &amp;B31,""EPS"")"),115.33)</f>
        <v>115.33</v>
      </c>
      <c r="M31" s="4">
        <f>IFERROR(__xludf.DUMMYFUNCTION("GOOGLEFINANCE(""NSE:"" &amp;B31,""PE"")"),31.17)</f>
        <v>31.17</v>
      </c>
      <c r="N31" s="4">
        <f t="shared" si="1"/>
        <v>3.208213025</v>
      </c>
      <c r="O31" s="5">
        <f>IFERROR(__xludf.DUMMYFUNCTION("GOOGLEFINANCE(""NSE:"" &amp;B31,""TRADETIME"")"),45870.64583333333)</f>
        <v>45870.64583</v>
      </c>
      <c r="P31" s="4">
        <f>IFERROR(__xludf.DUMMYFUNCTION("GOOGLEFINANCE(""NSE:"" &amp;B31,""DATADELAY"")"),0.0)</f>
        <v>0</v>
      </c>
      <c r="Q31" s="3" t="s">
        <v>118</v>
      </c>
      <c r="R31" s="3" t="s">
        <v>119</v>
      </c>
    </row>
    <row r="32">
      <c r="A32" s="3" t="s">
        <v>120</v>
      </c>
      <c r="B32" s="3" t="s">
        <v>121</v>
      </c>
      <c r="C32" s="4">
        <f>IFERROR(__xludf.DUMMYFUNCTION("GOOGLEFINANCE(""NSE:"" &amp;B32,""PRICEOPEN"")"),3205.0)</f>
        <v>3205</v>
      </c>
      <c r="D32" s="4">
        <f>IFERROR(__xludf.DUMMYFUNCTION("GOOGLEFINANCE(""NSE:"" &amp;B32,""CLOSEYEST"")"),3203.1)</f>
        <v>3203.1</v>
      </c>
      <c r="E32" s="4">
        <f>IFERROR(__xludf.DUMMYFUNCTION("GOOGLEFINANCE(""NSE:"" &amp;B32,""PRICE"")"),3165.0)</f>
        <v>3165</v>
      </c>
      <c r="F32" s="4">
        <f>IFERROR(__xludf.DUMMYFUNCTION("GOOGLEFINANCE(""NSE:"" &amp;B32,""CHANGE"")"),-38.1)</f>
        <v>-38.1</v>
      </c>
      <c r="G32" s="4">
        <f>IFERROR(__xludf.DUMMYFUNCTION("GOOGLEFINANCE(""NSE:"" &amp;B32,""MARKETCAP"")"),3.788577269662E12)</f>
        <v>3788577269662</v>
      </c>
      <c r="H32" s="4">
        <f>IFERROR(__xludf.DUMMYFUNCTION("GOOGLEFINANCE(""NSE:"" &amp;B32,""VOLUME"")"),3781457.0)</f>
        <v>3781457</v>
      </c>
      <c r="I32" s="4">
        <f>IFERROR(__xludf.DUMMYFUNCTION("GOOGLEFINANCE(""NSE:"" &amp;B32,""HIGH52"")"),3303.0)</f>
        <v>3303</v>
      </c>
      <c r="J32" s="4">
        <f>IFERROR(__xludf.DUMMYFUNCTION("GOOGLEFINANCE(""NSE:"" &amp;B32,""LOW52"")"),2425.0)</f>
        <v>2425</v>
      </c>
      <c r="K32" s="4">
        <f>IFERROR(__xludf.DUMMYFUNCTION("iferror(GOOGLEFINANCE(""NSE:"" &amp;B32,""SHARES""),0)"),1.186368512E9)</f>
        <v>1186368512</v>
      </c>
      <c r="L32" s="4">
        <f>IFERROR(__xludf.DUMMYFUNCTION("GOOGLEFINANCE(""NSE:"" &amp;B32,""EPS"")"),122.59)</f>
        <v>122.59</v>
      </c>
      <c r="M32" s="4">
        <f>IFERROR(__xludf.DUMMYFUNCTION("GOOGLEFINANCE(""NSE:"" &amp;B32,""PE"")"),25.82)</f>
        <v>25.82</v>
      </c>
      <c r="N32" s="4">
        <f t="shared" si="1"/>
        <v>3.872966692</v>
      </c>
      <c r="O32" s="5">
        <f>IFERROR(__xludf.DUMMYFUNCTION("GOOGLEFINANCE(""NSE:"" &amp;B32,""TRADETIME"")"),45870.64583333333)</f>
        <v>45870.64583</v>
      </c>
      <c r="P32" s="4">
        <f>IFERROR(__xludf.DUMMYFUNCTION("GOOGLEFINANCE(""NSE:"" &amp;B32,""DATADELAY"")"),0.0)</f>
        <v>0</v>
      </c>
      <c r="Q32" s="3" t="s">
        <v>40</v>
      </c>
      <c r="R32" s="3" t="s">
        <v>122</v>
      </c>
    </row>
    <row r="33">
      <c r="A33" s="3" t="s">
        <v>123</v>
      </c>
      <c r="B33" s="3" t="s">
        <v>124</v>
      </c>
      <c r="C33" s="4">
        <f>IFERROR(__xludf.DUMMYFUNCTION("GOOGLEFINANCE(""NSE:"" &amp;B33,""PRICEOPEN"")"),12521.0)</f>
        <v>12521</v>
      </c>
      <c r="D33" s="4">
        <f>IFERROR(__xludf.DUMMYFUNCTION("GOOGLEFINANCE(""NSE:"" &amp;B33,""CLOSEYEST"")"),12608.0)</f>
        <v>12608</v>
      </c>
      <c r="E33" s="4">
        <f>IFERROR(__xludf.DUMMYFUNCTION("GOOGLEFINANCE(""NSE:"" &amp;B33,""PRICE"")"),12275.0)</f>
        <v>12275</v>
      </c>
      <c r="F33" s="4">
        <f>IFERROR(__xludf.DUMMYFUNCTION("GOOGLEFINANCE(""NSE:"" &amp;B33,""CHANGE"")"),-333.0)</f>
        <v>-333</v>
      </c>
      <c r="G33" s="4">
        <f>IFERROR(__xludf.DUMMYFUNCTION("GOOGLEFINANCE(""NSE:"" &amp;B33,""MARKETCAP"")"),3.867401341497E12)</f>
        <v>3867401341497</v>
      </c>
      <c r="H33" s="4">
        <f>IFERROR(__xludf.DUMMYFUNCTION("GOOGLEFINANCE(""NSE:"" &amp;B33,""VOLUME"")"),346024.0)</f>
        <v>346024</v>
      </c>
      <c r="I33" s="4">
        <f>IFERROR(__xludf.DUMMYFUNCTION("GOOGLEFINANCE(""NSE:"" &amp;B33,""HIGH52"")"),13680.0)</f>
        <v>13680</v>
      </c>
      <c r="J33" s="4">
        <f>IFERROR(__xludf.DUMMYFUNCTION("GOOGLEFINANCE(""NSE:"" &amp;B33,""LOW52"")"),10725.0)</f>
        <v>10725</v>
      </c>
      <c r="K33" s="4">
        <f>IFERROR(__xludf.DUMMYFUNCTION("iferror(GOOGLEFINANCE(""NSE:"" &amp;B33,""SHARES""),0)"),3.02080064E8)</f>
        <v>302080064</v>
      </c>
      <c r="L33" s="4">
        <f>IFERROR(__xludf.DUMMYFUNCTION("GOOGLEFINANCE(""NSE:"" &amp;B33,""EPS"")"),461.2)</f>
        <v>461.2</v>
      </c>
      <c r="M33" s="4">
        <f>IFERROR(__xludf.DUMMYFUNCTION("GOOGLEFINANCE(""NSE:"" &amp;B33,""PE"")"),26.62)</f>
        <v>26.62</v>
      </c>
      <c r="N33" s="4">
        <f t="shared" si="1"/>
        <v>3.756574005</v>
      </c>
      <c r="O33" s="5">
        <f>IFERROR(__xludf.DUMMYFUNCTION("GOOGLEFINANCE(""NSE:"" &amp;B33,""TRADETIME"")"),45870.64587962963)</f>
        <v>45870.64588</v>
      </c>
      <c r="P33" s="4">
        <f>IFERROR(__xludf.DUMMYFUNCTION("GOOGLEFINANCE(""NSE:"" &amp;B33,""DATADELAY"")"),0.0)</f>
        <v>0</v>
      </c>
      <c r="Q33" s="3" t="s">
        <v>40</v>
      </c>
      <c r="R33" s="3" t="s">
        <v>125</v>
      </c>
    </row>
    <row r="34">
      <c r="A34" s="3" t="s">
        <v>126</v>
      </c>
      <c r="B34" s="3" t="s">
        <v>127</v>
      </c>
      <c r="C34" s="4">
        <f>IFERROR(__xludf.DUMMYFUNCTION("GOOGLEFINANCE(""NSE:"" &amp;B34,""PRICEOPEN"")"),2247.7)</f>
        <v>2247.7</v>
      </c>
      <c r="D34" s="4">
        <f>IFERROR(__xludf.DUMMYFUNCTION("GOOGLEFINANCE(""NSE:"" &amp;B34,""CLOSEYEST"")"),2247.7)</f>
        <v>2247.7</v>
      </c>
      <c r="E34" s="4">
        <f>IFERROR(__xludf.DUMMYFUNCTION("GOOGLEFINANCE(""NSE:"" &amp;B34,""PRICE"")"),2274.7)</f>
        <v>2274.7</v>
      </c>
      <c r="F34" s="4">
        <f>IFERROR(__xludf.DUMMYFUNCTION("GOOGLEFINANCE(""NSE:"" &amp;B34,""CHANGE"")"),27.0)</f>
        <v>27</v>
      </c>
      <c r="G34" s="4">
        <f>IFERROR(__xludf.DUMMYFUNCTION("GOOGLEFINANCE(""NSE:"" &amp;B34,""MARKETCAP"")"),2.193578998134E12)</f>
        <v>2193578998134</v>
      </c>
      <c r="H34" s="4">
        <f>IFERROR(__xludf.DUMMYFUNCTION("GOOGLEFINANCE(""NSE:"" &amp;B34,""VOLUME"")"),705012.0)</f>
        <v>705012</v>
      </c>
      <c r="I34" s="4">
        <f>IFERROR(__xludf.DUMMYFUNCTION("GOOGLEFINANCE(""NSE:"" &amp;B34,""HIGH52"")"),2778.0)</f>
        <v>2778</v>
      </c>
      <c r="J34" s="4">
        <f>IFERROR(__xludf.DUMMYFUNCTION("GOOGLEFINANCE(""NSE:"" &amp;B34,""LOW52"")"),2110.0)</f>
        <v>2110</v>
      </c>
      <c r="K34" s="4">
        <f>IFERROR(__xludf.DUMMYFUNCTION("iferror(GOOGLEFINANCE(""NSE:"" &amp;B34,""SHARES""),0)"),9.642E7)</f>
        <v>96420000</v>
      </c>
      <c r="L34" s="4">
        <f>IFERROR(__xludf.DUMMYFUNCTION("GOOGLEFINANCE(""NSE:"" &amp;B34,""EPS"")"),32.24)</f>
        <v>32.24</v>
      </c>
      <c r="M34" s="4">
        <f>IFERROR(__xludf.DUMMYFUNCTION("GOOGLEFINANCE(""NSE:"" &amp;B34,""PE"")"),70.56)</f>
        <v>70.56</v>
      </c>
      <c r="N34" s="4">
        <f t="shared" si="1"/>
        <v>1.41723356</v>
      </c>
      <c r="O34" s="5">
        <f>IFERROR(__xludf.DUMMYFUNCTION("GOOGLEFINANCE(""NSE:"" &amp;B34,""TRADETIME"")"),45870.64583333333)</f>
        <v>45870.64583</v>
      </c>
      <c r="P34" s="4">
        <f>IFERROR(__xludf.DUMMYFUNCTION("GOOGLEFINANCE(""NSE:"" &amp;B34,""DATADELAY"")"),0.0)</f>
        <v>0</v>
      </c>
      <c r="Q34" s="3" t="s">
        <v>97</v>
      </c>
      <c r="R34" s="3" t="s">
        <v>128</v>
      </c>
    </row>
    <row r="35">
      <c r="A35" s="3" t="s">
        <v>129</v>
      </c>
      <c r="B35" s="3" t="s">
        <v>129</v>
      </c>
      <c r="C35" s="4">
        <f>IFERROR(__xludf.DUMMYFUNCTION("GOOGLEFINANCE(""NSE:"" &amp;B35,""PRICEOPEN"")"),333.0)</f>
        <v>333</v>
      </c>
      <c r="D35" s="4">
        <f>IFERROR(__xludf.DUMMYFUNCTION("GOOGLEFINANCE(""NSE:"" &amp;B35,""CLOSEYEST"")"),334.25)</f>
        <v>334.25</v>
      </c>
      <c r="E35" s="4">
        <f>IFERROR(__xludf.DUMMYFUNCTION("GOOGLEFINANCE(""NSE:"" &amp;B35,""PRICE"")"),331.05)</f>
        <v>331.05</v>
      </c>
      <c r="F35" s="4">
        <f>IFERROR(__xludf.DUMMYFUNCTION("GOOGLEFINANCE(""NSE:"" &amp;B35,""CHANGE"")"),-3.2)</f>
        <v>-3.2</v>
      </c>
      <c r="G35" s="4">
        <f>IFERROR(__xludf.DUMMYFUNCTION("GOOGLEFINANCE(""NSE:"" &amp;B35,""MARKETCAP"")"),3.204782885171E12)</f>
        <v>3204782885171</v>
      </c>
      <c r="H35" s="4">
        <f>IFERROR(__xludf.DUMMYFUNCTION("GOOGLEFINANCE(""NSE:"" &amp;B35,""VOLUME"")"),7107542.0)</f>
        <v>7107542</v>
      </c>
      <c r="I35" s="4">
        <f>IFERROR(__xludf.DUMMYFUNCTION("GOOGLEFINANCE(""NSE:"" &amp;B35,""HIGH52"")"),448.45)</f>
        <v>448.45</v>
      </c>
      <c r="J35" s="4">
        <f>IFERROR(__xludf.DUMMYFUNCTION("GOOGLEFINANCE(""NSE:"" &amp;B35,""LOW52"")"),292.8)</f>
        <v>292.8</v>
      </c>
      <c r="K35" s="4">
        <f>IFERROR(__xludf.DUMMYFUNCTION("iferror(GOOGLEFINANCE(""NSE:"" &amp;B35,""SHARES""),0)"),8.245464576E9)</f>
        <v>8245464576</v>
      </c>
      <c r="L35" s="4">
        <f>IFERROR(__xludf.DUMMYFUNCTION("GOOGLEFINANCE(""NSE:"" &amp;B35,""EPS"")"),24.71)</f>
        <v>24.71</v>
      </c>
      <c r="M35" s="4">
        <f>IFERROR(__xludf.DUMMYFUNCTION("GOOGLEFINANCE(""NSE:"" &amp;B35,""PE"")"),13.4)</f>
        <v>13.4</v>
      </c>
      <c r="N35" s="4">
        <f t="shared" si="1"/>
        <v>7.462686567</v>
      </c>
      <c r="O35" s="5">
        <f>IFERROR(__xludf.DUMMYFUNCTION("GOOGLEFINANCE(""NSE:"" &amp;B35,""TRADETIME"")"),45870.64584490741)</f>
        <v>45870.64584</v>
      </c>
      <c r="P35" s="4">
        <f>IFERROR(__xludf.DUMMYFUNCTION("GOOGLEFINANCE(""NSE:"" &amp;B35,""DATADELAY"")"),0.0)</f>
        <v>0</v>
      </c>
      <c r="Q35" s="3" t="s">
        <v>130</v>
      </c>
      <c r="R35" s="3" t="s">
        <v>131</v>
      </c>
    </row>
    <row r="36">
      <c r="A36" s="3" t="s">
        <v>132</v>
      </c>
      <c r="B36" s="3" t="s">
        <v>133</v>
      </c>
      <c r="C36" s="4">
        <f>IFERROR(__xludf.DUMMYFUNCTION("GOOGLEFINANCE(""NSE:"" &amp;B36,""PRICEOPEN"")"),240.1)</f>
        <v>240.1</v>
      </c>
      <c r="D36" s="4">
        <f>IFERROR(__xludf.DUMMYFUNCTION("GOOGLEFINANCE(""NSE:"" &amp;B36,""CLOSEYEST"")"),241.0)</f>
        <v>241</v>
      </c>
      <c r="E36" s="4">
        <f>IFERROR(__xludf.DUMMYFUNCTION("GOOGLEFINANCE(""NSE:"" &amp;B36,""PRICE"")"),236.0)</f>
        <v>236</v>
      </c>
      <c r="F36" s="4">
        <f>IFERROR(__xludf.DUMMYFUNCTION("GOOGLEFINANCE(""NSE:"" &amp;B36,""CHANGE"")"),-5.0)</f>
        <v>-5</v>
      </c>
      <c r="G36" s="4">
        <f>IFERROR(__xludf.DUMMYFUNCTION("GOOGLEFINANCE(""NSE:"" &amp;B36,""MARKETCAP"")"),2.97951623278E12)</f>
        <v>2979516232780</v>
      </c>
      <c r="H36" s="4">
        <f>IFERROR(__xludf.DUMMYFUNCTION("GOOGLEFINANCE(""NSE:"" &amp;B36,""VOLUME"")"),1.2629251E7)</f>
        <v>12629251</v>
      </c>
      <c r="I36" s="4">
        <f>IFERROR(__xludf.DUMMYFUNCTION("GOOGLEFINANCE(""NSE:"" &amp;B36,""HIGH52"")"),345.0)</f>
        <v>345</v>
      </c>
      <c r="J36" s="4">
        <f>IFERROR(__xludf.DUMMYFUNCTION("GOOGLEFINANCE(""NSE:"" &amp;B36,""LOW52"")"),205.0)</f>
        <v>205</v>
      </c>
      <c r="K36" s="4">
        <f>IFERROR(__xludf.DUMMYFUNCTION("iferror(GOOGLEFINANCE(""NSE:"" &amp;B36,""SHARES""),0)"),1.2833240064E10)</f>
        <v>12833240064</v>
      </c>
      <c r="L36" s="4">
        <f>IFERROR(__xludf.DUMMYFUNCTION("GOOGLEFINANCE(""NSE:"" &amp;B36,""EPS"")"),28.8)</f>
        <v>28.8</v>
      </c>
      <c r="M36" s="4">
        <f>IFERROR(__xludf.DUMMYFUNCTION("GOOGLEFINANCE(""NSE:"" &amp;B36,""PE"")"),8.19)</f>
        <v>8.19</v>
      </c>
      <c r="N36" s="4">
        <f t="shared" si="1"/>
        <v>12.21001221</v>
      </c>
      <c r="O36" s="5">
        <f>IFERROR(__xludf.DUMMYFUNCTION("GOOGLEFINANCE(""NSE:"" &amp;B36,""TRADETIME"")"),45870.64584490741)</f>
        <v>45870.64584</v>
      </c>
      <c r="P36" s="4">
        <f>IFERROR(__xludf.DUMMYFUNCTION("GOOGLEFINANCE(""NSE:"" &amp;B36,""DATADELAY"")"),0.0)</f>
        <v>0</v>
      </c>
      <c r="Q36" s="3" t="s">
        <v>68</v>
      </c>
      <c r="R36" s="3" t="s">
        <v>134</v>
      </c>
    </row>
    <row r="37">
      <c r="A37" s="3" t="s">
        <v>135</v>
      </c>
      <c r="B37" s="3" t="s">
        <v>136</v>
      </c>
      <c r="C37" s="4">
        <f>IFERROR(__xludf.DUMMYFUNCTION("GOOGLEFINANCE(""NSE:"" &amp;B37,""PRICEOPEN"")"),291.65)</f>
        <v>291.65</v>
      </c>
      <c r="D37" s="4">
        <f>IFERROR(__xludf.DUMMYFUNCTION("GOOGLEFINANCE(""NSE:"" &amp;B37,""CLOSEYEST"")"),291.0)</f>
        <v>291</v>
      </c>
      <c r="E37" s="4">
        <f>IFERROR(__xludf.DUMMYFUNCTION("GOOGLEFINANCE(""NSE:"" &amp;B37,""PRICE"")"),290.5)</f>
        <v>290.5</v>
      </c>
      <c r="F37" s="4">
        <f>IFERROR(__xludf.DUMMYFUNCTION("GOOGLEFINANCE(""NSE:"" &amp;B37,""CHANGE"")"),-0.5)</f>
        <v>-0.5</v>
      </c>
      <c r="G37" s="4">
        <f>IFERROR(__xludf.DUMMYFUNCTION("GOOGLEFINANCE(""NSE:"" &amp;B37,""MARKETCAP"")"),2.701825462E12)</f>
        <v>2701825462000</v>
      </c>
      <c r="H37" s="4">
        <f>IFERROR(__xludf.DUMMYFUNCTION("GOOGLEFINANCE(""NSE:"" &amp;B37,""VOLUME"")"),6697683.0)</f>
        <v>6697683</v>
      </c>
      <c r="I37" s="4">
        <f>IFERROR(__xludf.DUMMYFUNCTION("GOOGLEFINANCE(""NSE:"" &amp;B37,""HIGH52"")"),366.25)</f>
        <v>366.25</v>
      </c>
      <c r="J37" s="4">
        <f>IFERROR(__xludf.DUMMYFUNCTION("GOOGLEFINANCE(""NSE:"" &amp;B37,""LOW52"")"),247.3)</f>
        <v>247.3</v>
      </c>
      <c r="K37" s="4">
        <f>IFERROR(__xludf.DUMMYFUNCTION("iferror(GOOGLEFINANCE(""NSE:"" &amp;B37,""SHARES""),0)"),5.231589888E9)</f>
        <v>5231589888</v>
      </c>
      <c r="L37" s="4">
        <f>IFERROR(__xludf.DUMMYFUNCTION("GOOGLEFINANCE(""NSE:"" &amp;B37,""EPS"")"),16.39)</f>
        <v>16.39</v>
      </c>
      <c r="M37" s="4">
        <f>IFERROR(__xludf.DUMMYFUNCTION("GOOGLEFINANCE(""NSE:"" &amp;B37,""PE"")"),17.72)</f>
        <v>17.72</v>
      </c>
      <c r="N37" s="4">
        <f t="shared" si="1"/>
        <v>5.643340858</v>
      </c>
      <c r="O37" s="5">
        <f>IFERROR(__xludf.DUMMYFUNCTION("GOOGLEFINANCE(""NSE:"" &amp;B37,""TRADETIME"")"),45870.64586805555)</f>
        <v>45870.64587</v>
      </c>
      <c r="P37" s="4">
        <f>IFERROR(__xludf.DUMMYFUNCTION("GOOGLEFINANCE(""NSE:"" &amp;B37,""DATADELAY"")"),0.0)</f>
        <v>0</v>
      </c>
      <c r="Q37" s="3" t="s">
        <v>130</v>
      </c>
      <c r="R37" s="3" t="s">
        <v>137</v>
      </c>
    </row>
    <row r="38">
      <c r="A38" s="3" t="s">
        <v>138</v>
      </c>
      <c r="B38" s="3" t="s">
        <v>139</v>
      </c>
      <c r="C38" s="4">
        <f>IFERROR(__xludf.DUMMYFUNCTION("GOOGLEFINANCE(""NSE:"" &amp;B38,""PRICEOPEN"")"),1386.9)</f>
        <v>1386.9</v>
      </c>
      <c r="D38" s="4">
        <f>IFERROR(__xludf.DUMMYFUNCTION("GOOGLEFINANCE(""NSE:"" &amp;B38,""CLOSEYEST"")"),1390.2)</f>
        <v>1390.2</v>
      </c>
      <c r="E38" s="4">
        <f>IFERROR(__xludf.DUMMYFUNCTION("GOOGLEFINANCE(""NSE:"" &amp;B38,""PRICE"")"),1394.1)</f>
        <v>1394.1</v>
      </c>
      <c r="F38" s="4">
        <f>IFERROR(__xludf.DUMMYFUNCTION("GOOGLEFINANCE(""NSE:"" &amp;B38,""CHANGE"")"),3.9)</f>
        <v>3.9</v>
      </c>
      <c r="G38" s="4">
        <f>IFERROR(__xludf.DUMMYFUNCTION("GOOGLEFINANCE(""NSE:"" &amp;B38,""MARKETCAP"")"),1.8853428757712E13)</f>
        <v>18853428757712</v>
      </c>
      <c r="H38" s="4">
        <f>IFERROR(__xludf.DUMMYFUNCTION("GOOGLEFINANCE(""NSE:"" &amp;B38,""VOLUME"")"),1.0321171E7)</f>
        <v>10321171</v>
      </c>
      <c r="I38" s="4">
        <f>IFERROR(__xludf.DUMMYFUNCTION("GOOGLEFINANCE(""NSE:"" &amp;B38,""HIGH52"")"),1551.0)</f>
        <v>1551</v>
      </c>
      <c r="J38" s="4">
        <f>IFERROR(__xludf.DUMMYFUNCTION("GOOGLEFINANCE(""NSE:"" &amp;B38,""LOW52"")"),1114.85)</f>
        <v>1114.85</v>
      </c>
      <c r="K38" s="4">
        <f>IFERROR(__xludf.DUMMYFUNCTION("iferror(GOOGLEFINANCE(""NSE:"" &amp;B38,""SHARES""),0)"),6.338512384E9)</f>
        <v>6338512384</v>
      </c>
      <c r="L38" s="4">
        <f>IFERROR(__xludf.DUMMYFUNCTION("GOOGLEFINANCE(""NSE:"" &amp;B38,""EPS"")"),60.23)</f>
        <v>60.23</v>
      </c>
      <c r="M38" s="4">
        <f>IFERROR(__xludf.DUMMYFUNCTION("GOOGLEFINANCE(""NSE:"" &amp;B38,""PE"")"),23.15)</f>
        <v>23.15</v>
      </c>
      <c r="N38" s="4">
        <f t="shared" si="1"/>
        <v>4.319654428</v>
      </c>
      <c r="O38" s="5">
        <f>IFERROR(__xludf.DUMMYFUNCTION("GOOGLEFINANCE(""NSE:"" &amp;B38,""TRADETIME"")"),45870.64583333333)</f>
        <v>45870.64583</v>
      </c>
      <c r="P38" s="4">
        <f>IFERROR(__xludf.DUMMYFUNCTION("GOOGLEFINANCE(""NSE:"" &amp;B38,""DATADELAY"")"),0.0)</f>
        <v>0</v>
      </c>
      <c r="Q38" s="3" t="s">
        <v>68</v>
      </c>
      <c r="R38" s="3" t="s">
        <v>140</v>
      </c>
    </row>
    <row r="39">
      <c r="A39" s="3" t="s">
        <v>141</v>
      </c>
      <c r="B39" s="3" t="s">
        <v>142</v>
      </c>
      <c r="C39" s="4">
        <f>IFERROR(__xludf.DUMMYFUNCTION("GOOGLEFINANCE(""NSE:"" &amp;B39,""PRICEOPEN"")"),1840.0)</f>
        <v>1840</v>
      </c>
      <c r="D39" s="4">
        <f>IFERROR(__xludf.DUMMYFUNCTION("GOOGLEFINANCE(""NSE:"" &amp;B39,""CLOSEYEST"")"),1840.7)</f>
        <v>1840.7</v>
      </c>
      <c r="E39" s="4">
        <f>IFERROR(__xludf.DUMMYFUNCTION("GOOGLEFINANCE(""NSE:"" &amp;B39,""PRICE"")"),1801.4)</f>
        <v>1801.4</v>
      </c>
      <c r="F39" s="4">
        <f>IFERROR(__xludf.DUMMYFUNCTION("GOOGLEFINANCE(""NSE:"" &amp;B39,""CHANGE"")"),-39.3)</f>
        <v>-39.3</v>
      </c>
      <c r="G39" s="4">
        <f>IFERROR(__xludf.DUMMYFUNCTION("GOOGLEFINANCE(""NSE:"" &amp;B39,""MARKETCAP"")"),1.803787713E12)</f>
        <v>1803787713000</v>
      </c>
      <c r="H39" s="4">
        <f>IFERROR(__xludf.DUMMYFUNCTION("GOOGLEFINANCE(""NSE:"" &amp;B39,""VOLUME"")"),559870.0)</f>
        <v>559870</v>
      </c>
      <c r="I39" s="4">
        <f>IFERROR(__xludf.DUMMYFUNCTION("GOOGLEFINANCE(""NSE:"" &amp;B39,""HIGH52"")"),1936.0)</f>
        <v>1936</v>
      </c>
      <c r="J39" s="4">
        <f>IFERROR(__xludf.DUMMYFUNCTION("GOOGLEFINANCE(""NSE:"" &amp;B39,""LOW52"")"),1372.55)</f>
        <v>1372.55</v>
      </c>
      <c r="K39" s="4">
        <f>IFERROR(__xludf.DUMMYFUNCTION("iferror(GOOGLEFINANCE(""NSE:"" &amp;B39,""SHARES""),0)"),1.0E9)</f>
        <v>1000000000</v>
      </c>
      <c r="L39" s="4">
        <f>IFERROR(__xludf.DUMMYFUNCTION("GOOGLEFINANCE(""NSE:"" &amp;B39,""EPS"")"),24.81)</f>
        <v>24.81</v>
      </c>
      <c r="M39" s="4">
        <f>IFERROR(__xludf.DUMMYFUNCTION("GOOGLEFINANCE(""NSE:"" &amp;B39,""PE"")"),72.61)</f>
        <v>72.61</v>
      </c>
      <c r="N39" s="4">
        <f t="shared" si="1"/>
        <v>1.377220768</v>
      </c>
      <c r="O39" s="5">
        <f>IFERROR(__xludf.DUMMYFUNCTION("GOOGLEFINANCE(""NSE:"" &amp;B39,""TRADETIME"")"),45870.64583333333)</f>
        <v>45870.64583</v>
      </c>
      <c r="P39" s="4">
        <f>IFERROR(__xludf.DUMMYFUNCTION("GOOGLEFINANCE(""NSE:"" &amp;B39,""DATADELAY"")"),0.0)</f>
        <v>0</v>
      </c>
      <c r="Q39" s="3" t="s">
        <v>36</v>
      </c>
      <c r="R39" s="3" t="s">
        <v>143</v>
      </c>
    </row>
    <row r="40">
      <c r="A40" s="3" t="s">
        <v>144</v>
      </c>
      <c r="B40" s="3" t="s">
        <v>145</v>
      </c>
      <c r="C40" s="4">
        <f>IFERROR(__xludf.DUMMYFUNCTION("GOOGLEFINANCE(""NSE:"" &amp;B40,""PRICEOPEN"")"),630.0)</f>
        <v>630</v>
      </c>
      <c r="D40" s="4">
        <f>IFERROR(__xludf.DUMMYFUNCTION("GOOGLEFINANCE(""NSE:"" &amp;B40,""CLOSEYEST"")"),630.85)</f>
        <v>630.85</v>
      </c>
      <c r="E40" s="4">
        <f>IFERROR(__xludf.DUMMYFUNCTION("GOOGLEFINANCE(""NSE:"" &amp;B40,""PRICE"")"),615.65)</f>
        <v>615.65</v>
      </c>
      <c r="F40" s="4">
        <f>IFERROR(__xludf.DUMMYFUNCTION("GOOGLEFINANCE(""NSE:"" &amp;B40,""CHANGE"")"),-15.2)</f>
        <v>-15.2</v>
      </c>
      <c r="G40" s="4">
        <f>IFERROR(__xludf.DUMMYFUNCTION("GOOGLEFINANCE(""NSE:"" &amp;B40,""MARKETCAP"")"),1.15475253075E12)</f>
        <v>1154752530750</v>
      </c>
      <c r="H40" s="4">
        <f>IFERROR(__xludf.DUMMYFUNCTION("GOOGLEFINANCE(""NSE:"" &amp;B40,""VOLUME"")"),3528632.0)</f>
        <v>3528632</v>
      </c>
      <c r="I40" s="4">
        <f>IFERROR(__xludf.DUMMYFUNCTION("GOOGLEFINANCE(""NSE:"" &amp;B40,""HIGH52"")"),730.45)</f>
        <v>730.45</v>
      </c>
      <c r="J40" s="4">
        <f>IFERROR(__xludf.DUMMYFUNCTION("GOOGLEFINANCE(""NSE:"" &amp;B40,""LOW52"")"),493.35)</f>
        <v>493.35</v>
      </c>
      <c r="K40" s="4">
        <f>IFERROR(__xludf.DUMMYFUNCTION("iferror(GOOGLEFINANCE(""NSE:"" &amp;B40,""SHARES""),0)"),0.0)</f>
        <v>0</v>
      </c>
      <c r="L40" s="4">
        <f>IFERROR(__xludf.DUMMYFUNCTION("GOOGLEFINANCE(""NSE:"" &amp;B40,""EPS"")"),51.15)</f>
        <v>51.15</v>
      </c>
      <c r="M40" s="4">
        <f>IFERROR(__xludf.DUMMYFUNCTION("GOOGLEFINANCE(""NSE:"" &amp;B40,""PE"")"),12.04)</f>
        <v>12.04</v>
      </c>
      <c r="N40" s="4">
        <f t="shared" si="1"/>
        <v>8.305647841</v>
      </c>
      <c r="O40" s="5">
        <f>IFERROR(__xludf.DUMMYFUNCTION("GOOGLEFINANCE(""NSE:"" &amp;B40,""TRADETIME"")"),45870.64583333333)</f>
        <v>45870.64583</v>
      </c>
      <c r="P40" s="4">
        <f>IFERROR(__xludf.DUMMYFUNCTION("GOOGLEFINANCE(""NSE:"" &amp;B40,""DATADELAY"")"),0.0)</f>
        <v>0</v>
      </c>
      <c r="Q40" s="3" t="s">
        <v>36</v>
      </c>
      <c r="R40" s="3" t="s">
        <v>146</v>
      </c>
    </row>
    <row r="41">
      <c r="A41" s="3" t="s">
        <v>147</v>
      </c>
      <c r="B41" s="3" t="s">
        <v>148</v>
      </c>
      <c r="C41" s="4">
        <f>IFERROR(__xludf.DUMMYFUNCTION("GOOGLEFINANCE(""NSE:"" &amp;B41,""PRICEOPEN"")"),795.7)</f>
        <v>795.7</v>
      </c>
      <c r="D41" s="4">
        <f>IFERROR(__xludf.DUMMYFUNCTION("GOOGLEFINANCE(""NSE:"" &amp;B41,""CLOSEYEST"")"),796.55)</f>
        <v>796.55</v>
      </c>
      <c r="E41" s="4">
        <f>IFERROR(__xludf.DUMMYFUNCTION("GOOGLEFINANCE(""NSE:"" &amp;B41,""PRICE"")"),792.95)</f>
        <v>792.95</v>
      </c>
      <c r="F41" s="4">
        <f>IFERROR(__xludf.DUMMYFUNCTION("GOOGLEFINANCE(""NSE:"" &amp;B41,""CHANGE"")"),-3.6)</f>
        <v>-3.6</v>
      </c>
      <c r="G41" s="4">
        <f>IFERROR(__xludf.DUMMYFUNCTION("GOOGLEFINANCE(""NSE:"" &amp;B41,""MARKETCAP"")"),7.085702157943E12)</f>
        <v>7085702157943</v>
      </c>
      <c r="H41" s="4">
        <f>IFERROR(__xludf.DUMMYFUNCTION("GOOGLEFINANCE(""NSE:"" &amp;B41,""VOLUME"")"),1.5468391E7)</f>
        <v>15468391</v>
      </c>
      <c r="I41" s="4">
        <f>IFERROR(__xludf.DUMMYFUNCTION("GOOGLEFINANCE(""NSE:"" &amp;B41,""HIGH52"")"),881.4)</f>
        <v>881.4</v>
      </c>
      <c r="J41" s="4">
        <f>IFERROR(__xludf.DUMMYFUNCTION("GOOGLEFINANCE(""NSE:"" &amp;B41,""LOW52"")"),680.0)</f>
        <v>680</v>
      </c>
      <c r="K41" s="4">
        <f>IFERROR(__xludf.DUMMYFUNCTION("iferror(GOOGLEFINANCE(""NSE:"" &amp;B41,""SHARES""),0)"),8.92460032E9)</f>
        <v>8924600320</v>
      </c>
      <c r="L41" s="4">
        <f>IFERROR(__xludf.DUMMYFUNCTION("GOOGLEFINANCE(""NSE:"" &amp;B41,""EPS"")"),86.91)</f>
        <v>86.91</v>
      </c>
      <c r="M41" s="4">
        <f>IFERROR(__xludf.DUMMYFUNCTION("GOOGLEFINANCE(""NSE:"" &amp;B41,""PE"")"),9.12)</f>
        <v>9.12</v>
      </c>
      <c r="N41" s="4">
        <f t="shared" si="1"/>
        <v>10.96491228</v>
      </c>
      <c r="O41" s="5">
        <f>IFERROR(__xludf.DUMMYFUNCTION("GOOGLEFINANCE(""NSE:"" &amp;B41,""TRADETIME"")"),45870.64583333333)</f>
        <v>45870.64583</v>
      </c>
      <c r="P41" s="4">
        <f>IFERROR(__xludf.DUMMYFUNCTION("GOOGLEFINANCE(""NSE:"" &amp;B41,""DATADELAY"")"),0.0)</f>
        <v>0</v>
      </c>
      <c r="Q41" s="3" t="s">
        <v>36</v>
      </c>
      <c r="R41" s="3" t="s">
        <v>149</v>
      </c>
    </row>
    <row r="42">
      <c r="A42" s="3" t="s">
        <v>150</v>
      </c>
      <c r="B42" s="3" t="s">
        <v>151</v>
      </c>
      <c r="C42" s="4">
        <f>IFERROR(__xludf.DUMMYFUNCTION("GOOGLEFINANCE(""NSE:"" &amp;B42,""PRICEOPEN"")"),1690.0)</f>
        <v>1690</v>
      </c>
      <c r="D42" s="4">
        <f>IFERROR(__xludf.DUMMYFUNCTION("GOOGLEFINANCE(""NSE:"" &amp;B42,""CLOSEYEST"")"),1706.7)</f>
        <v>1706.7</v>
      </c>
      <c r="E42" s="4">
        <f>IFERROR(__xludf.DUMMYFUNCTION("GOOGLEFINANCE(""NSE:"" &amp;B42,""PRICE"")"),1629.3)</f>
        <v>1629.3</v>
      </c>
      <c r="F42" s="4">
        <f>IFERROR(__xludf.DUMMYFUNCTION("GOOGLEFINANCE(""NSE:"" &amp;B42,""CHANGE"")"),-77.4)</f>
        <v>-77.4</v>
      </c>
      <c r="G42" s="4">
        <f>IFERROR(__xludf.DUMMYFUNCTION("GOOGLEFINANCE(""NSE:"" &amp;B42,""MARKETCAP"")"),3.907006119806E12)</f>
        <v>3907006119806</v>
      </c>
      <c r="H42" s="4">
        <f>IFERROR(__xludf.DUMMYFUNCTION("GOOGLEFINANCE(""NSE:"" &amp;B42,""VOLUME"")"),8774548.0)</f>
        <v>8774548</v>
      </c>
      <c r="I42" s="4">
        <f>IFERROR(__xludf.DUMMYFUNCTION("GOOGLEFINANCE(""NSE:"" &amp;B42,""HIGH52"")"),1960.35)</f>
        <v>1960.35</v>
      </c>
      <c r="J42" s="4">
        <f>IFERROR(__xludf.DUMMYFUNCTION("GOOGLEFINANCE(""NSE:"" &amp;B42,""LOW52"")"),1553.05)</f>
        <v>1553.05</v>
      </c>
      <c r="K42" s="4">
        <f>IFERROR(__xludf.DUMMYFUNCTION("iferror(GOOGLEFINANCE(""NSE:"" &amp;B42,""SHARES""),0)"),0.0)</f>
        <v>0</v>
      </c>
      <c r="L42" s="4">
        <f>IFERROR(__xludf.DUMMYFUNCTION("GOOGLEFINANCE(""NSE:"" &amp;B42,""EPS"")"),45.55)</f>
        <v>45.55</v>
      </c>
      <c r="M42" s="4">
        <f>IFERROR(__xludf.DUMMYFUNCTION("GOOGLEFINANCE(""NSE:"" &amp;B42,""PE"")"),35.77)</f>
        <v>35.77</v>
      </c>
      <c r="N42" s="4">
        <f t="shared" si="1"/>
        <v>2.795638803</v>
      </c>
      <c r="O42" s="5">
        <f>IFERROR(__xludf.DUMMYFUNCTION("GOOGLEFINANCE(""NSE:"" &amp;B42,""TRADETIME"")"),45870.64583333333)</f>
        <v>45870.64583</v>
      </c>
      <c r="P42" s="4">
        <f>IFERROR(__xludf.DUMMYFUNCTION("GOOGLEFINANCE(""NSE:"" &amp;B42,""DATADELAY"")"),0.0)</f>
        <v>0</v>
      </c>
      <c r="Q42" s="3" t="s">
        <v>28</v>
      </c>
      <c r="R42" s="3" t="s">
        <v>152</v>
      </c>
    </row>
    <row r="43">
      <c r="A43" s="3" t="s">
        <v>153</v>
      </c>
      <c r="B43" s="3" t="s">
        <v>154</v>
      </c>
      <c r="C43" s="4">
        <f>IFERROR(__xludf.DUMMYFUNCTION("GOOGLEFINANCE(""NSE:"" &amp;B43,""PRICEOPEN"")"),3029.9)</f>
        <v>3029.9</v>
      </c>
      <c r="D43" s="4">
        <f>IFERROR(__xludf.DUMMYFUNCTION("GOOGLEFINANCE(""NSE:"" &amp;B43,""CLOSEYEST"")"),3036.8)</f>
        <v>3036.8</v>
      </c>
      <c r="E43" s="4">
        <f>IFERROR(__xludf.DUMMYFUNCTION("GOOGLEFINANCE(""NSE:"" &amp;B43,""PRICE"")"),3001.1)</f>
        <v>3001.1</v>
      </c>
      <c r="F43" s="4">
        <f>IFERROR(__xludf.DUMMYFUNCTION("GOOGLEFINANCE(""NSE:"" &amp;B43,""CHANGE"")"),-35.7)</f>
        <v>-35.7</v>
      </c>
      <c r="G43" s="4">
        <f>IFERROR(__xludf.DUMMYFUNCTION("GOOGLEFINANCE(""NSE:"" &amp;B43,""MARKETCAP"")"),1.0862023857916E13)</f>
        <v>10862023857916</v>
      </c>
      <c r="H43" s="4">
        <f>IFERROR(__xludf.DUMMYFUNCTION("GOOGLEFINANCE(""NSE:"" &amp;B43,""VOLUME"")"),2053847.0)</f>
        <v>2053847</v>
      </c>
      <c r="I43" s="4">
        <f>IFERROR(__xludf.DUMMYFUNCTION("GOOGLEFINANCE(""NSE:"" &amp;B43,""HIGH52"")"),4592.25)</f>
        <v>4592.25</v>
      </c>
      <c r="J43" s="4">
        <f>IFERROR(__xludf.DUMMYFUNCTION("GOOGLEFINANCE(""NSE:"" &amp;B43,""LOW52"")"),3000.0)</f>
        <v>3000</v>
      </c>
      <c r="K43" s="4">
        <f>IFERROR(__xludf.DUMMYFUNCTION("iferror(GOOGLEFINANCE(""NSE:"" &amp;B43,""SHARES""),0)"),3.752384512E9)</f>
        <v>3752384512</v>
      </c>
      <c r="L43" s="4">
        <f>IFERROR(__xludf.DUMMYFUNCTION("GOOGLEFINANCE(""NSE:"" &amp;B43,""EPS"")"),136.19)</f>
        <v>136.19</v>
      </c>
      <c r="M43" s="4">
        <f>IFERROR(__xludf.DUMMYFUNCTION("GOOGLEFINANCE(""NSE:"" &amp;B43,""PE"")"),22.04)</f>
        <v>22.04</v>
      </c>
      <c r="N43" s="4">
        <f t="shared" si="1"/>
        <v>4.537205082</v>
      </c>
      <c r="O43" s="5">
        <f>IFERROR(__xludf.DUMMYFUNCTION("GOOGLEFINANCE(""NSE:"" &amp;B43,""TRADETIME"")"),45870.64583333333)</f>
        <v>45870.64583</v>
      </c>
      <c r="P43" s="4">
        <f>IFERROR(__xludf.DUMMYFUNCTION("GOOGLEFINANCE(""NSE:"" &amp;B43,""DATADELAY"")"),0.0)</f>
        <v>0</v>
      </c>
      <c r="Q43" s="3" t="s">
        <v>54</v>
      </c>
      <c r="R43" s="3" t="s">
        <v>155</v>
      </c>
    </row>
    <row r="44">
      <c r="A44" s="3" t="s">
        <v>156</v>
      </c>
      <c r="B44" s="3" t="s">
        <v>157</v>
      </c>
      <c r="C44" s="4">
        <f>IFERROR(__xludf.DUMMYFUNCTION("GOOGLEFINANCE(""NSE:"" &amp;B44,""PRICEOPEN"")"),1067.1)</f>
        <v>1067.1</v>
      </c>
      <c r="D44" s="4">
        <f>IFERROR(__xludf.DUMMYFUNCTION("GOOGLEFINANCE(""NSE:"" &amp;B44,""CLOSEYEST"")"),1073.2)</f>
        <v>1073.2</v>
      </c>
      <c r="E44" s="4">
        <f>IFERROR(__xludf.DUMMYFUNCTION("GOOGLEFINANCE(""NSE:"" &amp;B44,""PRICE"")"),1069.0)</f>
        <v>1069</v>
      </c>
      <c r="F44" s="4">
        <f>IFERROR(__xludf.DUMMYFUNCTION("GOOGLEFINANCE(""NSE:"" &amp;B44,""CHANGE"")"),-4.2)</f>
        <v>-4.2</v>
      </c>
      <c r="G44" s="4">
        <f>IFERROR(__xludf.DUMMYFUNCTION("GOOGLEFINANCE(""NSE:"" &amp;B44,""MARKETCAP"")"),1.0578119529E12)</f>
        <v>1057811952900</v>
      </c>
      <c r="H44" s="4">
        <f>IFERROR(__xludf.DUMMYFUNCTION("GOOGLEFINANCE(""NSE:"" &amp;B44,""VOLUME"")"),1040166.0)</f>
        <v>1040166</v>
      </c>
      <c r="I44" s="4">
        <f>IFERROR(__xludf.DUMMYFUNCTION("GOOGLEFINANCE(""NSE:"" &amp;B44,""HIGH52"")"),1234.3)</f>
        <v>1234.3</v>
      </c>
      <c r="J44" s="4">
        <f>IFERROR(__xludf.DUMMYFUNCTION("GOOGLEFINANCE(""NSE:"" &amp;B44,""LOW52"")"),882.9)</f>
        <v>882.9</v>
      </c>
      <c r="K44" s="4">
        <f>IFERROR(__xludf.DUMMYFUNCTION("iferror(GOOGLEFINANCE(""NSE:"" &amp;B44,""SHARES""),0)"),0.0)</f>
        <v>0</v>
      </c>
      <c r="L44" s="4">
        <f>IFERROR(__xludf.DUMMYFUNCTION("GOOGLEFINANCE(""NSE:"" &amp;B44,""EPS"")"),13.36)</f>
        <v>13.36</v>
      </c>
      <c r="M44" s="4">
        <f>IFERROR(__xludf.DUMMYFUNCTION("GOOGLEFINANCE(""NSE:"" &amp;B44,""PE"")"),80.04)</f>
        <v>80.04</v>
      </c>
      <c r="N44" s="4">
        <f t="shared" si="1"/>
        <v>1.249375312</v>
      </c>
      <c r="O44" s="5">
        <f>IFERROR(__xludf.DUMMYFUNCTION("GOOGLEFINANCE(""NSE:"" &amp;B44,""TRADETIME"")"),45870.64584490741)</f>
        <v>45870.64584</v>
      </c>
      <c r="P44" s="4">
        <f>IFERROR(__xludf.DUMMYFUNCTION("GOOGLEFINANCE(""NSE:"" &amp;B44,""DATADELAY"")"),0.0)</f>
        <v>0</v>
      </c>
      <c r="Q44" s="3" t="s">
        <v>97</v>
      </c>
      <c r="R44" s="3" t="s">
        <v>158</v>
      </c>
    </row>
    <row r="45">
      <c r="A45" s="3" t="s">
        <v>159</v>
      </c>
      <c r="B45" s="3" t="s">
        <v>160</v>
      </c>
      <c r="C45" s="4">
        <f>IFERROR(__xludf.DUMMYFUNCTION("GOOGLEFINANCE(""NSE:"" &amp;B45,""PRICEOPEN"")"),667.95)</f>
        <v>667.95</v>
      </c>
      <c r="D45" s="4">
        <f>IFERROR(__xludf.DUMMYFUNCTION("GOOGLEFINANCE(""NSE:"" &amp;B45,""CLOSEYEST"")"),665.95)</f>
        <v>665.95</v>
      </c>
      <c r="E45" s="4">
        <f>IFERROR(__xludf.DUMMYFUNCTION("GOOGLEFINANCE(""NSE:"" &amp;B45,""PRICE"")"),649.7)</f>
        <v>649.7</v>
      </c>
      <c r="F45" s="4">
        <f>IFERROR(__xludf.DUMMYFUNCTION("GOOGLEFINANCE(""NSE:"" &amp;B45,""CHANGE"")"),-16.25)</f>
        <v>-16.25</v>
      </c>
      <c r="G45" s="4">
        <f>IFERROR(__xludf.DUMMYFUNCTION("GOOGLEFINANCE(""NSE:"" &amp;B45,""MARKETCAP"")"),2.38851390375E12)</f>
        <v>2388513903750</v>
      </c>
      <c r="H45" s="4">
        <f>IFERROR(__xludf.DUMMYFUNCTION("GOOGLEFINANCE(""NSE:"" &amp;B45,""VOLUME"")"),1.2546169E7)</f>
        <v>12546169</v>
      </c>
      <c r="I45" s="4">
        <f>IFERROR(__xludf.DUMMYFUNCTION("GOOGLEFINANCE(""NSE:"" &amp;B45,""HIGH52"")"),1176.0)</f>
        <v>1176</v>
      </c>
      <c r="J45" s="4">
        <f>IFERROR(__xludf.DUMMYFUNCTION("GOOGLEFINANCE(""NSE:"" &amp;B45,""LOW52"")"),535.75)</f>
        <v>535.75</v>
      </c>
      <c r="K45" s="4">
        <f>IFERROR(__xludf.DUMMYFUNCTION("iferror(GOOGLEFINANCE(""NSE:"" &amp;B45,""SHARES""),0)"),2.887348736E9)</f>
        <v>2887348736</v>
      </c>
      <c r="L45" s="4">
        <f>IFERROR(__xludf.DUMMYFUNCTION("GOOGLEFINANCE(""NSE:"" &amp;B45,""EPS"")"),64.97)</f>
        <v>64.97</v>
      </c>
      <c r="M45" s="4">
        <f>IFERROR(__xludf.DUMMYFUNCTION("GOOGLEFINANCE(""NSE:"" &amp;B45,""PE"")"),10.0)</f>
        <v>10</v>
      </c>
      <c r="N45" s="4">
        <f t="shared" si="1"/>
        <v>10</v>
      </c>
      <c r="O45" s="5">
        <f>IFERROR(__xludf.DUMMYFUNCTION("GOOGLEFINANCE(""NSE:"" &amp;B45,""TRADETIME"")"),45870.64583333333)</f>
        <v>45870.64583</v>
      </c>
      <c r="P45" s="4">
        <f>IFERROR(__xludf.DUMMYFUNCTION("GOOGLEFINANCE(""NSE:"" &amp;B45,""DATADELAY"")"),0.0)</f>
        <v>0</v>
      </c>
      <c r="Q45" s="3" t="s">
        <v>40</v>
      </c>
      <c r="R45" s="3" t="s">
        <v>161</v>
      </c>
    </row>
    <row r="46">
      <c r="A46" s="3" t="s">
        <v>162</v>
      </c>
      <c r="B46" s="3" t="s">
        <v>163</v>
      </c>
      <c r="C46" s="4">
        <f>IFERROR(__xludf.DUMMYFUNCTION("GOOGLEFINANCE(""NSE:"" &amp;B46,""PRICEOPEN"")"),157.93)</f>
        <v>157.93</v>
      </c>
      <c r="D46" s="4">
        <f>IFERROR(__xludf.DUMMYFUNCTION("GOOGLEFINANCE(""NSE:"" &amp;B46,""CLOSEYEST"")"),157.94)</f>
        <v>157.94</v>
      </c>
      <c r="E46" s="4">
        <f>IFERROR(__xludf.DUMMYFUNCTION("GOOGLEFINANCE(""NSE:"" &amp;B46,""PRICE"")"),153.0)</f>
        <v>153</v>
      </c>
      <c r="F46" s="4">
        <f>IFERROR(__xludf.DUMMYFUNCTION("GOOGLEFINANCE(""NSE:"" &amp;B46,""CHANGE"")"),-4.94)</f>
        <v>-4.94</v>
      </c>
      <c r="G46" s="4">
        <f>IFERROR(__xludf.DUMMYFUNCTION("GOOGLEFINANCE(""NSE:"" &amp;B46,""MARKETCAP"")"),1.91033505E12)</f>
        <v>1910335050000</v>
      </c>
      <c r="H46" s="4">
        <f>IFERROR(__xludf.DUMMYFUNCTION("GOOGLEFINANCE(""NSE:"" &amp;B46,""VOLUME"")"),2.3927359E7)</f>
        <v>23927359</v>
      </c>
      <c r="I46" s="4">
        <f>IFERROR(__xludf.DUMMYFUNCTION("GOOGLEFINANCE(""NSE:"" &amp;B46,""HIGH52"")"),170.18)</f>
        <v>170.18</v>
      </c>
      <c r="J46" s="4">
        <f>IFERROR(__xludf.DUMMYFUNCTION("GOOGLEFINANCE(""NSE:"" &amp;B46,""LOW52"")"),122.62)</f>
        <v>122.62</v>
      </c>
      <c r="K46" s="4">
        <f>IFERROR(__xludf.DUMMYFUNCTION("iferror(GOOGLEFINANCE(""NSE:"" &amp;B46,""SHARES""),0)"),0.0)</f>
        <v>0</v>
      </c>
      <c r="L46" s="4">
        <f>IFERROR(__xludf.DUMMYFUNCTION("GOOGLEFINANCE(""NSE:"" &amp;B46,""EPS"")"),2.74)</f>
        <v>2.74</v>
      </c>
      <c r="M46" s="4">
        <f>IFERROR(__xludf.DUMMYFUNCTION("GOOGLEFINANCE(""NSE:"" &amp;B46,""PE"")"),55.79)</f>
        <v>55.79</v>
      </c>
      <c r="N46" s="4">
        <f t="shared" si="1"/>
        <v>1.79243592</v>
      </c>
      <c r="O46" s="5">
        <f>IFERROR(__xludf.DUMMYFUNCTION("GOOGLEFINANCE(""NSE:"" &amp;B46,""TRADETIME"")"),45870.64583333333)</f>
        <v>45870.64583</v>
      </c>
      <c r="P46" s="4">
        <f>IFERROR(__xludf.DUMMYFUNCTION("GOOGLEFINANCE(""NSE:"" &amp;B46,""DATADELAY"")"),0.0)</f>
        <v>0</v>
      </c>
      <c r="Q46" s="3" t="s">
        <v>20</v>
      </c>
      <c r="R46" s="3" t="s">
        <v>164</v>
      </c>
    </row>
    <row r="47">
      <c r="A47" s="3" t="s">
        <v>165</v>
      </c>
      <c r="B47" s="3" t="s">
        <v>166</v>
      </c>
      <c r="C47" s="4">
        <f>IFERROR(__xludf.DUMMYFUNCTION("GOOGLEFINANCE(""NSE:"" &amp;B47,""PRICEOPEN"")"),1456.6)</f>
        <v>1456.6</v>
      </c>
      <c r="D47" s="4">
        <f>IFERROR(__xludf.DUMMYFUNCTION("GOOGLEFINANCE(""NSE:"" &amp;B47,""CLOSEYEST"")"),1463.7)</f>
        <v>1463.7</v>
      </c>
      <c r="E47" s="4">
        <f>IFERROR(__xludf.DUMMYFUNCTION("GOOGLEFINANCE(""NSE:"" &amp;B47,""PRICE"")"),1435.6)</f>
        <v>1435.6</v>
      </c>
      <c r="F47" s="4">
        <f>IFERROR(__xludf.DUMMYFUNCTION("GOOGLEFINANCE(""NSE:"" &amp;B47,""CHANGE"")"),-28.1)</f>
        <v>-28.1</v>
      </c>
      <c r="G47" s="4">
        <f>IFERROR(__xludf.DUMMYFUNCTION("GOOGLEFINANCE(""NSE:"" &amp;B47,""MARKETCAP"")"),1.4091207479E12)</f>
        <v>1409120747900</v>
      </c>
      <c r="H47" s="4">
        <f>IFERROR(__xludf.DUMMYFUNCTION("GOOGLEFINANCE(""NSE:"" &amp;B47,""VOLUME"")"),1620011.0)</f>
        <v>1620011</v>
      </c>
      <c r="I47" s="4">
        <f>IFERROR(__xludf.DUMMYFUNCTION("GOOGLEFINANCE(""NSE:"" &amp;B47,""HIGH52"")"),1807.7)</f>
        <v>1807.7</v>
      </c>
      <c r="J47" s="4">
        <f>IFERROR(__xludf.DUMMYFUNCTION("GOOGLEFINANCE(""NSE:"" &amp;B47,""LOW52"")"),1209.4)</f>
        <v>1209.4</v>
      </c>
      <c r="K47" s="4">
        <f>IFERROR(__xludf.DUMMYFUNCTION("iferror(GOOGLEFINANCE(""NSE:"" &amp;B47,""SHARES""),0)"),9.808432E8)</f>
        <v>980843200</v>
      </c>
      <c r="L47" s="4">
        <f>IFERROR(__xludf.DUMMYFUNCTION("GOOGLEFINANCE(""NSE:"" &amp;B47,""EPS"")"),51.19)</f>
        <v>51.19</v>
      </c>
      <c r="M47" s="4">
        <f>IFERROR(__xludf.DUMMYFUNCTION("GOOGLEFINANCE(""NSE:"" &amp;B47,""PE"")"),28.05)</f>
        <v>28.05</v>
      </c>
      <c r="N47" s="4">
        <f t="shared" si="1"/>
        <v>3.565062389</v>
      </c>
      <c r="O47" s="5">
        <f>IFERROR(__xludf.DUMMYFUNCTION("GOOGLEFINANCE(""NSE:"" &amp;B47,""TRADETIME"")"),45870.64583333333)</f>
        <v>45870.64583</v>
      </c>
      <c r="P47" s="4">
        <f>IFERROR(__xludf.DUMMYFUNCTION("GOOGLEFINANCE(""NSE:"" &amp;B47,""DATADELAY"")"),0.0)</f>
        <v>0</v>
      </c>
      <c r="Q47" s="3" t="s">
        <v>54</v>
      </c>
      <c r="R47" s="3" t="s">
        <v>167</v>
      </c>
    </row>
    <row r="48">
      <c r="A48" s="3" t="s">
        <v>168</v>
      </c>
      <c r="B48" s="3" t="s">
        <v>169</v>
      </c>
      <c r="C48" s="4">
        <f>IFERROR(__xludf.DUMMYFUNCTION("GOOGLEFINANCE(""NSE:"" &amp;B48,""PRICEOPEN"")"),3340.0)</f>
        <v>3340</v>
      </c>
      <c r="D48" s="4">
        <f>IFERROR(__xludf.DUMMYFUNCTION("GOOGLEFINANCE(""NSE:"" &amp;B48,""CLOSEYEST"")"),3347.3)</f>
        <v>3347.3</v>
      </c>
      <c r="E48" s="4">
        <f>IFERROR(__xludf.DUMMYFUNCTION("GOOGLEFINANCE(""NSE:"" &amp;B48,""PRICE"")"),3313.0)</f>
        <v>3313</v>
      </c>
      <c r="F48" s="4">
        <f>IFERROR(__xludf.DUMMYFUNCTION("GOOGLEFINANCE(""NSE:"" &amp;B48,""CHANGE"")"),-34.3)</f>
        <v>-34.3</v>
      </c>
      <c r="G48" s="4">
        <f>IFERROR(__xludf.DUMMYFUNCTION("GOOGLEFINANCE(""NSE:"" &amp;B48,""MARKETCAP"")"),2.9412168435E12)</f>
        <v>2941216843500</v>
      </c>
      <c r="H48" s="4">
        <f>IFERROR(__xludf.DUMMYFUNCTION("GOOGLEFINANCE(""NSE:"" &amp;B48,""VOLUME"")"),422977.0)</f>
        <v>422977</v>
      </c>
      <c r="I48" s="4">
        <f>IFERROR(__xludf.DUMMYFUNCTION("GOOGLEFINANCE(""NSE:"" &amp;B48,""HIGH52"")"),3867.0)</f>
        <v>3867</v>
      </c>
      <c r="J48" s="4">
        <f>IFERROR(__xludf.DUMMYFUNCTION("GOOGLEFINANCE(""NSE:"" &amp;B48,""LOW52"")"),2925.0)</f>
        <v>2925</v>
      </c>
      <c r="K48" s="4">
        <f>IFERROR(__xludf.DUMMYFUNCTION("iferror(GOOGLEFINANCE(""NSE:"" &amp;B48,""SHARES""),0)"),8.87786176E8)</f>
        <v>887786176</v>
      </c>
      <c r="L48" s="4">
        <f>IFERROR(__xludf.DUMMYFUNCTION("GOOGLEFINANCE(""NSE:"" &amp;B48,""EPS"")"),37.61)</f>
        <v>37.61</v>
      </c>
      <c r="M48" s="4">
        <f>IFERROR(__xludf.DUMMYFUNCTION("GOOGLEFINANCE(""NSE:"" &amp;B48,""PE"")"),88.1)</f>
        <v>88.1</v>
      </c>
      <c r="N48" s="4">
        <f t="shared" si="1"/>
        <v>1.13507378</v>
      </c>
      <c r="O48" s="5">
        <f>IFERROR(__xludf.DUMMYFUNCTION("GOOGLEFINANCE(""NSE:"" &amp;B48,""TRADETIME"")"),45870.64583333333)</f>
        <v>45870.64583</v>
      </c>
      <c r="P48" s="4">
        <f>IFERROR(__xludf.DUMMYFUNCTION("GOOGLEFINANCE(""NSE:"" &amp;B48,""DATADELAY"")"),0.0)</f>
        <v>0</v>
      </c>
      <c r="Q48" s="3" t="s">
        <v>32</v>
      </c>
      <c r="R48" s="3" t="s">
        <v>170</v>
      </c>
    </row>
    <row r="49">
      <c r="A49" s="3" t="s">
        <v>171</v>
      </c>
      <c r="B49" s="3" t="s">
        <v>172</v>
      </c>
      <c r="C49" s="4">
        <f>IFERROR(__xludf.DUMMYFUNCTION("GOOGLEFINANCE(""NSE:"" &amp;B49,""PRICEOPEN"")"),5034.0)</f>
        <v>5034</v>
      </c>
      <c r="D49" s="4">
        <f>IFERROR(__xludf.DUMMYFUNCTION("GOOGLEFINANCE(""NSE:"" &amp;B49,""CLOSEYEST"")"),5018.0)</f>
        <v>5018</v>
      </c>
      <c r="E49" s="4">
        <f>IFERROR(__xludf.DUMMYFUNCTION("GOOGLEFINANCE(""NSE:"" &amp;B49,""PRICE"")"),5179.0)</f>
        <v>5179</v>
      </c>
      <c r="F49" s="4">
        <f>IFERROR(__xludf.DUMMYFUNCTION("GOOGLEFINANCE(""NSE:"" &amp;B49,""CHANGE"")"),161.0)</f>
        <v>161</v>
      </c>
      <c r="G49" s="4">
        <f>IFERROR(__xludf.DUMMYFUNCTION("GOOGLEFINANCE(""NSE:"" &amp;B49,""MARKETCAP"")"),1.841944056926E12)</f>
        <v>1841944056926</v>
      </c>
      <c r="H49" s="4">
        <f>IFERROR(__xludf.DUMMYFUNCTION("GOOGLEFINANCE(""NSE:"" &amp;B49,""VOLUME"")"),2034517.0)</f>
        <v>2034517</v>
      </c>
      <c r="I49" s="4">
        <f>IFERROR(__xludf.DUMMYFUNCTION("GOOGLEFINANCE(""NSE:"" &amp;B49,""HIGH52"")"),8345.0)</f>
        <v>8345</v>
      </c>
      <c r="J49" s="4">
        <f>IFERROR(__xludf.DUMMYFUNCTION("GOOGLEFINANCE(""NSE:"" &amp;B49,""LOW52"")"),4488.0)</f>
        <v>4488</v>
      </c>
      <c r="K49" s="4">
        <f>IFERROR(__xludf.DUMMYFUNCTION("iferror(GOOGLEFINANCE(""NSE:"" &amp;B49,""SHARES""),0)"),3.32316736E8)</f>
        <v>332316736</v>
      </c>
      <c r="L49" s="4">
        <f>IFERROR(__xludf.DUMMYFUNCTION("GOOGLEFINANCE(""NSE:"" &amp;B49,""EPS"")"),43.51)</f>
        <v>43.51</v>
      </c>
      <c r="M49" s="4">
        <f>IFERROR(__xludf.DUMMYFUNCTION("GOOGLEFINANCE(""NSE:"" &amp;B49,""PE"")"),119.03)</f>
        <v>119.03</v>
      </c>
      <c r="N49" s="4">
        <f t="shared" si="1"/>
        <v>0.8401243384</v>
      </c>
      <c r="O49" s="5">
        <f>IFERROR(__xludf.DUMMYFUNCTION("GOOGLEFINANCE(""NSE:"" &amp;B49,""TRADETIME"")"),45870.64583333333)</f>
        <v>45870.64583</v>
      </c>
      <c r="P49" s="4">
        <f>IFERROR(__xludf.DUMMYFUNCTION("GOOGLEFINANCE(""NSE:"" &amp;B49,""DATADELAY"")"),0.0)</f>
        <v>0</v>
      </c>
      <c r="Q49" s="3" t="s">
        <v>173</v>
      </c>
      <c r="R49" s="3" t="s">
        <v>174</v>
      </c>
    </row>
    <row r="50">
      <c r="A50" s="3" t="s">
        <v>175</v>
      </c>
      <c r="B50" s="3" t="s">
        <v>176</v>
      </c>
      <c r="C50" s="4">
        <f>IFERROR(__xludf.DUMMYFUNCTION("GOOGLEFINANCE(""NSE:"" &amp;B50,""PRICEOPEN"")"),12181.0)</f>
        <v>12181</v>
      </c>
      <c r="D50" s="4">
        <f>IFERROR(__xludf.DUMMYFUNCTION("GOOGLEFINANCE(""NSE:"" &amp;B50,""CLOSEYEST"")"),12249.0)</f>
        <v>12249</v>
      </c>
      <c r="E50" s="4">
        <f>IFERROR(__xludf.DUMMYFUNCTION("GOOGLEFINANCE(""NSE:"" &amp;B50,""PRICE"")"),12124.0)</f>
        <v>12124</v>
      </c>
      <c r="F50" s="4">
        <f>IFERROR(__xludf.DUMMYFUNCTION("GOOGLEFINANCE(""NSE:"" &amp;B50,""CHANGE"")"),-125.0)</f>
        <v>-125</v>
      </c>
      <c r="G50" s="4">
        <f>IFERROR(__xludf.DUMMYFUNCTION("GOOGLEFINANCE(""NSE:"" &amp;B50,""MARKETCAP"")"),3.5663061224E12)</f>
        <v>3566306122400</v>
      </c>
      <c r="H50" s="4">
        <f>IFERROR(__xludf.DUMMYFUNCTION("GOOGLEFINANCE(""NSE:"" &amp;B50,""VOLUME"")"),212570.0)</f>
        <v>212570</v>
      </c>
      <c r="I50" s="4">
        <f>IFERROR(__xludf.DUMMYFUNCTION("GOOGLEFINANCE(""NSE:"" &amp;B50,""HIGH52"")"),12714.0)</f>
        <v>12714</v>
      </c>
      <c r="J50" s="4">
        <f>IFERROR(__xludf.DUMMYFUNCTION("GOOGLEFINANCE(""NSE:"" &amp;B50,""LOW52"")"),10047.85)</f>
        <v>10047.85</v>
      </c>
      <c r="K50" s="4">
        <f>IFERROR(__xludf.DUMMYFUNCTION("iferror(GOOGLEFINANCE(""NSE:"" &amp;B50,""SHARES""),0)"),2.74635776E8)</f>
        <v>274635776</v>
      </c>
      <c r="L50" s="4">
        <f>IFERROR(__xludf.DUMMYFUNCTION("GOOGLEFINANCE(""NSE:"" &amp;B50,""EPS"")"),220.67)</f>
        <v>220.67</v>
      </c>
      <c r="M50" s="4">
        <f>IFERROR(__xludf.DUMMYFUNCTION("GOOGLEFINANCE(""NSE:"" &amp;B50,""PE"")"),54.94)</f>
        <v>54.94</v>
      </c>
      <c r="N50" s="4">
        <f t="shared" si="1"/>
        <v>1.820167455</v>
      </c>
      <c r="O50" s="5">
        <f>IFERROR(__xludf.DUMMYFUNCTION("GOOGLEFINANCE(""NSE:"" &amp;B50,""TRADETIME"")"),45870.64584490741)</f>
        <v>45870.64584</v>
      </c>
      <c r="P50" s="4">
        <f>IFERROR(__xludf.DUMMYFUNCTION("GOOGLEFINANCE(""NSE:"" &amp;B50,""DATADELAY"")"),0.0)</f>
        <v>0</v>
      </c>
      <c r="Q50" s="3" t="s">
        <v>78</v>
      </c>
      <c r="R50" s="3" t="s">
        <v>177</v>
      </c>
    </row>
    <row r="51">
      <c r="A51" s="3" t="s">
        <v>178</v>
      </c>
      <c r="B51" s="3" t="s">
        <v>179</v>
      </c>
      <c r="C51" s="4">
        <f>IFERROR(__xludf.DUMMYFUNCTION("GOOGLEFINANCE(""NSE:"" &amp;B51,""PRICEOPEN"")"),246.5)</f>
        <v>246.5</v>
      </c>
      <c r="D51" s="4">
        <f>IFERROR(__xludf.DUMMYFUNCTION("GOOGLEFINANCE(""NSE:"" &amp;B51,""CLOSEYEST"")"),248.3)</f>
        <v>248.3</v>
      </c>
      <c r="E51" s="4">
        <f>IFERROR(__xludf.DUMMYFUNCTION("GOOGLEFINANCE(""NSE:"" &amp;B51,""PRICE"")"),242.38)</f>
        <v>242.38</v>
      </c>
      <c r="F51" s="4">
        <f>IFERROR(__xludf.DUMMYFUNCTION("GOOGLEFINANCE(""NSE:"" &amp;B51,""CHANGE"")"),-5.92)</f>
        <v>-5.92</v>
      </c>
      <c r="G51" s="4">
        <f>IFERROR(__xludf.DUMMYFUNCTION("GOOGLEFINANCE(""NSE:"" &amp;B51,""MARKETCAP"")"),2.916833323E10)</f>
        <v>29168333230</v>
      </c>
      <c r="H51" s="4">
        <f>IFERROR(__xludf.DUMMYFUNCTION("GOOGLEFINANCE(""NSE:"" &amp;B51,""VOLUME"")"),7436999.0)</f>
        <v>7436999</v>
      </c>
      <c r="I51" s="4">
        <f>IFERROR(__xludf.DUMMYFUNCTION("GOOGLEFINANCE(""NSE:"" &amp;B51,""HIGH52"")"),324.6)</f>
        <v>324.6</v>
      </c>
      <c r="J51" s="4">
        <f>IFERROR(__xludf.DUMMYFUNCTION("GOOGLEFINANCE(""NSE:"" &amp;B51,""LOW52"")"),228.0)</f>
        <v>228</v>
      </c>
      <c r="K51" s="4">
        <f>IFERROR(__xludf.DUMMYFUNCTION("iferror(GOOGLEFINANCE(""NSE:"" &amp;B51,""SHARES""),0)"),4.502915584E9)</f>
        <v>4502915584</v>
      </c>
      <c r="L51" s="4">
        <f>IFERROR(__xludf.DUMMYFUNCTION("GOOGLEFINANCE(""NSE:"" &amp;B51,""EPS"")"),12.83)</f>
        <v>12.83</v>
      </c>
      <c r="M51" s="4">
        <f>IFERROR(__xludf.DUMMYFUNCTION("GOOGLEFINANCE(""NSE:"" &amp;B51,""PE"")"),18.89)</f>
        <v>18.89</v>
      </c>
      <c r="N51" s="4">
        <f t="shared" si="1"/>
        <v>5.293806247</v>
      </c>
      <c r="O51" s="5">
        <f>IFERROR(__xludf.DUMMYFUNCTION("GOOGLEFINANCE(""NSE:"" &amp;B51,""TRADETIME"")"),45870.64583333333)</f>
        <v>45870.64583</v>
      </c>
      <c r="P51" s="4">
        <f>IFERROR(__xludf.DUMMYFUNCTION("GOOGLEFINANCE(""NSE:"" &amp;B51,""DATADELAY"")"),0.0)</f>
        <v>0</v>
      </c>
      <c r="Q51" s="3" t="s">
        <v>54</v>
      </c>
      <c r="R51" s="3" t="s">
        <v>180</v>
      </c>
    </row>
    <row r="57">
      <c r="A57" s="7"/>
    </row>
    <row r="58">
      <c r="A58" s="7"/>
    </row>
    <row r="59">
      <c r="A5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</v>
      </c>
      <c r="H1" s="2" t="s">
        <v>9</v>
      </c>
      <c r="I1" s="2" t="s">
        <v>14</v>
      </c>
      <c r="J1" s="2" t="s">
        <v>15</v>
      </c>
    </row>
    <row r="2">
      <c r="A2" s="3" t="s">
        <v>181</v>
      </c>
      <c r="B2" s="3" t="s">
        <v>182</v>
      </c>
      <c r="C2" s="4">
        <f>IFERROR(__xludf.DUMMYFUNCTION("GOOGLEFINANCE(""INDEXNSE:"" &amp;B2,""PRICEOPEN"")"),24734.9)</f>
        <v>24734.9</v>
      </c>
      <c r="D2" s="4">
        <f>IFERROR(__xludf.DUMMYFUNCTION("GOOGLEFINANCE(""INDEXNSE:"" &amp;B2,""CLOSEYEST"")"),24768.35)</f>
        <v>24768.35</v>
      </c>
      <c r="E2" s="4">
        <f>IFERROR(__xludf.DUMMYFUNCTION("GOOGLEFINANCE(""INDEXNSE:"" &amp;B2,""PRICE"")"),24565.35)</f>
        <v>24565.35</v>
      </c>
      <c r="F2" s="4">
        <f>IFERROR(__xludf.DUMMYFUNCTION("GOOGLEFINANCE(""INDEXNSE:"" &amp;B2,""CHANGE"")"),-203.0)</f>
        <v>-203</v>
      </c>
      <c r="G2" s="4">
        <f>IFERROR(__xludf.DUMMYFUNCTION("GOOGLEFINANCE(""INDEXNSE:"" &amp;B2,""HIGH52"")"),26277.35)</f>
        <v>26277.35</v>
      </c>
      <c r="H2" s="4">
        <f>IFERROR(__xludf.DUMMYFUNCTION("GOOGLEFINANCE(""INDEXNSE:"" &amp;B2,""LOW52"")"),21743.65)</f>
        <v>21743.65</v>
      </c>
      <c r="I2" s="5">
        <f>IFERROR(__xludf.DUMMYFUNCTION("GOOGLEFINANCE(""INDEXNSE:"" &amp;B2,""TRADETIME"")"),45870.64655092593)</f>
        <v>45870.64655</v>
      </c>
      <c r="J2" s="4">
        <f>IFERROR(__xludf.DUMMYFUNCTION("GOOGLEFINANCE(""INDEXNSE:"" &amp;B2,""DATADELAY"")"),0.0)</f>
        <v>0</v>
      </c>
    </row>
  </sheetData>
  <drawing r:id="rId1"/>
</worksheet>
</file>