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ma\OneDrive\Aqsa\Upskill Digital\Upskill Digital Excel Files\Hockey Data Analysis\"/>
    </mc:Choice>
  </mc:AlternateContent>
  <bookViews>
    <workbookView xWindow="0" yWindow="0" windowWidth="28800" windowHeight="12624" activeTab="2"/>
  </bookViews>
  <sheets>
    <sheet name="PlayerData" sheetId="5" r:id="rId1"/>
    <sheet name="Hometown" sheetId="6" r:id="rId2"/>
    <sheet name="Logical operators" sheetId="7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7" l="1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" i="7"/>
  <c r="N21" i="7"/>
  <c r="M21" i="7"/>
  <c r="J21" i="7"/>
  <c r="K21" i="7" s="1"/>
  <c r="G21" i="7"/>
  <c r="F21" i="7"/>
  <c r="N20" i="7"/>
  <c r="M20" i="7"/>
  <c r="J20" i="7"/>
  <c r="K20" i="7" s="1"/>
  <c r="G20" i="7"/>
  <c r="F20" i="7"/>
  <c r="N19" i="7"/>
  <c r="M19" i="7"/>
  <c r="J19" i="7"/>
  <c r="K19" i="7" s="1"/>
  <c r="G19" i="7"/>
  <c r="F19" i="7"/>
  <c r="N18" i="7"/>
  <c r="M18" i="7"/>
  <c r="J18" i="7"/>
  <c r="K18" i="7" s="1"/>
  <c r="G18" i="7"/>
  <c r="F18" i="7"/>
  <c r="N17" i="7"/>
  <c r="M17" i="7"/>
  <c r="J17" i="7"/>
  <c r="K17" i="7" s="1"/>
  <c r="G17" i="7"/>
  <c r="F17" i="7"/>
  <c r="N16" i="7"/>
  <c r="M16" i="7"/>
  <c r="J16" i="7"/>
  <c r="K16" i="7" s="1"/>
  <c r="G16" i="7"/>
  <c r="F16" i="7"/>
  <c r="N15" i="7"/>
  <c r="M15" i="7"/>
  <c r="J15" i="7"/>
  <c r="K15" i="7" s="1"/>
  <c r="G15" i="7"/>
  <c r="F15" i="7"/>
  <c r="N14" i="7"/>
  <c r="M14" i="7"/>
  <c r="J14" i="7"/>
  <c r="K14" i="7" s="1"/>
  <c r="G14" i="7"/>
  <c r="F14" i="7"/>
  <c r="N13" i="7"/>
  <c r="M13" i="7"/>
  <c r="J13" i="7"/>
  <c r="K13" i="7" s="1"/>
  <c r="G13" i="7"/>
  <c r="F13" i="7"/>
  <c r="N12" i="7"/>
  <c r="M12" i="7"/>
  <c r="J12" i="7"/>
  <c r="K12" i="7" s="1"/>
  <c r="G12" i="7"/>
  <c r="F12" i="7"/>
  <c r="N11" i="7"/>
  <c r="M11" i="7"/>
  <c r="J11" i="7"/>
  <c r="K11" i="7" s="1"/>
  <c r="G11" i="7"/>
  <c r="F11" i="7"/>
  <c r="N10" i="7"/>
  <c r="M10" i="7"/>
  <c r="J10" i="7"/>
  <c r="K10" i="7" s="1"/>
  <c r="G10" i="7"/>
  <c r="F10" i="7"/>
  <c r="N9" i="7"/>
  <c r="M9" i="7"/>
  <c r="J9" i="7"/>
  <c r="K9" i="7" s="1"/>
  <c r="G9" i="7"/>
  <c r="F9" i="7"/>
  <c r="N8" i="7"/>
  <c r="M8" i="7"/>
  <c r="J8" i="7"/>
  <c r="K8" i="7" s="1"/>
  <c r="G8" i="7"/>
  <c r="F8" i="7"/>
  <c r="N7" i="7"/>
  <c r="M7" i="7"/>
  <c r="J7" i="7"/>
  <c r="K7" i="7" s="1"/>
  <c r="G7" i="7"/>
  <c r="F7" i="7"/>
  <c r="N6" i="7"/>
  <c r="M6" i="7"/>
  <c r="J6" i="7"/>
  <c r="K6" i="7" s="1"/>
  <c r="G6" i="7"/>
  <c r="F6" i="7"/>
  <c r="N5" i="7"/>
  <c r="M5" i="7"/>
  <c r="J5" i="7"/>
  <c r="K5" i="7" s="1"/>
  <c r="G5" i="7"/>
  <c r="F5" i="7"/>
  <c r="N4" i="7"/>
  <c r="M4" i="7"/>
  <c r="J4" i="7"/>
  <c r="K4" i="7" s="1"/>
  <c r="G4" i="7"/>
  <c r="F4" i="7"/>
  <c r="N3" i="7"/>
  <c r="M3" i="7"/>
  <c r="J3" i="7"/>
  <c r="K3" i="7" s="1"/>
  <c r="G3" i="7"/>
  <c r="F3" i="7"/>
  <c r="N2" i="7"/>
  <c r="M2" i="7"/>
  <c r="J2" i="7"/>
  <c r="K2" i="7" s="1"/>
  <c r="G2" i="7"/>
  <c r="F2" i="7"/>
  <c r="J2" i="5" l="1"/>
  <c r="K2" i="5" s="1"/>
  <c r="AE42" i="5"/>
  <c r="AE41" i="5"/>
  <c r="AE27" i="5"/>
  <c r="AE25" i="5"/>
  <c r="AE26" i="5"/>
  <c r="M2" i="5" l="1"/>
  <c r="D34" i="5" l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E3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M3" i="5"/>
  <c r="M4" i="5"/>
  <c r="M5" i="5"/>
  <c r="M6" i="5"/>
  <c r="M7" i="5"/>
  <c r="M8" i="5"/>
  <c r="M9" i="5"/>
  <c r="M10" i="5"/>
  <c r="M11" i="5"/>
  <c r="B34" i="5" s="1"/>
  <c r="M12" i="5"/>
  <c r="M13" i="5"/>
  <c r="M14" i="5"/>
  <c r="M15" i="5"/>
  <c r="M16" i="5"/>
  <c r="M17" i="5"/>
  <c r="M18" i="5"/>
  <c r="M19" i="5"/>
  <c r="M20" i="5"/>
  <c r="M21" i="5"/>
  <c r="AA6" i="5" l="1"/>
  <c r="W12" i="5"/>
  <c r="D30" i="5"/>
  <c r="D29" i="5"/>
  <c r="W42" i="5"/>
  <c r="W41" i="5"/>
  <c r="W27" i="5"/>
  <c r="AA7" i="5" l="1"/>
  <c r="AA8" i="5" s="1"/>
  <c r="W13" i="5"/>
  <c r="W14" i="5"/>
  <c r="W25" i="5"/>
  <c r="W26" i="5"/>
  <c r="W11" i="5"/>
  <c r="W6" i="5"/>
  <c r="W10" i="5"/>
  <c r="W9" i="5"/>
  <c r="W8" i="5"/>
  <c r="W7" i="5" l="1"/>
</calcChain>
</file>

<file path=xl/sharedStrings.xml><?xml version="1.0" encoding="utf-8"?>
<sst xmlns="http://schemas.openxmlformats.org/spreadsheetml/2006/main" count="374" uniqueCount="121">
  <si>
    <t>Women</t>
  </si>
  <si>
    <t>Men</t>
  </si>
  <si>
    <t>USA</t>
  </si>
  <si>
    <t>Eastvale</t>
  </si>
  <si>
    <t>Calif.</t>
  </si>
  <si>
    <t>Westfield</t>
  </si>
  <si>
    <t>Mass.</t>
  </si>
  <si>
    <t>Minn.</t>
  </si>
  <si>
    <t>Forward</t>
  </si>
  <si>
    <t>Plymouth</t>
  </si>
  <si>
    <t>Ill.</t>
  </si>
  <si>
    <t>Goalie</t>
  </si>
  <si>
    <t>Mich.</t>
  </si>
  <si>
    <t>Milford</t>
  </si>
  <si>
    <t>Conn.</t>
  </si>
  <si>
    <t>Marysville</t>
  </si>
  <si>
    <t>Moorhead</t>
  </si>
  <si>
    <t>DOB</t>
  </si>
  <si>
    <t>Hometown</t>
  </si>
  <si>
    <t>Vadnais Heights</t>
  </si>
  <si>
    <t>Palos Heights</t>
  </si>
  <si>
    <t>Ladera Ranch</t>
  </si>
  <si>
    <t>North Reading</t>
  </si>
  <si>
    <t>ID</t>
  </si>
  <si>
    <t>Team</t>
  </si>
  <si>
    <t>Country</t>
  </si>
  <si>
    <t>NameF</t>
  </si>
  <si>
    <t>Weight</t>
  </si>
  <si>
    <t>Height</t>
  </si>
  <si>
    <t>Pos</t>
  </si>
  <si>
    <t>5'9</t>
  </si>
  <si>
    <t>6'0</t>
  </si>
  <si>
    <t>5'8</t>
  </si>
  <si>
    <t>6'2</t>
  </si>
  <si>
    <t>6'1</t>
  </si>
  <si>
    <t>5'10</t>
  </si>
  <si>
    <t>5'7</t>
  </si>
  <si>
    <t>Canada</t>
  </si>
  <si>
    <t>Calgary</t>
  </si>
  <si>
    <t>5'5</t>
  </si>
  <si>
    <t>5'6</t>
  </si>
  <si>
    <t>Montreal</t>
  </si>
  <si>
    <t>Prov</t>
  </si>
  <si>
    <t>Ruthven</t>
  </si>
  <si>
    <t>Sudbury</t>
  </si>
  <si>
    <t>Kleinburg</t>
  </si>
  <si>
    <t>Pickering</t>
  </si>
  <si>
    <t>Halifax</t>
  </si>
  <si>
    <t>Spruce Grove</t>
  </si>
  <si>
    <t>Blyth</t>
  </si>
  <si>
    <t>5'1</t>
  </si>
  <si>
    <t>5'2</t>
  </si>
  <si>
    <t>Ont.</t>
  </si>
  <si>
    <t>N.S.</t>
  </si>
  <si>
    <t>Que.</t>
  </si>
  <si>
    <t>Defence</t>
  </si>
  <si>
    <t>Alta.</t>
  </si>
  <si>
    <t>Meghan agosta</t>
  </si>
  <si>
    <t>Rebecca johnston</t>
  </si>
  <si>
    <t>Laura stacey</t>
  </si>
  <si>
    <t>Jennifer wakefield</t>
  </si>
  <si>
    <t>Jillian saulnier</t>
  </si>
  <si>
    <t>Mat robinson</t>
  </si>
  <si>
    <t>Maxim noreau</t>
  </si>
  <si>
    <t>Ben scrivens</t>
  </si>
  <si>
    <t>Kevin poulin</t>
  </si>
  <si>
    <t>Justin peters</t>
  </si>
  <si>
    <t>Cayla barnes</t>
  </si>
  <si>
    <t>Kacey bellamy</t>
  </si>
  <si>
    <t>Hannah brandt</t>
  </si>
  <si>
    <t>Dani cameranesi</t>
  </si>
  <si>
    <t>Kendall coyne</t>
  </si>
  <si>
    <t>Mark arcobello</t>
  </si>
  <si>
    <t>Chad billins</t>
  </si>
  <si>
    <t>Jonathan blum</t>
  </si>
  <si>
    <t>Will borgen</t>
  </si>
  <si>
    <t>Chris bourque</t>
  </si>
  <si>
    <t>Country Code</t>
  </si>
  <si>
    <t>CAN</t>
  </si>
  <si>
    <t>Find the  total weight of all athletes</t>
  </si>
  <si>
    <t>Find the maximum weight out of all athletes</t>
  </si>
  <si>
    <t>Find the minimum weight out of all athletes</t>
  </si>
  <si>
    <t>Count the total number of athletes in our dataset</t>
  </si>
  <si>
    <t>Find the  total weight of all male athletes</t>
  </si>
  <si>
    <t>Find the  average weight of all athletes</t>
  </si>
  <si>
    <t>Count the total number of athletes in our dataset using 'Name' column</t>
  </si>
  <si>
    <t>Find the  average weight of all male athletes</t>
  </si>
  <si>
    <t>Count the total number of  male athletes in our dataset</t>
  </si>
  <si>
    <t>Count of all athletes with weight above average weight</t>
  </si>
  <si>
    <t>Players Information</t>
  </si>
  <si>
    <t>Name of player with ID = 15</t>
  </si>
  <si>
    <t>Nationality of player with ID = 20</t>
  </si>
  <si>
    <t>Name</t>
  </si>
  <si>
    <t>Profile link</t>
  </si>
  <si>
    <t>Find the  median weight of all athletes</t>
  </si>
  <si>
    <t>Find the  standarad deviation in the weight column</t>
  </si>
  <si>
    <t xml:space="preserve">Analysis of athletes weight </t>
  </si>
  <si>
    <t>1QR</t>
  </si>
  <si>
    <t>3QR</t>
  </si>
  <si>
    <t>IQR</t>
  </si>
  <si>
    <t>Male athletes analysis</t>
  </si>
  <si>
    <t>Female athletes analysis</t>
  </si>
  <si>
    <t>Male athletes analysis, Canada vs USA</t>
  </si>
  <si>
    <t xml:space="preserve">Find the  average weight of all Canadian male athletes </t>
  </si>
  <si>
    <t xml:space="preserve">Find the  average weight of all American male athletes </t>
  </si>
  <si>
    <t>Age</t>
  </si>
  <si>
    <t>First Name</t>
  </si>
  <si>
    <t>Last Name</t>
  </si>
  <si>
    <t>Position</t>
  </si>
  <si>
    <t>Player information of Justin Peters</t>
  </si>
  <si>
    <t>HeightIn</t>
  </si>
  <si>
    <t>BMI</t>
  </si>
  <si>
    <t>Find the  total weight of all female athletes</t>
  </si>
  <si>
    <t>Find the  average weight of all female athletes</t>
  </si>
  <si>
    <t>Count the total number of  female athletes in our dataset</t>
  </si>
  <si>
    <t>Female athletes analysis, Canada vs USA</t>
  </si>
  <si>
    <t xml:space="preserve">Find the  average weight of all Canadian female athletes </t>
  </si>
  <si>
    <t xml:space="preserve">Find the  average weight of all American female athletes </t>
  </si>
  <si>
    <t>AND</t>
  </si>
  <si>
    <t>OR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</si>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</sst>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  <xf numFmtId="0" fontId="3" fillId="2" borderId="1" applyNumberFormat="0" applyAlignment="0" applyProtection="0"/>
    <xf numFmtId="0" fontId="2" fillId="3" borderId="5" applyNumberFormat="0" applyFont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0" xfId="0" applyNumberFormat="1" applyBorder="1"/>
    <xf numFmtId="0" fontId="0" fillId="0" borderId="0" xfId="0" applyFill="1" applyBorder="1"/>
    <xf numFmtId="0" fontId="3" fillId="2" borderId="1" xfId="3"/>
    <xf numFmtId="0" fontId="0" fillId="0" borderId="0" xfId="0" applyNumberFormat="1"/>
    <xf numFmtId="0" fontId="0" fillId="0" borderId="0" xfId="0" applyNumberFormat="1" applyBorder="1"/>
    <xf numFmtId="0" fontId="6" fillId="0" borderId="0" xfId="5" applyBorder="1"/>
    <xf numFmtId="0" fontId="3" fillId="2" borderId="1" xfId="3" applyAlignment="1">
      <alignment horizontal="center"/>
    </xf>
    <xf numFmtId="0" fontId="0" fillId="3" borderId="0" xfId="4" applyFont="1" applyBorder="1" applyAlignment="1">
      <alignment horizontal="center"/>
    </xf>
    <xf numFmtId="0" fontId="0" fillId="3" borderId="6" xfId="4" applyFont="1" applyBorder="1" applyAlignment="1">
      <alignment horizontal="center"/>
    </xf>
    <xf numFmtId="0" fontId="3" fillId="2" borderId="2" xfId="3" applyBorder="1" applyAlignment="1">
      <alignment horizontal="center"/>
    </xf>
    <xf numFmtId="0" fontId="3" fillId="2" borderId="3" xfId="3" applyBorder="1" applyAlignment="1">
      <alignment horizontal="center"/>
    </xf>
    <xf numFmtId="0" fontId="3" fillId="2" borderId="4" xfId="3" applyBorder="1" applyAlignment="1">
      <alignment horizontal="center"/>
    </xf>
    <xf numFmtId="0" fontId="0" fillId="3" borderId="5" xfId="4" applyFont="1" applyAlignment="1">
      <alignment horizontal="center"/>
    </xf>
    <xf numFmtId="0" fontId="5" fillId="3" borderId="5" xfId="4" applyFont="1" applyAlignment="1">
      <alignment horizontal="center"/>
    </xf>
    <xf numFmtId="0" fontId="4" fillId="3" borderId="5" xfId="4" applyFont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/>
  </cellXfs>
  <cellStyles count="6">
    <cellStyle name="Ctx_Hyperlink" xfId="1"/>
    <cellStyle name="Hyperlink" xfId="5" builtinId="8"/>
    <cellStyle name="Normal" xfId="0" builtinId="0"/>
    <cellStyle name="Normal 4" xfId="2"/>
    <cellStyle name="Note" xfId="4" builtinId="10"/>
    <cellStyle name="Output" xfId="3" builtinId="21"/>
  </cellStyles>
  <dxfs count="1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P21" totalsRowShown="0">
  <tableColumns count="16">
    <tableColumn id="1" name="ID"/>
    <tableColumn id="2" name="Team"/>
    <tableColumn id="3" name="Country"/>
    <tableColumn id="5" name="Country Code"/>
    <tableColumn id="4" name="NameF"/>
    <tableColumn id="13" name="First Name" dataDxfId="16">
      <calculatedColumnFormula>LEFT(E2,SEARCH(" ",E2)-1)</calculatedColumnFormula>
    </tableColumn>
    <tableColumn id="14" name="Last Name" dataDxfId="15">
      <calculatedColumnFormula>PROPER(RIGHT(E2,LEN(E2)-SEARCH(" ",E2,1)))</calculatedColumnFormula>
    </tableColumn>
    <tableColumn id="7" name="Weight"/>
    <tableColumn id="6" name="Height"/>
    <tableColumn id="17" name="HeightIn" dataDxfId="14">
      <calculatedColumnFormula>LEFT(I2,FIND("'",I2)-1)*12+MID(I2,FIND("'",I2)+1,LEN(I2))</calculatedColumnFormula>
    </tableColumn>
    <tableColumn id="18" name="BMI" dataDxfId="13">
      <calculatedColumnFormula>ROUND(Table3[[#This Row],[Weight]]*703/POWER(Table3[[#This Row],[HeightIn]],2),0)</calculatedColumnFormula>
    </tableColumn>
    <tableColumn id="8" name="DOB" dataDxfId="12"/>
    <tableColumn id="9" name="Age" dataDxfId="11">
      <calculatedColumnFormula>DATEDIF(Table3[[#This Row],[DOB]],TODAY(),"Y")</calculatedColumnFormula>
    </tableColumn>
    <tableColumn id="16" name="Hometown" dataDxfId="10">
      <calculatedColumnFormula>VLOOKUP(A2, Hometown!A:B, 2,FALSE)</calculatedColumnFormula>
    </tableColumn>
    <tableColumn id="10" name="Prov"/>
    <tableColumn id="11" name="Po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P21" totalsRowShown="0">
  <tableColumns count="16">
    <tableColumn id="1" name="ID"/>
    <tableColumn id="2" name="Team"/>
    <tableColumn id="3" name="Country"/>
    <tableColumn id="5" name="Country Code"/>
    <tableColumn id="4" name="NameF"/>
    <tableColumn id="13" name="First Name" dataDxfId="8">
      <calculatedColumnFormula>LEFT(E2,SEARCH(" ",E2)-1)</calculatedColumnFormula>
    </tableColumn>
    <tableColumn id="14" name="Last Name" dataDxfId="7">
      <calculatedColumnFormula>PROPER(RIGHT(E2,LEN(E2)-SEARCH(" ",E2,1)))</calculatedColumnFormula>
    </tableColumn>
    <tableColumn id="7" name="Weight"/>
    <tableColumn id="6" name="Height"/>
    <tableColumn id="17" name="HeightIn" dataDxfId="6">
      <calculatedColumnFormula>LEFT(I2,FIND("'",I2)-1)*12+MID(I2,FIND("'",I2)+1,LEN(I2))</calculatedColumnFormula>
    </tableColumn>
    <tableColumn id="18" name="BMI" dataDxfId="5">
      <calculatedColumnFormula>ROUND(Table32[[#This Row],[Weight]]*703/POWER(Table32[[#This Row],[HeightIn]],2),0)</calculatedColumnFormula>
    </tableColumn>
    <tableColumn id="8" name="DOB" dataDxfId="4"/>
    <tableColumn id="9" name="Age" dataDxfId="3">
      <calculatedColumnFormula>DATEDIF(Table32[[#This Row],[DOB]],TODAY(),"Y")</calculatedColumnFormula>
    </tableColumn>
    <tableColumn id="16" name="Hometown" dataDxfId="2">
      <calculatedColumnFormula>VLOOKUP(A2, Hometown!A:B, 2,FALSE)</calculatedColumnFormula>
    </tableColumn>
    <tableColumn id="10" name="Prov"/>
    <tableColumn id="11" name="Po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2"/>
  <sheetViews>
    <sheetView zoomScaleNormal="100" workbookViewId="0">
      <pane ySplit="1" topLeftCell="A2" activePane="bottomLeft" state="frozen"/>
      <selection pane="bottomLeft" sqref="A1:P21"/>
    </sheetView>
  </sheetViews>
  <sheetFormatPr defaultRowHeight="14.4" x14ac:dyDescent="0.3"/>
  <cols>
    <col min="1" max="1" width="11.44140625" style="1" customWidth="1"/>
    <col min="2" max="4" width="12.5546875" style="1" customWidth="1"/>
    <col min="5" max="7" width="12.6640625" style="1" customWidth="1"/>
    <col min="8" max="8" width="6.6640625" style="1" customWidth="1"/>
    <col min="9" max="9" width="7.109375" style="1" customWidth="1"/>
    <col min="10" max="11" width="11.33203125" style="1" customWidth="1"/>
    <col min="12" max="12" width="15.21875" style="3" customWidth="1"/>
    <col min="13" max="14" width="13.6640625" style="7" customWidth="1"/>
    <col min="15" max="15" width="7.33203125" style="1" bestFit="1" customWidth="1"/>
    <col min="16" max="16" width="8.44140625" style="1" bestFit="1" customWidth="1"/>
    <col min="17" max="17" width="10.6640625" style="1" customWidth="1"/>
    <col min="18" max="18" width="7.33203125" style="1" customWidth="1"/>
    <col min="19" max="19" width="7.88671875" style="1" customWidth="1"/>
    <col min="20" max="20" width="8.33203125" style="1" customWidth="1"/>
    <col min="21" max="21" width="8.88671875" style="1" bestFit="1" customWidth="1"/>
    <col min="22" max="22" width="32.109375" style="1" customWidth="1"/>
    <col min="23" max="23" width="8.88671875" style="1" customWidth="1"/>
    <col min="24" max="24" width="8.88671875" style="1"/>
    <col min="25" max="25" width="5.77734375" style="1" customWidth="1"/>
    <col min="26" max="29" width="8.88671875" style="1"/>
    <col min="30" max="30" width="15.44140625" style="1" customWidth="1"/>
    <col min="31" max="16384" width="8.88671875" style="1"/>
  </cols>
  <sheetData>
    <row r="1" spans="1:28" customFormat="1" x14ac:dyDescent="0.3">
      <c r="A1" t="s">
        <v>23</v>
      </c>
      <c r="B1" t="s">
        <v>24</v>
      </c>
      <c r="C1" t="s">
        <v>25</v>
      </c>
      <c r="D1" t="s">
        <v>77</v>
      </c>
      <c r="E1" t="s">
        <v>26</v>
      </c>
      <c r="F1" t="s">
        <v>106</v>
      </c>
      <c r="G1" t="s">
        <v>107</v>
      </c>
      <c r="H1" t="s">
        <v>27</v>
      </c>
      <c r="I1" t="s">
        <v>28</v>
      </c>
      <c r="J1" t="s">
        <v>110</v>
      </c>
      <c r="K1" t="s">
        <v>111</v>
      </c>
      <c r="L1" s="2" t="s">
        <v>17</v>
      </c>
      <c r="M1" s="6" t="s">
        <v>105</v>
      </c>
      <c r="N1" s="6" t="s">
        <v>18</v>
      </c>
      <c r="O1" t="s">
        <v>42</v>
      </c>
      <c r="P1" t="s">
        <v>29</v>
      </c>
    </row>
    <row r="2" spans="1:28" x14ac:dyDescent="0.3">
      <c r="A2" s="1">
        <v>1</v>
      </c>
      <c r="B2" s="1" t="s">
        <v>0</v>
      </c>
      <c r="C2" s="1" t="s">
        <v>37</v>
      </c>
      <c r="D2" s="1" t="s">
        <v>78</v>
      </c>
      <c r="E2" s="1" t="s">
        <v>57</v>
      </c>
      <c r="F2" s="1" t="str">
        <f t="shared" ref="F2:F21" si="0">LEFT(E2,SEARCH(" ",E2)-1)</f>
        <v>Meghan</v>
      </c>
      <c r="G2" s="1" t="str">
        <f t="shared" ref="G2:G21" si="1">PROPER(RIGHT(E2,LEN(E2)-SEARCH(" ",E2,1)))</f>
        <v>Agosta</v>
      </c>
      <c r="H2" s="1">
        <v>148</v>
      </c>
      <c r="I2" s="1" t="s">
        <v>36</v>
      </c>
      <c r="J2" s="1">
        <f>LEFT(I2,FIND("'",I2)-1)*12+MID(I2,FIND("'",I2)+1,LEN(I2))</f>
        <v>67</v>
      </c>
      <c r="K2" s="1">
        <f>ROUND(Table3[[#This Row],[Weight]]*703/POWER(Table3[[#This Row],[HeightIn]],2),0)</f>
        <v>23</v>
      </c>
      <c r="L2" s="3">
        <v>31820</v>
      </c>
      <c r="M2" s="7">
        <f ca="1">DATEDIF(Table3[[#This Row],[DOB]],TODAY(),"Y")</f>
        <v>35</v>
      </c>
      <c r="N2" s="7" t="str">
        <f>VLOOKUP(A2, Hometown!A:B, 2,FALSE)</f>
        <v>Ruthven</v>
      </c>
      <c r="O2" s="1" t="s">
        <v>52</v>
      </c>
      <c r="P2" s="1" t="s">
        <v>8</v>
      </c>
    </row>
    <row r="3" spans="1:28" x14ac:dyDescent="0.3">
      <c r="A3" s="1">
        <v>2</v>
      </c>
      <c r="B3" s="1" t="s">
        <v>0</v>
      </c>
      <c r="C3" s="1" t="s">
        <v>37</v>
      </c>
      <c r="D3" s="1" t="s">
        <v>78</v>
      </c>
      <c r="E3" s="1" t="s">
        <v>58</v>
      </c>
      <c r="F3" s="1" t="str">
        <f t="shared" si="0"/>
        <v>Rebecca</v>
      </c>
      <c r="G3" s="1" t="str">
        <f t="shared" si="1"/>
        <v>Johnston</v>
      </c>
      <c r="H3" s="1">
        <v>148</v>
      </c>
      <c r="I3" s="1" t="s">
        <v>30</v>
      </c>
      <c r="J3" s="1">
        <f t="shared" ref="J3:J21" si="2">LEFT(I3,FIND("'",I3)-1)*12+MID(I3,FIND("'",I3)+1,LEN(I3))</f>
        <v>69</v>
      </c>
      <c r="K3" s="1">
        <f>ROUND(Table3[[#This Row],[Weight]]*703/POWER(Table3[[#This Row],[HeightIn]],2),0)</f>
        <v>22</v>
      </c>
      <c r="L3" s="3">
        <v>32775</v>
      </c>
      <c r="M3" s="7">
        <f ca="1">DATEDIF(Table3[[#This Row],[DOB]],TODAY(),"Y")</f>
        <v>32</v>
      </c>
      <c r="N3" s="7" t="str">
        <f>VLOOKUP(A3, Hometown!A:B, 2,FALSE)</f>
        <v>Sudbury</v>
      </c>
      <c r="O3" s="1" t="s">
        <v>52</v>
      </c>
      <c r="P3" s="1" t="s">
        <v>8</v>
      </c>
    </row>
    <row r="4" spans="1:28" x14ac:dyDescent="0.3">
      <c r="A4" s="1">
        <v>3</v>
      </c>
      <c r="B4" s="1" t="s">
        <v>0</v>
      </c>
      <c r="C4" s="1" t="s">
        <v>37</v>
      </c>
      <c r="D4" s="1" t="s">
        <v>78</v>
      </c>
      <c r="E4" s="1" t="s">
        <v>59</v>
      </c>
      <c r="F4" s="1" t="str">
        <f t="shared" si="0"/>
        <v>Laura</v>
      </c>
      <c r="G4" s="1" t="str">
        <f t="shared" si="1"/>
        <v>Stacey</v>
      </c>
      <c r="H4" s="1">
        <v>156</v>
      </c>
      <c r="I4" s="1" t="s">
        <v>35</v>
      </c>
      <c r="J4" s="1">
        <f t="shared" si="2"/>
        <v>70</v>
      </c>
      <c r="K4" s="1">
        <f>ROUND(Table3[[#This Row],[Weight]]*703/POWER(Table3[[#This Row],[HeightIn]],2),0)</f>
        <v>22</v>
      </c>
      <c r="L4" s="3">
        <v>34459</v>
      </c>
      <c r="M4" s="7">
        <f ca="1">DATEDIF(Table3[[#This Row],[DOB]],TODAY(),"Y")</f>
        <v>28</v>
      </c>
      <c r="N4" s="7" t="str">
        <f>VLOOKUP(A4, Hometown!A:B, 2,FALSE)</f>
        <v>Kleinburg</v>
      </c>
      <c r="O4" s="1" t="s">
        <v>52</v>
      </c>
      <c r="P4" s="1" t="s">
        <v>8</v>
      </c>
      <c r="R4" s="15" t="s">
        <v>96</v>
      </c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x14ac:dyDescent="0.3">
      <c r="A5" s="1">
        <v>4</v>
      </c>
      <c r="B5" s="1" t="s">
        <v>0</v>
      </c>
      <c r="C5" s="1" t="s">
        <v>37</v>
      </c>
      <c r="D5" s="1" t="s">
        <v>78</v>
      </c>
      <c r="E5" s="1" t="s">
        <v>60</v>
      </c>
      <c r="F5" s="1" t="str">
        <f t="shared" si="0"/>
        <v>Jennifer</v>
      </c>
      <c r="G5" s="1" t="str">
        <f t="shared" si="1"/>
        <v>Wakefield</v>
      </c>
      <c r="H5" s="1">
        <v>172</v>
      </c>
      <c r="I5" s="1" t="s">
        <v>35</v>
      </c>
      <c r="J5" s="1">
        <f t="shared" si="2"/>
        <v>70</v>
      </c>
      <c r="K5" s="1">
        <f>ROUND(Table3[[#This Row],[Weight]]*703/POWER(Table3[[#This Row],[HeightIn]],2),0)</f>
        <v>25</v>
      </c>
      <c r="L5" s="3">
        <v>32674</v>
      </c>
      <c r="M5" s="7">
        <f ca="1">DATEDIF(Table3[[#This Row],[DOB]],TODAY(),"Y")</f>
        <v>32</v>
      </c>
      <c r="N5" s="7" t="str">
        <f>VLOOKUP(A5, Hometown!A:B, 2,FALSE)</f>
        <v>Pickering</v>
      </c>
      <c r="O5" s="1" t="s">
        <v>52</v>
      </c>
      <c r="P5" s="1" t="s">
        <v>8</v>
      </c>
    </row>
    <row r="6" spans="1:28" x14ac:dyDescent="0.3">
      <c r="A6" s="1">
        <v>5</v>
      </c>
      <c r="B6" s="1" t="s">
        <v>0</v>
      </c>
      <c r="C6" s="1" t="s">
        <v>37</v>
      </c>
      <c r="D6" s="1" t="s">
        <v>78</v>
      </c>
      <c r="E6" s="1" t="s">
        <v>61</v>
      </c>
      <c r="F6" s="1" t="str">
        <f t="shared" si="0"/>
        <v>Jillian</v>
      </c>
      <c r="G6" s="1" t="str">
        <f t="shared" si="1"/>
        <v>Saulnier</v>
      </c>
      <c r="H6" s="1">
        <v>144</v>
      </c>
      <c r="I6" s="1" t="s">
        <v>39</v>
      </c>
      <c r="J6" s="1">
        <f t="shared" si="2"/>
        <v>65</v>
      </c>
      <c r="K6" s="1">
        <f>ROUND(Table3[[#This Row],[Weight]]*703/POWER(Table3[[#This Row],[HeightIn]],2),0)</f>
        <v>24</v>
      </c>
      <c r="L6" s="3">
        <v>33670</v>
      </c>
      <c r="M6" s="7">
        <f ca="1">DATEDIF(Table3[[#This Row],[DOB]],TODAY(),"Y")</f>
        <v>30</v>
      </c>
      <c r="N6" s="7" t="str">
        <f>VLOOKUP(A6, Hometown!A:B, 2,FALSE)</f>
        <v>Halifax</v>
      </c>
      <c r="O6" s="1" t="s">
        <v>53</v>
      </c>
      <c r="P6" s="1" t="s">
        <v>8</v>
      </c>
      <c r="R6" s="9" t="s">
        <v>84</v>
      </c>
      <c r="S6" s="9"/>
      <c r="T6" s="9"/>
      <c r="U6" s="9"/>
      <c r="V6" s="9"/>
      <c r="W6" s="1">
        <f>AVERAGE(Table3[Weight])</f>
        <v>169.15</v>
      </c>
      <c r="Z6" s="5" t="s">
        <v>97</v>
      </c>
      <c r="AA6" s="1">
        <f>QUARTILE(Table3[Weight],1)</f>
        <v>148</v>
      </c>
    </row>
    <row r="7" spans="1:28" x14ac:dyDescent="0.3">
      <c r="A7" s="1">
        <v>6</v>
      </c>
      <c r="B7" s="1" t="s">
        <v>1</v>
      </c>
      <c r="C7" s="1" t="s">
        <v>37</v>
      </c>
      <c r="D7" s="1" t="s">
        <v>78</v>
      </c>
      <c r="E7" s="1" t="s">
        <v>62</v>
      </c>
      <c r="F7" s="1" t="str">
        <f t="shared" si="0"/>
        <v>Mat</v>
      </c>
      <c r="G7" s="1" t="str">
        <f t="shared" si="1"/>
        <v>Robinson</v>
      </c>
      <c r="H7" s="1">
        <v>185</v>
      </c>
      <c r="I7" s="1" t="s">
        <v>35</v>
      </c>
      <c r="J7" s="1">
        <f t="shared" si="2"/>
        <v>70</v>
      </c>
      <c r="K7" s="1">
        <f>ROUND(Table3[[#This Row],[Weight]]*703/POWER(Table3[[#This Row],[HeightIn]],2),0)</f>
        <v>27</v>
      </c>
      <c r="L7" s="3">
        <v>31583</v>
      </c>
      <c r="M7" s="7">
        <f ca="1">DATEDIF(Table3[[#This Row],[DOB]],TODAY(),"Y")</f>
        <v>35</v>
      </c>
      <c r="N7" s="7" t="str">
        <f>VLOOKUP(A7, Hometown!A:B, 2,FALSE)</f>
        <v>Calgary</v>
      </c>
      <c r="O7" s="1" t="s">
        <v>56</v>
      </c>
      <c r="P7" s="1" t="s">
        <v>55</v>
      </c>
      <c r="R7" s="9" t="s">
        <v>79</v>
      </c>
      <c r="S7" s="9"/>
      <c r="T7" s="9"/>
      <c r="U7" s="9"/>
      <c r="V7" s="9"/>
      <c r="W7" s="1">
        <f>SUM(H2:H21)</f>
        <v>3383</v>
      </c>
      <c r="Z7" s="5" t="s">
        <v>98</v>
      </c>
      <c r="AA7" s="1">
        <f>QUARTILE(Table3[Weight],3)</f>
        <v>187.5</v>
      </c>
    </row>
    <row r="8" spans="1:28" x14ac:dyDescent="0.3">
      <c r="A8" s="1">
        <v>7</v>
      </c>
      <c r="B8" s="1" t="s">
        <v>1</v>
      </c>
      <c r="C8" s="1" t="s">
        <v>37</v>
      </c>
      <c r="D8" s="1" t="s">
        <v>78</v>
      </c>
      <c r="E8" s="1" t="s">
        <v>63</v>
      </c>
      <c r="F8" s="1" t="str">
        <f t="shared" si="0"/>
        <v>Maxim</v>
      </c>
      <c r="G8" s="1" t="str">
        <f t="shared" si="1"/>
        <v>Noreau</v>
      </c>
      <c r="H8" s="1">
        <v>198</v>
      </c>
      <c r="I8" s="1" t="s">
        <v>31</v>
      </c>
      <c r="J8" s="1">
        <f t="shared" si="2"/>
        <v>72</v>
      </c>
      <c r="K8" s="1">
        <f>ROUND(Table3[[#This Row],[Weight]]*703/POWER(Table3[[#This Row],[HeightIn]],2),0)</f>
        <v>27</v>
      </c>
      <c r="L8" s="3">
        <v>31921</v>
      </c>
      <c r="M8" s="7">
        <f ca="1">DATEDIF(Table3[[#This Row],[DOB]],TODAY(),"Y")</f>
        <v>34</v>
      </c>
      <c r="N8" s="7" t="str">
        <f>VLOOKUP(A8, Hometown!A:B, 2,FALSE)</f>
        <v>Montreal</v>
      </c>
      <c r="O8" s="1" t="s">
        <v>54</v>
      </c>
      <c r="P8" s="1" t="s">
        <v>55</v>
      </c>
      <c r="R8" s="12" t="s">
        <v>80</v>
      </c>
      <c r="S8" s="13"/>
      <c r="T8" s="13"/>
      <c r="U8" s="13"/>
      <c r="V8" s="14"/>
      <c r="W8" s="1">
        <f>MAX(Table3[Weight])</f>
        <v>210</v>
      </c>
      <c r="Z8" s="5" t="s">
        <v>99</v>
      </c>
      <c r="AA8" s="1">
        <f>AA7-AA6</f>
        <v>39.5</v>
      </c>
    </row>
    <row r="9" spans="1:28" x14ac:dyDescent="0.3">
      <c r="A9" s="1">
        <v>8</v>
      </c>
      <c r="B9" s="1" t="s">
        <v>1</v>
      </c>
      <c r="C9" s="1" t="s">
        <v>37</v>
      </c>
      <c r="D9" s="1" t="s">
        <v>78</v>
      </c>
      <c r="E9" s="1" t="s">
        <v>64</v>
      </c>
      <c r="F9" s="1" t="str">
        <f t="shared" si="0"/>
        <v>Ben</v>
      </c>
      <c r="G9" s="1" t="str">
        <f t="shared" si="1"/>
        <v>Scrivens</v>
      </c>
      <c r="H9" s="1">
        <v>181</v>
      </c>
      <c r="I9" s="1" t="s">
        <v>33</v>
      </c>
      <c r="J9" s="1">
        <f t="shared" si="2"/>
        <v>74</v>
      </c>
      <c r="K9" s="1">
        <f>ROUND(Table3[[#This Row],[Weight]]*703/POWER(Table3[[#This Row],[HeightIn]],2),0)</f>
        <v>23</v>
      </c>
      <c r="L9" s="3">
        <v>31666</v>
      </c>
      <c r="M9" s="7">
        <f ca="1">DATEDIF(Table3[[#This Row],[DOB]],TODAY(),"Y")</f>
        <v>35</v>
      </c>
      <c r="N9" s="7" t="str">
        <f>VLOOKUP(A9, Hometown!A:B, 2,FALSE)</f>
        <v>Spruce Grove</v>
      </c>
      <c r="O9" s="1" t="s">
        <v>56</v>
      </c>
      <c r="P9" s="1" t="s">
        <v>11</v>
      </c>
      <c r="R9" s="12" t="s">
        <v>81</v>
      </c>
      <c r="S9" s="13"/>
      <c r="T9" s="13"/>
      <c r="U9" s="13"/>
      <c r="V9" s="14"/>
      <c r="W9" s="1">
        <f>MIN(Table3[Weight])</f>
        <v>123</v>
      </c>
    </row>
    <row r="10" spans="1:28" x14ac:dyDescent="0.3">
      <c r="A10" s="1">
        <v>9</v>
      </c>
      <c r="B10" s="1" t="s">
        <v>1</v>
      </c>
      <c r="C10" s="1" t="s">
        <v>37</v>
      </c>
      <c r="D10" s="1" t="s">
        <v>78</v>
      </c>
      <c r="E10" s="1" t="s">
        <v>65</v>
      </c>
      <c r="F10" s="1" t="str">
        <f t="shared" si="0"/>
        <v>Kevin</v>
      </c>
      <c r="G10" s="1" t="str">
        <f t="shared" si="1"/>
        <v>Poulin</v>
      </c>
      <c r="H10" s="1">
        <v>205</v>
      </c>
      <c r="I10" s="1" t="s">
        <v>33</v>
      </c>
      <c r="J10" s="1">
        <f t="shared" si="2"/>
        <v>74</v>
      </c>
      <c r="K10" s="1">
        <f>ROUND(Table3[[#This Row],[Weight]]*703/POWER(Table3[[#This Row],[HeightIn]],2),0)</f>
        <v>26</v>
      </c>
      <c r="L10" s="3">
        <v>32975</v>
      </c>
      <c r="M10" s="7">
        <f ca="1">DATEDIF(Table3[[#This Row],[DOB]],TODAY(),"Y")</f>
        <v>32</v>
      </c>
      <c r="N10" s="7" t="str">
        <f>VLOOKUP(A10, Hometown!A:B, 2,FALSE)</f>
        <v>Montreal</v>
      </c>
      <c r="O10" s="1" t="s">
        <v>54</v>
      </c>
      <c r="P10" s="1" t="s">
        <v>11</v>
      </c>
      <c r="R10" s="12" t="s">
        <v>82</v>
      </c>
      <c r="S10" s="13"/>
      <c r="T10" s="13"/>
      <c r="U10" s="13"/>
      <c r="V10" s="14"/>
      <c r="W10">
        <f>COUNTA(Table3[Team])</f>
        <v>20</v>
      </c>
    </row>
    <row r="11" spans="1:28" x14ac:dyDescent="0.3">
      <c r="A11" s="1">
        <v>10</v>
      </c>
      <c r="B11" s="1" t="s">
        <v>1</v>
      </c>
      <c r="C11" s="1" t="s">
        <v>37</v>
      </c>
      <c r="D11" s="1" t="s">
        <v>78</v>
      </c>
      <c r="E11" s="1" t="s">
        <v>66</v>
      </c>
      <c r="F11" s="1" t="str">
        <f t="shared" si="0"/>
        <v>Justin</v>
      </c>
      <c r="G11" s="1" t="str">
        <f t="shared" si="1"/>
        <v>Peters</v>
      </c>
      <c r="H11" s="1">
        <v>210</v>
      </c>
      <c r="I11" s="1" t="s">
        <v>34</v>
      </c>
      <c r="J11" s="1">
        <f t="shared" si="2"/>
        <v>73</v>
      </c>
      <c r="K11" s="1">
        <f>ROUND(Table3[[#This Row],[Weight]]*703/POWER(Table3[[#This Row],[HeightIn]],2),0)</f>
        <v>28</v>
      </c>
      <c r="L11" s="3">
        <v>31654</v>
      </c>
      <c r="M11" s="7">
        <f ca="1">DATEDIF(Table3[[#This Row],[DOB]],TODAY(),"Y")</f>
        <v>35</v>
      </c>
      <c r="N11" s="7" t="str">
        <f>VLOOKUP(A11, Hometown!A:B, 2,FALSE)</f>
        <v>Blyth</v>
      </c>
      <c r="O11" s="1" t="s">
        <v>52</v>
      </c>
      <c r="P11" s="1" t="s">
        <v>11</v>
      </c>
      <c r="R11" s="12" t="s">
        <v>85</v>
      </c>
      <c r="S11" s="13"/>
      <c r="T11" s="13"/>
      <c r="U11" s="13"/>
      <c r="V11" s="14"/>
      <c r="W11" s="1">
        <f>COUNTA(Table3[Team])</f>
        <v>20</v>
      </c>
    </row>
    <row r="12" spans="1:28" ht="14.4" customHeight="1" x14ac:dyDescent="0.3">
      <c r="A12" s="1">
        <v>11</v>
      </c>
      <c r="B12" s="1" t="s">
        <v>0</v>
      </c>
      <c r="C12" s="1" t="s">
        <v>2</v>
      </c>
      <c r="D12" s="1" t="s">
        <v>2</v>
      </c>
      <c r="E12" s="1" t="s">
        <v>67</v>
      </c>
      <c r="F12" s="1" t="str">
        <f t="shared" si="0"/>
        <v>Cayla</v>
      </c>
      <c r="G12" s="1" t="str">
        <f t="shared" si="1"/>
        <v>Barnes</v>
      </c>
      <c r="H12" s="1">
        <v>145</v>
      </c>
      <c r="I12" s="1" t="s">
        <v>50</v>
      </c>
      <c r="J12" s="1">
        <f t="shared" si="2"/>
        <v>61</v>
      </c>
      <c r="K12" s="1">
        <f>ROUND(Table3[[#This Row],[Weight]]*703/POWER(Table3[[#This Row],[HeightIn]],2),0)</f>
        <v>27</v>
      </c>
      <c r="L12" s="3">
        <v>36167</v>
      </c>
      <c r="M12" s="7">
        <f ca="1">DATEDIF(Table3[[#This Row],[DOB]],TODAY(),"Y")</f>
        <v>23</v>
      </c>
      <c r="N12" s="7" t="str">
        <f>VLOOKUP(A12, Hometown!A:B, 2,FALSE)</f>
        <v>Eastvale</v>
      </c>
      <c r="O12" s="1" t="s">
        <v>4</v>
      </c>
      <c r="P12" s="1" t="s">
        <v>55</v>
      </c>
      <c r="R12" s="12" t="s">
        <v>94</v>
      </c>
      <c r="S12" s="13"/>
      <c r="T12" s="13"/>
      <c r="U12" s="13"/>
      <c r="V12" s="14"/>
      <c r="W12" s="1">
        <f>MEDIAN(H2:H21)</f>
        <v>171</v>
      </c>
    </row>
    <row r="13" spans="1:28" x14ac:dyDescent="0.3">
      <c r="A13" s="1">
        <v>12</v>
      </c>
      <c r="B13" s="1" t="s">
        <v>0</v>
      </c>
      <c r="C13" s="1" t="s">
        <v>2</v>
      </c>
      <c r="D13" s="1" t="s">
        <v>2</v>
      </c>
      <c r="E13" s="1" t="s">
        <v>68</v>
      </c>
      <c r="F13" s="1" t="str">
        <f t="shared" si="0"/>
        <v>Kacey</v>
      </c>
      <c r="G13" s="1" t="str">
        <f t="shared" si="1"/>
        <v>Bellamy</v>
      </c>
      <c r="H13" s="1">
        <v>145</v>
      </c>
      <c r="I13" s="1" t="s">
        <v>36</v>
      </c>
      <c r="J13" s="1">
        <f t="shared" si="2"/>
        <v>67</v>
      </c>
      <c r="K13" s="1">
        <f>ROUND(Table3[[#This Row],[Weight]]*703/POWER(Table3[[#This Row],[HeightIn]],2),0)</f>
        <v>23</v>
      </c>
      <c r="L13" s="3">
        <v>31889</v>
      </c>
      <c r="M13" s="7">
        <f ca="1">DATEDIF(Table3[[#This Row],[DOB]],TODAY(),"Y")</f>
        <v>35</v>
      </c>
      <c r="N13" s="7" t="str">
        <f>VLOOKUP(A13, Hometown!A:B, 2,FALSE)</f>
        <v>Westfield</v>
      </c>
      <c r="O13" s="1" t="s">
        <v>6</v>
      </c>
      <c r="P13" s="1" t="s">
        <v>55</v>
      </c>
      <c r="R13" s="12" t="s">
        <v>95</v>
      </c>
      <c r="S13" s="13"/>
      <c r="T13" s="13"/>
      <c r="U13" s="13"/>
      <c r="V13" s="14"/>
      <c r="W13" s="1">
        <f>STDEV(Table3[Weight])</f>
        <v>24.817809818969295</v>
      </c>
    </row>
    <row r="14" spans="1:28" x14ac:dyDescent="0.3">
      <c r="A14" s="1">
        <v>13</v>
      </c>
      <c r="B14" s="1" t="s">
        <v>0</v>
      </c>
      <c r="C14" s="1" t="s">
        <v>2</v>
      </c>
      <c r="D14" s="1" t="s">
        <v>2</v>
      </c>
      <c r="E14" s="1" t="s">
        <v>69</v>
      </c>
      <c r="F14" s="1" t="str">
        <f t="shared" si="0"/>
        <v>Hannah</v>
      </c>
      <c r="G14" s="1" t="str">
        <f t="shared" si="1"/>
        <v>Brandt</v>
      </c>
      <c r="H14" s="1">
        <v>150</v>
      </c>
      <c r="I14" s="1" t="s">
        <v>40</v>
      </c>
      <c r="J14" s="1">
        <f t="shared" si="2"/>
        <v>66</v>
      </c>
      <c r="K14" s="1">
        <f>ROUND(Table3[[#This Row],[Weight]]*703/POWER(Table3[[#This Row],[HeightIn]],2),0)</f>
        <v>24</v>
      </c>
      <c r="L14" s="3">
        <v>34300</v>
      </c>
      <c r="M14" s="7">
        <f ca="1">DATEDIF(Table3[[#This Row],[DOB]],TODAY(),"Y")</f>
        <v>28</v>
      </c>
      <c r="N14" s="7" t="str">
        <f>VLOOKUP(A14, Hometown!A:B, 2,FALSE)</f>
        <v>Vadnais Heights</v>
      </c>
      <c r="O14" s="1" t="s">
        <v>7</v>
      </c>
      <c r="P14" s="1" t="s">
        <v>8</v>
      </c>
      <c r="R14" s="12" t="s">
        <v>88</v>
      </c>
      <c r="S14" s="13"/>
      <c r="T14" s="13"/>
      <c r="U14" s="13"/>
      <c r="V14" s="14"/>
      <c r="W14" s="1">
        <f>COUNTIF(Table3[Weight],"&gt;169.15")</f>
        <v>11</v>
      </c>
    </row>
    <row r="15" spans="1:28" x14ac:dyDescent="0.3">
      <c r="A15" s="1">
        <v>14</v>
      </c>
      <c r="B15" s="1" t="s">
        <v>0</v>
      </c>
      <c r="C15" s="1" t="s">
        <v>2</v>
      </c>
      <c r="D15" s="1" t="s">
        <v>2</v>
      </c>
      <c r="E15" s="1" t="s">
        <v>70</v>
      </c>
      <c r="F15" s="1" t="str">
        <f t="shared" si="0"/>
        <v>Dani</v>
      </c>
      <c r="G15" s="1" t="str">
        <f t="shared" si="1"/>
        <v>Cameranesi</v>
      </c>
      <c r="H15" s="1">
        <v>148</v>
      </c>
      <c r="I15" s="1" t="s">
        <v>39</v>
      </c>
      <c r="J15" s="1">
        <f t="shared" si="2"/>
        <v>65</v>
      </c>
      <c r="K15" s="1">
        <f>ROUND(Table3[[#This Row],[Weight]]*703/POWER(Table3[[#This Row],[HeightIn]],2),0)</f>
        <v>25</v>
      </c>
      <c r="L15" s="3">
        <v>34880</v>
      </c>
      <c r="M15" s="7">
        <f ca="1">DATEDIF(Table3[[#This Row],[DOB]],TODAY(),"Y")</f>
        <v>26</v>
      </c>
      <c r="N15" s="7" t="str">
        <f>VLOOKUP(A15, Hometown!A:B, 2,FALSE)</f>
        <v>Plymouth</v>
      </c>
      <c r="O15" s="1" t="s">
        <v>7</v>
      </c>
      <c r="P15" s="1" t="s">
        <v>8</v>
      </c>
    </row>
    <row r="16" spans="1:28" x14ac:dyDescent="0.3">
      <c r="A16" s="1">
        <v>15</v>
      </c>
      <c r="B16" s="1" t="s">
        <v>0</v>
      </c>
      <c r="C16" s="1" t="s">
        <v>2</v>
      </c>
      <c r="D16" s="1" t="s">
        <v>2</v>
      </c>
      <c r="E16" s="1" t="s">
        <v>71</v>
      </c>
      <c r="F16" s="1" t="str">
        <f t="shared" si="0"/>
        <v>Kendall</v>
      </c>
      <c r="G16" s="1" t="str">
        <f t="shared" si="1"/>
        <v>Coyne</v>
      </c>
      <c r="H16" s="1">
        <v>123</v>
      </c>
      <c r="I16" s="1" t="s">
        <v>51</v>
      </c>
      <c r="J16" s="1">
        <f t="shared" si="2"/>
        <v>62</v>
      </c>
      <c r="K16" s="1">
        <f>ROUND(Table3[[#This Row],[Weight]]*703/POWER(Table3[[#This Row],[HeightIn]],2),0)</f>
        <v>22</v>
      </c>
      <c r="L16" s="3">
        <v>33749</v>
      </c>
      <c r="M16" s="7">
        <f ca="1">DATEDIF(Table3[[#This Row],[DOB]],TODAY(),"Y")</f>
        <v>29</v>
      </c>
      <c r="N16" s="7" t="str">
        <f>VLOOKUP(A16, Hometown!A:B, 2,FALSE)</f>
        <v>Palos Heights</v>
      </c>
      <c r="O16" s="1" t="s">
        <v>10</v>
      </c>
      <c r="P16" s="1" t="s">
        <v>8</v>
      </c>
    </row>
    <row r="17" spans="1:31" x14ac:dyDescent="0.3">
      <c r="A17" s="1">
        <v>16</v>
      </c>
      <c r="B17" s="1" t="s">
        <v>1</v>
      </c>
      <c r="C17" s="1" t="s">
        <v>2</v>
      </c>
      <c r="D17" s="1" t="s">
        <v>2</v>
      </c>
      <c r="E17" s="1" t="s">
        <v>72</v>
      </c>
      <c r="F17" s="1" t="str">
        <f t="shared" si="0"/>
        <v>Mark</v>
      </c>
      <c r="G17" s="1" t="str">
        <f t="shared" si="1"/>
        <v>Arcobello</v>
      </c>
      <c r="H17" s="1">
        <v>170</v>
      </c>
      <c r="I17" s="1" t="s">
        <v>32</v>
      </c>
      <c r="J17" s="1">
        <f t="shared" si="2"/>
        <v>68</v>
      </c>
      <c r="K17" s="1">
        <f>ROUND(Table3[[#This Row],[Weight]]*703/POWER(Table3[[#This Row],[HeightIn]],2),0)</f>
        <v>26</v>
      </c>
      <c r="L17" s="3">
        <v>32367</v>
      </c>
      <c r="M17" s="7">
        <f ca="1">DATEDIF(Table3[[#This Row],[DOB]],TODAY(),"Y")</f>
        <v>33</v>
      </c>
      <c r="N17" s="7" t="str">
        <f>VLOOKUP(A17, Hometown!A:B, 2,FALSE)</f>
        <v>Milford</v>
      </c>
      <c r="O17" s="1" t="s">
        <v>14</v>
      </c>
      <c r="P17" s="1" t="s">
        <v>8</v>
      </c>
    </row>
    <row r="18" spans="1:31" x14ac:dyDescent="0.3">
      <c r="A18" s="1">
        <v>17</v>
      </c>
      <c r="B18" s="1" t="s">
        <v>1</v>
      </c>
      <c r="C18" s="1" t="s">
        <v>2</v>
      </c>
      <c r="D18" s="1" t="s">
        <v>2</v>
      </c>
      <c r="E18" s="1" t="s">
        <v>73</v>
      </c>
      <c r="F18" s="1" t="str">
        <f t="shared" si="0"/>
        <v>Chad</v>
      </c>
      <c r="G18" s="1" t="str">
        <f t="shared" si="1"/>
        <v>Billins</v>
      </c>
      <c r="H18" s="1">
        <v>185</v>
      </c>
      <c r="I18" s="1" t="s">
        <v>35</v>
      </c>
      <c r="J18" s="1">
        <f t="shared" si="2"/>
        <v>70</v>
      </c>
      <c r="K18" s="1">
        <f>ROUND(Table3[[#This Row],[Weight]]*703/POWER(Table3[[#This Row],[HeightIn]],2),0)</f>
        <v>27</v>
      </c>
      <c r="L18" s="3">
        <v>32654</v>
      </c>
      <c r="M18" s="7">
        <f ca="1">DATEDIF(Table3[[#This Row],[DOB]],TODAY(),"Y")</f>
        <v>32</v>
      </c>
      <c r="N18" s="7" t="str">
        <f>VLOOKUP(A18, Hometown!A:B, 2,FALSE)</f>
        <v>Marysville</v>
      </c>
      <c r="O18" s="1" t="s">
        <v>12</v>
      </c>
      <c r="P18" s="1" t="s">
        <v>55</v>
      </c>
      <c r="R18"/>
      <c r="S18"/>
      <c r="T18"/>
      <c r="U18"/>
      <c r="V18"/>
    </row>
    <row r="19" spans="1:31" x14ac:dyDescent="0.3">
      <c r="A19" s="1">
        <v>18</v>
      </c>
      <c r="B19" s="1" t="s">
        <v>1</v>
      </c>
      <c r="C19" s="1" t="s">
        <v>2</v>
      </c>
      <c r="D19" s="1" t="s">
        <v>2</v>
      </c>
      <c r="E19" s="1" t="s">
        <v>74</v>
      </c>
      <c r="F19" s="1" t="str">
        <f t="shared" si="0"/>
        <v>Jonathan</v>
      </c>
      <c r="G19" s="1" t="str">
        <f t="shared" si="1"/>
        <v>Blum</v>
      </c>
      <c r="H19" s="1">
        <v>195</v>
      </c>
      <c r="I19" s="1" t="s">
        <v>34</v>
      </c>
      <c r="J19" s="1">
        <f t="shared" si="2"/>
        <v>73</v>
      </c>
      <c r="K19" s="1">
        <f>ROUND(Table3[[#This Row],[Weight]]*703/POWER(Table3[[#This Row],[HeightIn]],2),0)</f>
        <v>26</v>
      </c>
      <c r="L19" s="3">
        <v>32538</v>
      </c>
      <c r="M19" s="7">
        <f ca="1">DATEDIF(Table3[[#This Row],[DOB]],TODAY(),"Y")</f>
        <v>33</v>
      </c>
      <c r="N19" s="7" t="str">
        <f>VLOOKUP(A19, Hometown!A:B, 2,FALSE)</f>
        <v>Ladera Ranch</v>
      </c>
      <c r="O19" s="1" t="s">
        <v>4</v>
      </c>
      <c r="P19" s="1" t="s">
        <v>55</v>
      </c>
    </row>
    <row r="20" spans="1:31" x14ac:dyDescent="0.3">
      <c r="A20" s="1">
        <v>19</v>
      </c>
      <c r="B20" s="1" t="s">
        <v>1</v>
      </c>
      <c r="C20" s="1" t="s">
        <v>2</v>
      </c>
      <c r="D20" s="1" t="s">
        <v>2</v>
      </c>
      <c r="E20" s="1" t="s">
        <v>75</v>
      </c>
      <c r="F20" s="1" t="str">
        <f t="shared" si="0"/>
        <v>Will</v>
      </c>
      <c r="G20" s="1" t="str">
        <f t="shared" si="1"/>
        <v>Borgen</v>
      </c>
      <c r="H20" s="1">
        <v>195</v>
      </c>
      <c r="I20" s="1" t="s">
        <v>33</v>
      </c>
      <c r="J20" s="1">
        <f t="shared" si="2"/>
        <v>74</v>
      </c>
      <c r="K20" s="1">
        <f>ROUND(Table3[[#This Row],[Weight]]*703/POWER(Table3[[#This Row],[HeightIn]],2),0)</f>
        <v>25</v>
      </c>
      <c r="L20" s="3">
        <v>35418</v>
      </c>
      <c r="M20" s="7">
        <f ca="1">DATEDIF(Table3[[#This Row],[DOB]],TODAY(),"Y")</f>
        <v>25</v>
      </c>
      <c r="N20" s="7" t="str">
        <f>VLOOKUP(A20, Hometown!A:B, 2,FALSE)</f>
        <v>Moorhead</v>
      </c>
      <c r="O20" s="1" t="s">
        <v>7</v>
      </c>
      <c r="P20" s="1" t="s">
        <v>55</v>
      </c>
    </row>
    <row r="21" spans="1:31" x14ac:dyDescent="0.3">
      <c r="A21" s="1">
        <v>20</v>
      </c>
      <c r="B21" s="1" t="s">
        <v>1</v>
      </c>
      <c r="C21" s="1" t="s">
        <v>2</v>
      </c>
      <c r="D21" s="1" t="s">
        <v>2</v>
      </c>
      <c r="E21" s="1" t="s">
        <v>76</v>
      </c>
      <c r="F21" s="1" t="str">
        <f t="shared" si="0"/>
        <v>Chris</v>
      </c>
      <c r="G21" s="1" t="str">
        <f t="shared" si="1"/>
        <v>Bourque</v>
      </c>
      <c r="H21" s="1">
        <v>180</v>
      </c>
      <c r="I21" s="1" t="s">
        <v>32</v>
      </c>
      <c r="J21" s="1">
        <f t="shared" si="2"/>
        <v>68</v>
      </c>
      <c r="K21" s="1">
        <f>ROUND(Table3[[#This Row],[Weight]]*703/POWER(Table3[[#This Row],[HeightIn]],2),0)</f>
        <v>27</v>
      </c>
      <c r="L21" s="3">
        <v>31441</v>
      </c>
      <c r="M21" s="7">
        <f ca="1">DATEDIF(Table3[[#This Row],[DOB]],TODAY(),"Y")</f>
        <v>36</v>
      </c>
      <c r="N21" s="7" t="str">
        <f>VLOOKUP(A21, Hometown!A:B, 2,FALSE)</f>
        <v>North Reading</v>
      </c>
      <c r="O21" s="1" t="s">
        <v>6</v>
      </c>
      <c r="P21" s="1" t="s">
        <v>8</v>
      </c>
    </row>
    <row r="24" spans="1:31" x14ac:dyDescent="0.3">
      <c r="R24" s="15" t="s">
        <v>100</v>
      </c>
      <c r="S24" s="15"/>
      <c r="T24" s="15"/>
      <c r="U24" s="15"/>
      <c r="V24" s="15"/>
      <c r="W24" s="15"/>
      <c r="Z24" s="10" t="s">
        <v>101</v>
      </c>
      <c r="AA24" s="10"/>
      <c r="AB24" s="10"/>
      <c r="AC24" s="10"/>
      <c r="AD24" s="10"/>
      <c r="AE24" s="11"/>
    </row>
    <row r="25" spans="1:31" x14ac:dyDescent="0.3">
      <c r="R25" s="9" t="s">
        <v>83</v>
      </c>
      <c r="S25" s="9"/>
      <c r="T25" s="9"/>
      <c r="U25" s="9"/>
      <c r="V25" s="9"/>
      <c r="W25" s="1">
        <f>SUMIF(Table3[Team],"Men",Table3[Weight])</f>
        <v>1904</v>
      </c>
      <c r="Z25" s="9" t="s">
        <v>112</v>
      </c>
      <c r="AA25" s="9"/>
      <c r="AB25" s="9"/>
      <c r="AC25" s="9"/>
      <c r="AD25" s="9"/>
      <c r="AE25" s="1">
        <f>SUMIF(Table3[Team],"Women",Table3[Weight])</f>
        <v>1479</v>
      </c>
    </row>
    <row r="26" spans="1:31" x14ac:dyDescent="0.3">
      <c r="R26" s="9" t="s">
        <v>86</v>
      </c>
      <c r="S26" s="9"/>
      <c r="T26" s="9"/>
      <c r="U26" s="9"/>
      <c r="V26" s="9"/>
      <c r="W26" s="1">
        <f>AVERAGEIF(Table3[Team],"Men",Table3[Weight])</f>
        <v>190.4</v>
      </c>
      <c r="Z26" s="9" t="s">
        <v>113</v>
      </c>
      <c r="AA26" s="9"/>
      <c r="AB26" s="9"/>
      <c r="AC26" s="9"/>
      <c r="AD26" s="9"/>
      <c r="AE26" s="1">
        <f>AVERAGEIF(Table3[Team],"Women",Table3[Weight])</f>
        <v>147.9</v>
      </c>
    </row>
    <row r="27" spans="1:31" x14ac:dyDescent="0.3">
      <c r="R27" s="12" t="s">
        <v>87</v>
      </c>
      <c r="S27" s="13"/>
      <c r="T27" s="13"/>
      <c r="U27" s="13"/>
      <c r="V27" s="14"/>
      <c r="W27" s="1">
        <f>COUNTIF(Table3[Team],"Men")</f>
        <v>10</v>
      </c>
      <c r="Z27" s="12" t="s">
        <v>114</v>
      </c>
      <c r="AA27" s="13"/>
      <c r="AB27" s="13"/>
      <c r="AC27" s="13"/>
      <c r="AD27" s="14"/>
      <c r="AE27" s="1">
        <f>COUNTIF(Table3[Team],"Women")</f>
        <v>10</v>
      </c>
    </row>
    <row r="28" spans="1:31" x14ac:dyDescent="0.3">
      <c r="A28" s="16" t="s">
        <v>89</v>
      </c>
      <c r="B28" s="17"/>
      <c r="C28" s="17"/>
      <c r="D28" s="17"/>
    </row>
    <row r="29" spans="1:31" x14ac:dyDescent="0.3">
      <c r="A29" s="18" t="s">
        <v>90</v>
      </c>
      <c r="B29" s="18"/>
      <c r="C29" s="18"/>
      <c r="D29" s="1" t="str">
        <f>VLOOKUP(15,A1:P21,5,FALSE)</f>
        <v>Kendall coyne</v>
      </c>
    </row>
    <row r="30" spans="1:31" x14ac:dyDescent="0.3">
      <c r="A30" s="18" t="s">
        <v>91</v>
      </c>
      <c r="B30" s="18"/>
      <c r="C30" s="18"/>
      <c r="D30" s="1" t="str">
        <f>VLOOKUP(20,A1:P21,3,FALSE)</f>
        <v>USA</v>
      </c>
    </row>
    <row r="32" spans="1:31" x14ac:dyDescent="0.3">
      <c r="A32" s="15" t="s">
        <v>109</v>
      </c>
      <c r="B32" s="15"/>
      <c r="C32" s="15"/>
      <c r="D32" s="15"/>
    </row>
    <row r="33" spans="1:31" x14ac:dyDescent="0.3">
      <c r="A33" s="1" t="s">
        <v>92</v>
      </c>
      <c r="B33" s="1" t="s">
        <v>105</v>
      </c>
      <c r="C33" s="1" t="s">
        <v>18</v>
      </c>
      <c r="D33" s="4" t="s">
        <v>108</v>
      </c>
      <c r="E33" s="4" t="s">
        <v>93</v>
      </c>
      <c r="F33" s="4"/>
      <c r="G33" s="4"/>
    </row>
    <row r="34" spans="1:31" x14ac:dyDescent="0.3">
      <c r="A34" s="1" t="s">
        <v>66</v>
      </c>
      <c r="B34" s="1">
        <f ca="1">VLOOKUP($A$34,$E$2:$P$21,9,0)</f>
        <v>35</v>
      </c>
      <c r="D34" s="1" t="str">
        <f>VLOOKUP($A$34,$E$2:$P$21,12,0)</f>
        <v>Goalie</v>
      </c>
      <c r="E34" s="8" t="str">
        <f>HYPERLINK("https://en.wikipedia.org/wiki/Justin_Peters","Stats")</f>
        <v>Stats</v>
      </c>
    </row>
    <row r="40" spans="1:31" x14ac:dyDescent="0.3">
      <c r="R40" s="15" t="s">
        <v>102</v>
      </c>
      <c r="S40" s="15"/>
      <c r="T40" s="15"/>
      <c r="U40" s="15"/>
      <c r="V40" s="15"/>
      <c r="W40" s="15"/>
      <c r="Z40" s="15" t="s">
        <v>115</v>
      </c>
      <c r="AA40" s="15"/>
      <c r="AB40" s="15"/>
      <c r="AC40" s="15"/>
      <c r="AD40" s="15"/>
      <c r="AE40" s="15"/>
    </row>
    <row r="41" spans="1:31" x14ac:dyDescent="0.3">
      <c r="R41" s="9" t="s">
        <v>103</v>
      </c>
      <c r="S41" s="9"/>
      <c r="T41" s="9"/>
      <c r="U41" s="9"/>
      <c r="V41" s="9"/>
      <c r="W41" s="1">
        <f>AVERAGEIFS(Table3[Weight],Table3[Team],"Men",Table3[Country Code],"CAN")</f>
        <v>195.8</v>
      </c>
      <c r="Z41" s="9" t="s">
        <v>116</v>
      </c>
      <c r="AA41" s="9"/>
      <c r="AB41" s="9"/>
      <c r="AC41" s="9"/>
      <c r="AD41" s="9"/>
      <c r="AE41" s="1">
        <f>AVERAGEIFS(Table3[Weight],Table3[Team],"Women",Table3[Country Code],"CAN")</f>
        <v>153.6</v>
      </c>
    </row>
    <row r="42" spans="1:31" x14ac:dyDescent="0.3">
      <c r="R42" s="9" t="s">
        <v>104</v>
      </c>
      <c r="S42" s="9"/>
      <c r="T42" s="9"/>
      <c r="U42" s="9"/>
      <c r="V42" s="9"/>
      <c r="W42" s="1">
        <f>AVERAGEIFS(Table3[Weight],Table3[Team],"Men",Table3[Country Code],"USA")</f>
        <v>185</v>
      </c>
      <c r="Z42" s="9" t="s">
        <v>117</v>
      </c>
      <c r="AA42" s="9"/>
      <c r="AB42" s="9"/>
      <c r="AC42" s="9"/>
      <c r="AD42" s="9"/>
      <c r="AE42" s="1">
        <f>AVERAGEIFS(Table3[Weight],Table3[Team],"Women",Table3[Country Code],"USA")</f>
        <v>142.19999999999999</v>
      </c>
    </row>
  </sheetData>
  <mergeCells count="28">
    <mergeCell ref="R40:W40"/>
    <mergeCell ref="R41:V41"/>
    <mergeCell ref="R42:V42"/>
    <mergeCell ref="R13:V13"/>
    <mergeCell ref="A29:C29"/>
    <mergeCell ref="A30:C30"/>
    <mergeCell ref="A32:D32"/>
    <mergeCell ref="R4:AB4"/>
    <mergeCell ref="A28:D28"/>
    <mergeCell ref="R24:W24"/>
    <mergeCell ref="R14:V14"/>
    <mergeCell ref="R26:V26"/>
    <mergeCell ref="R27:V27"/>
    <mergeCell ref="R6:V6"/>
    <mergeCell ref="R11:V11"/>
    <mergeCell ref="R12:V12"/>
    <mergeCell ref="R7:V7"/>
    <mergeCell ref="R8:V8"/>
    <mergeCell ref="R9:V9"/>
    <mergeCell ref="R10:V10"/>
    <mergeCell ref="R25:V25"/>
    <mergeCell ref="Z41:AD41"/>
    <mergeCell ref="Z42:AD42"/>
    <mergeCell ref="Z24:AE24"/>
    <mergeCell ref="Z25:AD25"/>
    <mergeCell ref="Z26:AD26"/>
    <mergeCell ref="Z27:AD27"/>
    <mergeCell ref="Z40:AE40"/>
  </mergeCells>
  <conditionalFormatting sqref="A2:P21">
    <cfRule type="expression" dxfId="1" priority="1">
      <formula>$B2="Women"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N18" sqref="N18"/>
    </sheetView>
  </sheetViews>
  <sheetFormatPr defaultRowHeight="14.4" x14ac:dyDescent="0.3"/>
  <cols>
    <col min="1" max="1" width="8.33203125" style="1" bestFit="1" customWidth="1"/>
    <col min="2" max="2" width="15.5546875" style="1" bestFit="1" customWidth="1"/>
  </cols>
  <sheetData>
    <row r="1" spans="1:2" x14ac:dyDescent="0.3">
      <c r="A1" t="s">
        <v>23</v>
      </c>
      <c r="B1" t="s">
        <v>18</v>
      </c>
    </row>
    <row r="2" spans="1:2" x14ac:dyDescent="0.3">
      <c r="A2" s="1">
        <v>1</v>
      </c>
      <c r="B2" s="1" t="s">
        <v>43</v>
      </c>
    </row>
    <row r="3" spans="1:2" x14ac:dyDescent="0.3">
      <c r="A3" s="1">
        <v>2</v>
      </c>
      <c r="B3" s="1" t="s">
        <v>44</v>
      </c>
    </row>
    <row r="4" spans="1:2" x14ac:dyDescent="0.3">
      <c r="A4" s="1">
        <v>4</v>
      </c>
      <c r="B4" s="1" t="s">
        <v>46</v>
      </c>
    </row>
    <row r="5" spans="1:2" x14ac:dyDescent="0.3">
      <c r="A5" s="1">
        <v>3</v>
      </c>
      <c r="B5" s="1" t="s">
        <v>45</v>
      </c>
    </row>
    <row r="6" spans="1:2" x14ac:dyDescent="0.3">
      <c r="A6" s="1">
        <v>5</v>
      </c>
      <c r="B6" s="1" t="s">
        <v>47</v>
      </c>
    </row>
    <row r="7" spans="1:2" x14ac:dyDescent="0.3">
      <c r="A7" s="1">
        <v>6</v>
      </c>
      <c r="B7" s="1" t="s">
        <v>38</v>
      </c>
    </row>
    <row r="8" spans="1:2" x14ac:dyDescent="0.3">
      <c r="A8" s="1">
        <v>7</v>
      </c>
      <c r="B8" s="1" t="s">
        <v>41</v>
      </c>
    </row>
    <row r="9" spans="1:2" x14ac:dyDescent="0.3">
      <c r="A9" s="1">
        <v>8</v>
      </c>
      <c r="B9" s="1" t="s">
        <v>48</v>
      </c>
    </row>
    <row r="10" spans="1:2" x14ac:dyDescent="0.3">
      <c r="A10" s="1">
        <v>9</v>
      </c>
      <c r="B10" s="1" t="s">
        <v>41</v>
      </c>
    </row>
    <row r="11" spans="1:2" x14ac:dyDescent="0.3">
      <c r="A11" s="1">
        <v>11</v>
      </c>
      <c r="B11" s="1" t="s">
        <v>3</v>
      </c>
    </row>
    <row r="12" spans="1:2" x14ac:dyDescent="0.3">
      <c r="A12" s="1">
        <v>10</v>
      </c>
      <c r="B12" s="1" t="s">
        <v>49</v>
      </c>
    </row>
    <row r="13" spans="1:2" x14ac:dyDescent="0.3">
      <c r="A13" s="1">
        <v>12</v>
      </c>
      <c r="B13" s="1" t="s">
        <v>5</v>
      </c>
    </row>
    <row r="14" spans="1:2" x14ac:dyDescent="0.3">
      <c r="A14" s="1">
        <v>13</v>
      </c>
      <c r="B14" s="1" t="s">
        <v>19</v>
      </c>
    </row>
    <row r="15" spans="1:2" x14ac:dyDescent="0.3">
      <c r="A15" s="1">
        <v>14</v>
      </c>
      <c r="B15" s="1" t="s">
        <v>9</v>
      </c>
    </row>
    <row r="16" spans="1:2" x14ac:dyDescent="0.3">
      <c r="A16" s="1">
        <v>15</v>
      </c>
      <c r="B16" s="1" t="s">
        <v>20</v>
      </c>
    </row>
    <row r="17" spans="1:2" x14ac:dyDescent="0.3">
      <c r="A17" s="1">
        <v>16</v>
      </c>
      <c r="B17" s="1" t="s">
        <v>13</v>
      </c>
    </row>
    <row r="18" spans="1:2" x14ac:dyDescent="0.3">
      <c r="A18" s="1">
        <v>17</v>
      </c>
      <c r="B18" s="1" t="s">
        <v>15</v>
      </c>
    </row>
    <row r="19" spans="1:2" x14ac:dyDescent="0.3">
      <c r="A19" s="1">
        <v>18</v>
      </c>
      <c r="B19" s="1" t="s">
        <v>21</v>
      </c>
    </row>
    <row r="20" spans="1:2" x14ac:dyDescent="0.3">
      <c r="A20" s="1">
        <v>20</v>
      </c>
      <c r="B20" s="1" t="s">
        <v>22</v>
      </c>
    </row>
    <row r="21" spans="1:2" x14ac:dyDescent="0.3">
      <c r="A21" s="1">
        <v>19</v>
      </c>
      <c r="B21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topLeftCell="E1" workbookViewId="0">
      <selection activeCell="Q31" sqref="Q31"/>
    </sheetView>
  </sheetViews>
  <sheetFormatPr defaultRowHeight="14.4" x14ac:dyDescent="0.3"/>
  <cols>
    <col min="18" max="18" width="15.6640625" customWidth="1"/>
    <col min="19" max="19" width="22.109375" customWidth="1"/>
  </cols>
  <sheetData>
    <row r="1" spans="1:23" x14ac:dyDescent="0.3">
      <c r="A1" t="s">
        <v>23</v>
      </c>
      <c r="B1" t="s">
        <v>24</v>
      </c>
      <c r="C1" t="s">
        <v>25</v>
      </c>
      <c r="D1" t="s">
        <v>77</v>
      </c>
      <c r="E1" t="s">
        <v>26</v>
      </c>
      <c r="F1" t="s">
        <v>106</v>
      </c>
      <c r="G1" t="s">
        <v>107</v>
      </c>
      <c r="H1" t="s">
        <v>27</v>
      </c>
      <c r="I1" t="s">
        <v>28</v>
      </c>
      <c r="J1" t="s">
        <v>110</v>
      </c>
      <c r="K1" t="s">
        <v>111</v>
      </c>
      <c r="L1" s="2" t="s">
        <v>17</v>
      </c>
      <c r="M1" s="6" t="s">
        <v>105</v>
      </c>
      <c r="N1" s="6" t="s">
        <v>18</v>
      </c>
      <c r="O1" t="s">
        <v>42</v>
      </c>
      <c r="P1" t="s">
        <v>29</v>
      </c>
      <c r="S1" t="s">
        <v>118</v>
      </c>
      <c r="T1" t="s">
        <v>119</v>
      </c>
      <c r="W1" t="s">
        <v>120</v>
      </c>
    </row>
    <row r="2" spans="1:23" x14ac:dyDescent="0.3">
      <c r="A2" s="1">
        <v>1</v>
      </c>
      <c r="B2" s="1" t="s">
        <v>0</v>
      </c>
      <c r="C2" s="1" t="s">
        <v>37</v>
      </c>
      <c r="D2" s="1" t="s">
        <v>78</v>
      </c>
      <c r="E2" s="1" t="s">
        <v>57</v>
      </c>
      <c r="F2" s="1" t="str">
        <f t="shared" ref="F2:F21" si="0">LEFT(E2,SEARCH(" ",E2)-1)</f>
        <v>Meghan</v>
      </c>
      <c r="G2" s="1" t="str">
        <f t="shared" ref="G2:G21" si="1">PROPER(RIGHT(E2,LEN(E2)-SEARCH(" ",E2,1)))</f>
        <v>Agosta</v>
      </c>
      <c r="H2" s="1">
        <v>148</v>
      </c>
      <c r="I2" s="1" t="s">
        <v>36</v>
      </c>
      <c r="J2" s="1">
        <f>LEFT(I2,FIND("'",I2)-1)*12+MID(I2,FIND("'",I2)+1,LEN(I2))</f>
        <v>67</v>
      </c>
      <c r="K2" s="1">
        <f>ROUND(Table32[[#This Row],[Weight]]*703/POWER(Table32[[#This Row],[HeightIn]],2),0)</f>
        <v>23</v>
      </c>
      <c r="L2" s="3">
        <v>31820</v>
      </c>
      <c r="M2" s="7">
        <f ca="1">DATEDIF(Table32[[#This Row],[DOB]],TODAY(),"Y")</f>
        <v>35</v>
      </c>
      <c r="N2" s="7" t="str">
        <f>VLOOKUP(A2, Hometown!A:B, 2,FALSE)</f>
        <v>Ruthven</v>
      </c>
      <c r="O2" s="1" t="s">
        <v>52</v>
      </c>
      <c r="P2" s="1" t="s">
        <v>8</v>
      </c>
      <c r="S2" t="str">
        <f>IF(AND(B2:B21 = "Women", C2:C21 = "Canada"),"Canadian Female team","USA Female team")</f>
        <v>Canadian Female team</v>
      </c>
      <c r="T2" s="19" t="str">
        <f>IF(OR(B2:B21 = "Women", C2:C21 = "Canada"),"Canadian Female team","USA Female team")</f>
        <v>Canadian Female team</v>
      </c>
      <c r="W2" t="str">
        <f>IF(NOT(B2:B21="Women"),"Canadian Female team","USA Female team")</f>
        <v>USA Female team</v>
      </c>
    </row>
    <row r="3" spans="1:23" x14ac:dyDescent="0.3">
      <c r="A3" s="1">
        <v>2</v>
      </c>
      <c r="B3" s="1" t="s">
        <v>0</v>
      </c>
      <c r="C3" s="1" t="s">
        <v>37</v>
      </c>
      <c r="D3" s="1" t="s">
        <v>78</v>
      </c>
      <c r="E3" s="1" t="s">
        <v>58</v>
      </c>
      <c r="F3" s="1" t="str">
        <f t="shared" si="0"/>
        <v>Rebecca</v>
      </c>
      <c r="G3" s="1" t="str">
        <f t="shared" si="1"/>
        <v>Johnston</v>
      </c>
      <c r="H3" s="1">
        <v>148</v>
      </c>
      <c r="I3" s="1" t="s">
        <v>30</v>
      </c>
      <c r="J3" s="1">
        <f t="shared" ref="J3:J21" si="2">LEFT(I3,FIND("'",I3)-1)*12+MID(I3,FIND("'",I3)+1,LEN(I3))</f>
        <v>69</v>
      </c>
      <c r="K3" s="1">
        <f>ROUND(Table32[[#This Row],[Weight]]*703/POWER(Table32[[#This Row],[HeightIn]],2),0)</f>
        <v>22</v>
      </c>
      <c r="L3" s="3">
        <v>32775</v>
      </c>
      <c r="M3" s="7">
        <f ca="1">DATEDIF(Table32[[#This Row],[DOB]],TODAY(),"Y")</f>
        <v>32</v>
      </c>
      <c r="N3" s="7" t="str">
        <f>VLOOKUP(A3, Hometown!A:B, 2,FALSE)</f>
        <v>Sudbury</v>
      </c>
      <c r="O3" s="1" t="s">
        <v>52</v>
      </c>
      <c r="P3" s="1" t="s">
        <v>8</v>
      </c>
      <c r="S3" t="str">
        <f t="shared" ref="S3:S21" si="3">IF(AND(B3:B22 = "Women", C3:C22 = "Canada"),"Canadian Female team","USA Female team")</f>
        <v>Canadian Female team</v>
      </c>
      <c r="T3" s="19" t="str">
        <f t="shared" ref="T3:T21" si="4">IF(OR(B3:B22 = "Women", C3:C22 = "Canada"),"Canadian Female team","USA Female team")</f>
        <v>Canadian Female team</v>
      </c>
      <c r="W3" t="str">
        <f t="shared" ref="W3:W21" si="5">IF(NOT(B3:B22="Women"),"Canadian Female team","USA Female team")</f>
        <v>USA Female team</v>
      </c>
    </row>
    <row r="4" spans="1:23" x14ac:dyDescent="0.3">
      <c r="A4" s="1">
        <v>3</v>
      </c>
      <c r="B4" s="1" t="s">
        <v>0</v>
      </c>
      <c r="C4" s="1" t="s">
        <v>37</v>
      </c>
      <c r="D4" s="1" t="s">
        <v>78</v>
      </c>
      <c r="E4" s="1" t="s">
        <v>59</v>
      </c>
      <c r="F4" s="1" t="str">
        <f t="shared" si="0"/>
        <v>Laura</v>
      </c>
      <c r="G4" s="1" t="str">
        <f t="shared" si="1"/>
        <v>Stacey</v>
      </c>
      <c r="H4" s="1">
        <v>156</v>
      </c>
      <c r="I4" s="1" t="s">
        <v>35</v>
      </c>
      <c r="J4" s="1">
        <f t="shared" si="2"/>
        <v>70</v>
      </c>
      <c r="K4" s="1">
        <f>ROUND(Table32[[#This Row],[Weight]]*703/POWER(Table32[[#This Row],[HeightIn]],2),0)</f>
        <v>22</v>
      </c>
      <c r="L4" s="3">
        <v>34459</v>
      </c>
      <c r="M4" s="7">
        <f ca="1">DATEDIF(Table32[[#This Row],[DOB]],TODAY(),"Y")</f>
        <v>28</v>
      </c>
      <c r="N4" s="7" t="str">
        <f>VLOOKUP(A4, Hometown!A:B, 2,FALSE)</f>
        <v>Kleinburg</v>
      </c>
      <c r="O4" s="1" t="s">
        <v>52</v>
      </c>
      <c r="P4" s="1" t="s">
        <v>8</v>
      </c>
      <c r="S4" t="str">
        <f t="shared" si="3"/>
        <v>Canadian Female team</v>
      </c>
      <c r="T4" s="19" t="str">
        <f t="shared" si="4"/>
        <v>Canadian Female team</v>
      </c>
      <c r="W4" t="str">
        <f t="shared" si="5"/>
        <v>USA Female team</v>
      </c>
    </row>
    <row r="5" spans="1:23" x14ac:dyDescent="0.3">
      <c r="A5" s="1">
        <v>4</v>
      </c>
      <c r="B5" s="1" t="s">
        <v>0</v>
      </c>
      <c r="C5" s="1" t="s">
        <v>37</v>
      </c>
      <c r="D5" s="1" t="s">
        <v>78</v>
      </c>
      <c r="E5" s="1" t="s">
        <v>60</v>
      </c>
      <c r="F5" s="1" t="str">
        <f t="shared" si="0"/>
        <v>Jennifer</v>
      </c>
      <c r="G5" s="1" t="str">
        <f t="shared" si="1"/>
        <v>Wakefield</v>
      </c>
      <c r="H5" s="1">
        <v>172</v>
      </c>
      <c r="I5" s="1" t="s">
        <v>35</v>
      </c>
      <c r="J5" s="1">
        <f t="shared" si="2"/>
        <v>70</v>
      </c>
      <c r="K5" s="1">
        <f>ROUND(Table32[[#This Row],[Weight]]*703/POWER(Table32[[#This Row],[HeightIn]],2),0)</f>
        <v>25</v>
      </c>
      <c r="L5" s="3">
        <v>32674</v>
      </c>
      <c r="M5" s="7">
        <f ca="1">DATEDIF(Table32[[#This Row],[DOB]],TODAY(),"Y")</f>
        <v>32</v>
      </c>
      <c r="N5" s="7" t="str">
        <f>VLOOKUP(A5, Hometown!A:B, 2,FALSE)</f>
        <v>Pickering</v>
      </c>
      <c r="O5" s="1" t="s">
        <v>52</v>
      </c>
      <c r="P5" s="1" t="s">
        <v>8</v>
      </c>
      <c r="S5" t="str">
        <f t="shared" si="3"/>
        <v>Canadian Female team</v>
      </c>
      <c r="T5" s="19" t="str">
        <f t="shared" si="4"/>
        <v>Canadian Female team</v>
      </c>
      <c r="W5" t="str">
        <f t="shared" si="5"/>
        <v>USA Female team</v>
      </c>
    </row>
    <row r="6" spans="1:23" x14ac:dyDescent="0.3">
      <c r="A6" s="1">
        <v>5</v>
      </c>
      <c r="B6" s="1" t="s">
        <v>0</v>
      </c>
      <c r="C6" s="1" t="s">
        <v>37</v>
      </c>
      <c r="D6" s="1" t="s">
        <v>78</v>
      </c>
      <c r="E6" s="1" t="s">
        <v>61</v>
      </c>
      <c r="F6" s="1" t="str">
        <f t="shared" si="0"/>
        <v>Jillian</v>
      </c>
      <c r="G6" s="1" t="str">
        <f t="shared" si="1"/>
        <v>Saulnier</v>
      </c>
      <c r="H6" s="1">
        <v>144</v>
      </c>
      <c r="I6" s="1" t="s">
        <v>39</v>
      </c>
      <c r="J6" s="1">
        <f t="shared" si="2"/>
        <v>65</v>
      </c>
      <c r="K6" s="1">
        <f>ROUND(Table32[[#This Row],[Weight]]*703/POWER(Table32[[#This Row],[HeightIn]],2),0)</f>
        <v>24</v>
      </c>
      <c r="L6" s="3">
        <v>33670</v>
      </c>
      <c r="M6" s="7">
        <f ca="1">DATEDIF(Table32[[#This Row],[DOB]],TODAY(),"Y")</f>
        <v>30</v>
      </c>
      <c r="N6" s="7" t="str">
        <f>VLOOKUP(A6, Hometown!A:B, 2,FALSE)</f>
        <v>Halifax</v>
      </c>
      <c r="O6" s="1" t="s">
        <v>53</v>
      </c>
      <c r="P6" s="1" t="s">
        <v>8</v>
      </c>
      <c r="S6" t="str">
        <f t="shared" si="3"/>
        <v>Canadian Female team</v>
      </c>
      <c r="T6" s="19" t="str">
        <f t="shared" si="4"/>
        <v>Canadian Female team</v>
      </c>
      <c r="W6" t="str">
        <f t="shared" si="5"/>
        <v>USA Female team</v>
      </c>
    </row>
    <row r="7" spans="1:23" x14ac:dyDescent="0.3">
      <c r="A7" s="1">
        <v>6</v>
      </c>
      <c r="B7" s="1" t="s">
        <v>1</v>
      </c>
      <c r="C7" s="1" t="s">
        <v>37</v>
      </c>
      <c r="D7" s="1" t="s">
        <v>78</v>
      </c>
      <c r="E7" s="1" t="s">
        <v>62</v>
      </c>
      <c r="F7" s="1" t="str">
        <f t="shared" si="0"/>
        <v>Mat</v>
      </c>
      <c r="G7" s="1" t="str">
        <f t="shared" si="1"/>
        <v>Robinson</v>
      </c>
      <c r="H7" s="1">
        <v>185</v>
      </c>
      <c r="I7" s="1" t="s">
        <v>35</v>
      </c>
      <c r="J7" s="1">
        <f t="shared" si="2"/>
        <v>70</v>
      </c>
      <c r="K7" s="1">
        <f>ROUND(Table32[[#This Row],[Weight]]*703/POWER(Table32[[#This Row],[HeightIn]],2),0)</f>
        <v>27</v>
      </c>
      <c r="L7" s="3">
        <v>31583</v>
      </c>
      <c r="M7" s="7">
        <f ca="1">DATEDIF(Table32[[#This Row],[DOB]],TODAY(),"Y")</f>
        <v>35</v>
      </c>
      <c r="N7" s="7" t="str">
        <f>VLOOKUP(A7, Hometown!A:B, 2,FALSE)</f>
        <v>Calgary</v>
      </c>
      <c r="O7" s="1" t="s">
        <v>56</v>
      </c>
      <c r="P7" s="1" t="s">
        <v>55</v>
      </c>
      <c r="S7" t="str">
        <f t="shared" si="3"/>
        <v>USA Female team</v>
      </c>
      <c r="T7" s="19" t="str">
        <f t="shared" si="4"/>
        <v>Canadian Female team</v>
      </c>
      <c r="W7" t="str">
        <f t="shared" si="5"/>
        <v>Canadian Female team</v>
      </c>
    </row>
    <row r="8" spans="1:23" x14ac:dyDescent="0.3">
      <c r="A8" s="1">
        <v>7</v>
      </c>
      <c r="B8" s="1" t="s">
        <v>1</v>
      </c>
      <c r="C8" s="1" t="s">
        <v>37</v>
      </c>
      <c r="D8" s="1" t="s">
        <v>78</v>
      </c>
      <c r="E8" s="1" t="s">
        <v>63</v>
      </c>
      <c r="F8" s="1" t="str">
        <f t="shared" si="0"/>
        <v>Maxim</v>
      </c>
      <c r="G8" s="1" t="str">
        <f t="shared" si="1"/>
        <v>Noreau</v>
      </c>
      <c r="H8" s="1">
        <v>198</v>
      </c>
      <c r="I8" s="1" t="s">
        <v>31</v>
      </c>
      <c r="J8" s="1">
        <f t="shared" si="2"/>
        <v>72</v>
      </c>
      <c r="K8" s="1">
        <f>ROUND(Table32[[#This Row],[Weight]]*703/POWER(Table32[[#This Row],[HeightIn]],2),0)</f>
        <v>27</v>
      </c>
      <c r="L8" s="3">
        <v>31921</v>
      </c>
      <c r="M8" s="7">
        <f ca="1">DATEDIF(Table32[[#This Row],[DOB]],TODAY(),"Y")</f>
        <v>34</v>
      </c>
      <c r="N8" s="7" t="str">
        <f>VLOOKUP(A8, Hometown!A:B, 2,FALSE)</f>
        <v>Montreal</v>
      </c>
      <c r="O8" s="1" t="s">
        <v>54</v>
      </c>
      <c r="P8" s="1" t="s">
        <v>55</v>
      </c>
      <c r="S8" t="str">
        <f t="shared" si="3"/>
        <v>USA Female team</v>
      </c>
      <c r="T8" s="19" t="str">
        <f t="shared" si="4"/>
        <v>Canadian Female team</v>
      </c>
      <c r="W8" t="str">
        <f t="shared" si="5"/>
        <v>Canadian Female team</v>
      </c>
    </row>
    <row r="9" spans="1:23" x14ac:dyDescent="0.3">
      <c r="A9" s="1">
        <v>8</v>
      </c>
      <c r="B9" s="1" t="s">
        <v>1</v>
      </c>
      <c r="C9" s="1" t="s">
        <v>37</v>
      </c>
      <c r="D9" s="1" t="s">
        <v>78</v>
      </c>
      <c r="E9" s="1" t="s">
        <v>64</v>
      </c>
      <c r="F9" s="1" t="str">
        <f t="shared" si="0"/>
        <v>Ben</v>
      </c>
      <c r="G9" s="1" t="str">
        <f t="shared" si="1"/>
        <v>Scrivens</v>
      </c>
      <c r="H9" s="1">
        <v>181</v>
      </c>
      <c r="I9" s="1" t="s">
        <v>33</v>
      </c>
      <c r="J9" s="1">
        <f t="shared" si="2"/>
        <v>74</v>
      </c>
      <c r="K9" s="1">
        <f>ROUND(Table32[[#This Row],[Weight]]*703/POWER(Table32[[#This Row],[HeightIn]],2),0)</f>
        <v>23</v>
      </c>
      <c r="L9" s="3">
        <v>31666</v>
      </c>
      <c r="M9" s="7">
        <f ca="1">DATEDIF(Table32[[#This Row],[DOB]],TODAY(),"Y")</f>
        <v>35</v>
      </c>
      <c r="N9" s="7" t="str">
        <f>VLOOKUP(A9, Hometown!A:B, 2,FALSE)</f>
        <v>Spruce Grove</v>
      </c>
      <c r="O9" s="1" t="s">
        <v>56</v>
      </c>
      <c r="P9" s="1" t="s">
        <v>11</v>
      </c>
      <c r="S9" t="str">
        <f t="shared" si="3"/>
        <v>USA Female team</v>
      </c>
      <c r="T9" s="19" t="str">
        <f t="shared" si="4"/>
        <v>Canadian Female team</v>
      </c>
      <c r="W9" t="str">
        <f t="shared" si="5"/>
        <v>Canadian Female team</v>
      </c>
    </row>
    <row r="10" spans="1:23" x14ac:dyDescent="0.3">
      <c r="A10" s="1">
        <v>9</v>
      </c>
      <c r="B10" s="1" t="s">
        <v>1</v>
      </c>
      <c r="C10" s="1" t="s">
        <v>37</v>
      </c>
      <c r="D10" s="1" t="s">
        <v>78</v>
      </c>
      <c r="E10" s="1" t="s">
        <v>65</v>
      </c>
      <c r="F10" s="1" t="str">
        <f t="shared" si="0"/>
        <v>Kevin</v>
      </c>
      <c r="G10" s="1" t="str">
        <f t="shared" si="1"/>
        <v>Poulin</v>
      </c>
      <c r="H10" s="1">
        <v>205</v>
      </c>
      <c r="I10" s="1" t="s">
        <v>33</v>
      </c>
      <c r="J10" s="1">
        <f t="shared" si="2"/>
        <v>74</v>
      </c>
      <c r="K10" s="1">
        <f>ROUND(Table32[[#This Row],[Weight]]*703/POWER(Table32[[#This Row],[HeightIn]],2),0)</f>
        <v>26</v>
      </c>
      <c r="L10" s="3">
        <v>32975</v>
      </c>
      <c r="M10" s="7">
        <f ca="1">DATEDIF(Table32[[#This Row],[DOB]],TODAY(),"Y")</f>
        <v>32</v>
      </c>
      <c r="N10" s="7" t="str">
        <f>VLOOKUP(A10, Hometown!A:B, 2,FALSE)</f>
        <v>Montreal</v>
      </c>
      <c r="O10" s="1" t="s">
        <v>54</v>
      </c>
      <c r="P10" s="1" t="s">
        <v>11</v>
      </c>
      <c r="S10" t="str">
        <f t="shared" si="3"/>
        <v>USA Female team</v>
      </c>
      <c r="T10" s="19" t="str">
        <f t="shared" si="4"/>
        <v>Canadian Female team</v>
      </c>
      <c r="W10" t="str">
        <f t="shared" si="5"/>
        <v>Canadian Female team</v>
      </c>
    </row>
    <row r="11" spans="1:23" x14ac:dyDescent="0.3">
      <c r="A11" s="1">
        <v>10</v>
      </c>
      <c r="B11" s="1" t="s">
        <v>1</v>
      </c>
      <c r="C11" s="1" t="s">
        <v>37</v>
      </c>
      <c r="D11" s="1" t="s">
        <v>78</v>
      </c>
      <c r="E11" s="1" t="s">
        <v>66</v>
      </c>
      <c r="F11" s="1" t="str">
        <f t="shared" si="0"/>
        <v>Justin</v>
      </c>
      <c r="G11" s="1" t="str">
        <f t="shared" si="1"/>
        <v>Peters</v>
      </c>
      <c r="H11" s="1">
        <v>210</v>
      </c>
      <c r="I11" s="1" t="s">
        <v>34</v>
      </c>
      <c r="J11" s="1">
        <f t="shared" si="2"/>
        <v>73</v>
      </c>
      <c r="K11" s="1">
        <f>ROUND(Table32[[#This Row],[Weight]]*703/POWER(Table32[[#This Row],[HeightIn]],2),0)</f>
        <v>28</v>
      </c>
      <c r="L11" s="3">
        <v>31654</v>
      </c>
      <c r="M11" s="7">
        <f ca="1">DATEDIF(Table32[[#This Row],[DOB]],TODAY(),"Y")</f>
        <v>35</v>
      </c>
      <c r="N11" s="7" t="str">
        <f>VLOOKUP(A11, Hometown!A:B, 2,FALSE)</f>
        <v>Blyth</v>
      </c>
      <c r="O11" s="1" t="s">
        <v>52</v>
      </c>
      <c r="P11" s="1" t="s">
        <v>11</v>
      </c>
      <c r="S11" t="str">
        <f t="shared" si="3"/>
        <v>USA Female team</v>
      </c>
      <c r="T11" s="19" t="str">
        <f t="shared" si="4"/>
        <v>Canadian Female team</v>
      </c>
      <c r="W11" t="str">
        <f t="shared" si="5"/>
        <v>Canadian Female team</v>
      </c>
    </row>
    <row r="12" spans="1:23" x14ac:dyDescent="0.3">
      <c r="A12" s="1">
        <v>11</v>
      </c>
      <c r="B12" s="1" t="s">
        <v>0</v>
      </c>
      <c r="C12" s="1" t="s">
        <v>2</v>
      </c>
      <c r="D12" s="1" t="s">
        <v>2</v>
      </c>
      <c r="E12" s="1" t="s">
        <v>67</v>
      </c>
      <c r="F12" s="1" t="str">
        <f t="shared" si="0"/>
        <v>Cayla</v>
      </c>
      <c r="G12" s="1" t="str">
        <f t="shared" si="1"/>
        <v>Barnes</v>
      </c>
      <c r="H12" s="1">
        <v>145</v>
      </c>
      <c r="I12" s="1" t="s">
        <v>50</v>
      </c>
      <c r="J12" s="1">
        <f t="shared" si="2"/>
        <v>61</v>
      </c>
      <c r="K12" s="1">
        <f>ROUND(Table32[[#This Row],[Weight]]*703/POWER(Table32[[#This Row],[HeightIn]],2),0)</f>
        <v>27</v>
      </c>
      <c r="L12" s="3">
        <v>36167</v>
      </c>
      <c r="M12" s="7">
        <f ca="1">DATEDIF(Table32[[#This Row],[DOB]],TODAY(),"Y")</f>
        <v>23</v>
      </c>
      <c r="N12" s="7" t="str">
        <f>VLOOKUP(A12, Hometown!A:B, 2,FALSE)</f>
        <v>Eastvale</v>
      </c>
      <c r="O12" s="1" t="s">
        <v>4</v>
      </c>
      <c r="P12" s="1" t="s">
        <v>55</v>
      </c>
      <c r="S12" t="str">
        <f t="shared" si="3"/>
        <v>USA Female team</v>
      </c>
      <c r="T12" s="19" t="str">
        <f t="shared" si="4"/>
        <v>Canadian Female team</v>
      </c>
      <c r="W12" t="str">
        <f t="shared" si="5"/>
        <v>USA Female team</v>
      </c>
    </row>
    <row r="13" spans="1:23" x14ac:dyDescent="0.3">
      <c r="A13" s="1">
        <v>12</v>
      </c>
      <c r="B13" s="1" t="s">
        <v>0</v>
      </c>
      <c r="C13" s="1" t="s">
        <v>2</v>
      </c>
      <c r="D13" s="1" t="s">
        <v>2</v>
      </c>
      <c r="E13" s="1" t="s">
        <v>68</v>
      </c>
      <c r="F13" s="1" t="str">
        <f t="shared" si="0"/>
        <v>Kacey</v>
      </c>
      <c r="G13" s="1" t="str">
        <f t="shared" si="1"/>
        <v>Bellamy</v>
      </c>
      <c r="H13" s="1">
        <v>145</v>
      </c>
      <c r="I13" s="1" t="s">
        <v>36</v>
      </c>
      <c r="J13" s="1">
        <f t="shared" si="2"/>
        <v>67</v>
      </c>
      <c r="K13" s="1">
        <f>ROUND(Table32[[#This Row],[Weight]]*703/POWER(Table32[[#This Row],[HeightIn]],2),0)</f>
        <v>23</v>
      </c>
      <c r="L13" s="3">
        <v>31889</v>
      </c>
      <c r="M13" s="7">
        <f ca="1">DATEDIF(Table32[[#This Row],[DOB]],TODAY(),"Y")</f>
        <v>35</v>
      </c>
      <c r="N13" s="7" t="str">
        <f>VLOOKUP(A13, Hometown!A:B, 2,FALSE)</f>
        <v>Westfield</v>
      </c>
      <c r="O13" s="1" t="s">
        <v>6</v>
      </c>
      <c r="P13" s="1" t="s">
        <v>55</v>
      </c>
      <c r="S13" t="str">
        <f t="shared" si="3"/>
        <v>USA Female team</v>
      </c>
      <c r="T13" s="19" t="str">
        <f t="shared" si="4"/>
        <v>Canadian Female team</v>
      </c>
      <c r="W13" t="str">
        <f t="shared" si="5"/>
        <v>USA Female team</v>
      </c>
    </row>
    <row r="14" spans="1:23" x14ac:dyDescent="0.3">
      <c r="A14" s="1">
        <v>13</v>
      </c>
      <c r="B14" s="1" t="s">
        <v>0</v>
      </c>
      <c r="C14" s="1" t="s">
        <v>2</v>
      </c>
      <c r="D14" s="1" t="s">
        <v>2</v>
      </c>
      <c r="E14" s="1" t="s">
        <v>69</v>
      </c>
      <c r="F14" s="1" t="str">
        <f t="shared" si="0"/>
        <v>Hannah</v>
      </c>
      <c r="G14" s="1" t="str">
        <f t="shared" si="1"/>
        <v>Brandt</v>
      </c>
      <c r="H14" s="1">
        <v>150</v>
      </c>
      <c r="I14" s="1" t="s">
        <v>40</v>
      </c>
      <c r="J14" s="1">
        <f t="shared" si="2"/>
        <v>66</v>
      </c>
      <c r="K14" s="1">
        <f>ROUND(Table32[[#This Row],[Weight]]*703/POWER(Table32[[#This Row],[HeightIn]],2),0)</f>
        <v>24</v>
      </c>
      <c r="L14" s="3">
        <v>34300</v>
      </c>
      <c r="M14" s="7">
        <f ca="1">DATEDIF(Table32[[#This Row],[DOB]],TODAY(),"Y")</f>
        <v>28</v>
      </c>
      <c r="N14" s="7" t="str">
        <f>VLOOKUP(A14, Hometown!A:B, 2,FALSE)</f>
        <v>Vadnais Heights</v>
      </c>
      <c r="O14" s="1" t="s">
        <v>7</v>
      </c>
      <c r="P14" s="1" t="s">
        <v>8</v>
      </c>
      <c r="S14" t="str">
        <f t="shared" si="3"/>
        <v>USA Female team</v>
      </c>
      <c r="T14" s="19" t="str">
        <f t="shared" si="4"/>
        <v>Canadian Female team</v>
      </c>
      <c r="W14" t="str">
        <f t="shared" si="5"/>
        <v>USA Female team</v>
      </c>
    </row>
    <row r="15" spans="1:23" x14ac:dyDescent="0.3">
      <c r="A15" s="1">
        <v>14</v>
      </c>
      <c r="B15" s="1" t="s">
        <v>0</v>
      </c>
      <c r="C15" s="1" t="s">
        <v>2</v>
      </c>
      <c r="D15" s="1" t="s">
        <v>2</v>
      </c>
      <c r="E15" s="1" t="s">
        <v>70</v>
      </c>
      <c r="F15" s="1" t="str">
        <f t="shared" si="0"/>
        <v>Dani</v>
      </c>
      <c r="G15" s="1" t="str">
        <f t="shared" si="1"/>
        <v>Cameranesi</v>
      </c>
      <c r="H15" s="1">
        <v>148</v>
      </c>
      <c r="I15" s="1" t="s">
        <v>39</v>
      </c>
      <c r="J15" s="1">
        <f t="shared" si="2"/>
        <v>65</v>
      </c>
      <c r="K15" s="1">
        <f>ROUND(Table32[[#This Row],[Weight]]*703/POWER(Table32[[#This Row],[HeightIn]],2),0)</f>
        <v>25</v>
      </c>
      <c r="L15" s="3">
        <v>34880</v>
      </c>
      <c r="M15" s="7">
        <f ca="1">DATEDIF(Table32[[#This Row],[DOB]],TODAY(),"Y")</f>
        <v>26</v>
      </c>
      <c r="N15" s="7" t="str">
        <f>VLOOKUP(A15, Hometown!A:B, 2,FALSE)</f>
        <v>Plymouth</v>
      </c>
      <c r="O15" s="1" t="s">
        <v>7</v>
      </c>
      <c r="P15" s="1" t="s">
        <v>8</v>
      </c>
      <c r="S15" t="str">
        <f t="shared" si="3"/>
        <v>USA Female team</v>
      </c>
      <c r="T15" s="19" t="str">
        <f t="shared" si="4"/>
        <v>Canadian Female team</v>
      </c>
      <c r="W15" t="str">
        <f t="shared" si="5"/>
        <v>USA Female team</v>
      </c>
    </row>
    <row r="16" spans="1:23" x14ac:dyDescent="0.3">
      <c r="A16" s="1">
        <v>15</v>
      </c>
      <c r="B16" s="1" t="s">
        <v>0</v>
      </c>
      <c r="C16" s="1" t="s">
        <v>2</v>
      </c>
      <c r="D16" s="1" t="s">
        <v>2</v>
      </c>
      <c r="E16" s="1" t="s">
        <v>71</v>
      </c>
      <c r="F16" s="1" t="str">
        <f t="shared" si="0"/>
        <v>Kendall</v>
      </c>
      <c r="G16" s="1" t="str">
        <f t="shared" si="1"/>
        <v>Coyne</v>
      </c>
      <c r="H16" s="1">
        <v>123</v>
      </c>
      <c r="I16" s="1" t="s">
        <v>51</v>
      </c>
      <c r="J16" s="1">
        <f t="shared" si="2"/>
        <v>62</v>
      </c>
      <c r="K16" s="1">
        <f>ROUND(Table32[[#This Row],[Weight]]*703/POWER(Table32[[#This Row],[HeightIn]],2),0)</f>
        <v>22</v>
      </c>
      <c r="L16" s="3">
        <v>33749</v>
      </c>
      <c r="M16" s="7">
        <f ca="1">DATEDIF(Table32[[#This Row],[DOB]],TODAY(),"Y")</f>
        <v>29</v>
      </c>
      <c r="N16" s="7" t="str">
        <f>VLOOKUP(A16, Hometown!A:B, 2,FALSE)</f>
        <v>Palos Heights</v>
      </c>
      <c r="O16" s="1" t="s">
        <v>10</v>
      </c>
      <c r="P16" s="1" t="s">
        <v>8</v>
      </c>
      <c r="S16" t="str">
        <f t="shared" si="3"/>
        <v>USA Female team</v>
      </c>
      <c r="T16" s="19" t="str">
        <f t="shared" si="4"/>
        <v>Canadian Female team</v>
      </c>
      <c r="W16" t="str">
        <f t="shared" si="5"/>
        <v>USA Female team</v>
      </c>
    </row>
    <row r="17" spans="1:23" x14ac:dyDescent="0.3">
      <c r="A17" s="1">
        <v>16</v>
      </c>
      <c r="B17" s="1" t="s">
        <v>1</v>
      </c>
      <c r="C17" s="1" t="s">
        <v>2</v>
      </c>
      <c r="D17" s="1" t="s">
        <v>2</v>
      </c>
      <c r="E17" s="1" t="s">
        <v>72</v>
      </c>
      <c r="F17" s="1" t="str">
        <f t="shared" si="0"/>
        <v>Mark</v>
      </c>
      <c r="G17" s="1" t="str">
        <f t="shared" si="1"/>
        <v>Arcobello</v>
      </c>
      <c r="H17" s="1">
        <v>170</v>
      </c>
      <c r="I17" s="1" t="s">
        <v>32</v>
      </c>
      <c r="J17" s="1">
        <f t="shared" si="2"/>
        <v>68</v>
      </c>
      <c r="K17" s="1">
        <f>ROUND(Table32[[#This Row],[Weight]]*703/POWER(Table32[[#This Row],[HeightIn]],2),0)</f>
        <v>26</v>
      </c>
      <c r="L17" s="3">
        <v>32367</v>
      </c>
      <c r="M17" s="7">
        <f ca="1">DATEDIF(Table32[[#This Row],[DOB]],TODAY(),"Y")</f>
        <v>33</v>
      </c>
      <c r="N17" s="7" t="str">
        <f>VLOOKUP(A17, Hometown!A:B, 2,FALSE)</f>
        <v>Milford</v>
      </c>
      <c r="O17" s="1" t="s">
        <v>14</v>
      </c>
      <c r="P17" s="1" t="s">
        <v>8</v>
      </c>
      <c r="S17" t="str">
        <f t="shared" si="3"/>
        <v>USA Female team</v>
      </c>
      <c r="T17" s="19" t="str">
        <f t="shared" si="4"/>
        <v>USA Female team</v>
      </c>
      <c r="W17" t="str">
        <f t="shared" si="5"/>
        <v>Canadian Female team</v>
      </c>
    </row>
    <row r="18" spans="1:23" x14ac:dyDescent="0.3">
      <c r="A18" s="1">
        <v>17</v>
      </c>
      <c r="B18" s="1" t="s">
        <v>1</v>
      </c>
      <c r="C18" s="1" t="s">
        <v>2</v>
      </c>
      <c r="D18" s="1" t="s">
        <v>2</v>
      </c>
      <c r="E18" s="1" t="s">
        <v>73</v>
      </c>
      <c r="F18" s="1" t="str">
        <f t="shared" si="0"/>
        <v>Chad</v>
      </c>
      <c r="G18" s="1" t="str">
        <f t="shared" si="1"/>
        <v>Billins</v>
      </c>
      <c r="H18" s="1">
        <v>185</v>
      </c>
      <c r="I18" s="1" t="s">
        <v>35</v>
      </c>
      <c r="J18" s="1">
        <f t="shared" si="2"/>
        <v>70</v>
      </c>
      <c r="K18" s="1">
        <f>ROUND(Table32[[#This Row],[Weight]]*703/POWER(Table32[[#This Row],[HeightIn]],2),0)</f>
        <v>27</v>
      </c>
      <c r="L18" s="3">
        <v>32654</v>
      </c>
      <c r="M18" s="7">
        <f ca="1">DATEDIF(Table32[[#This Row],[DOB]],TODAY(),"Y")</f>
        <v>32</v>
      </c>
      <c r="N18" s="7" t="str">
        <f>VLOOKUP(A18, Hometown!A:B, 2,FALSE)</f>
        <v>Marysville</v>
      </c>
      <c r="O18" s="1" t="s">
        <v>12</v>
      </c>
      <c r="P18" s="1" t="s">
        <v>55</v>
      </c>
      <c r="S18" t="str">
        <f t="shared" si="3"/>
        <v>USA Female team</v>
      </c>
      <c r="T18" s="19" t="str">
        <f t="shared" si="4"/>
        <v>USA Female team</v>
      </c>
      <c r="W18" t="str">
        <f t="shared" si="5"/>
        <v>Canadian Female team</v>
      </c>
    </row>
    <row r="19" spans="1:23" x14ac:dyDescent="0.3">
      <c r="A19" s="1">
        <v>18</v>
      </c>
      <c r="B19" s="1" t="s">
        <v>1</v>
      </c>
      <c r="C19" s="1" t="s">
        <v>2</v>
      </c>
      <c r="D19" s="1" t="s">
        <v>2</v>
      </c>
      <c r="E19" s="1" t="s">
        <v>74</v>
      </c>
      <c r="F19" s="1" t="str">
        <f t="shared" si="0"/>
        <v>Jonathan</v>
      </c>
      <c r="G19" s="1" t="str">
        <f t="shared" si="1"/>
        <v>Blum</v>
      </c>
      <c r="H19" s="1">
        <v>195</v>
      </c>
      <c r="I19" s="1" t="s">
        <v>34</v>
      </c>
      <c r="J19" s="1">
        <f t="shared" si="2"/>
        <v>73</v>
      </c>
      <c r="K19" s="1">
        <f>ROUND(Table32[[#This Row],[Weight]]*703/POWER(Table32[[#This Row],[HeightIn]],2),0)</f>
        <v>26</v>
      </c>
      <c r="L19" s="3">
        <v>32538</v>
      </c>
      <c r="M19" s="7">
        <f ca="1">DATEDIF(Table32[[#This Row],[DOB]],TODAY(),"Y")</f>
        <v>33</v>
      </c>
      <c r="N19" s="7" t="str">
        <f>VLOOKUP(A19, Hometown!A:B, 2,FALSE)</f>
        <v>Ladera Ranch</v>
      </c>
      <c r="O19" s="1" t="s">
        <v>4</v>
      </c>
      <c r="P19" s="1" t="s">
        <v>55</v>
      </c>
      <c r="S19" t="str">
        <f t="shared" si="3"/>
        <v>USA Female team</v>
      </c>
      <c r="T19" s="19" t="str">
        <f t="shared" si="4"/>
        <v>USA Female team</v>
      </c>
      <c r="W19" t="str">
        <f t="shared" si="5"/>
        <v>Canadian Female team</v>
      </c>
    </row>
    <row r="20" spans="1:23" x14ac:dyDescent="0.3">
      <c r="A20" s="1">
        <v>19</v>
      </c>
      <c r="B20" s="1" t="s">
        <v>1</v>
      </c>
      <c r="C20" s="1" t="s">
        <v>2</v>
      </c>
      <c r="D20" s="1" t="s">
        <v>2</v>
      </c>
      <c r="E20" s="1" t="s">
        <v>75</v>
      </c>
      <c r="F20" s="1" t="str">
        <f t="shared" si="0"/>
        <v>Will</v>
      </c>
      <c r="G20" s="1" t="str">
        <f t="shared" si="1"/>
        <v>Borgen</v>
      </c>
      <c r="H20" s="1">
        <v>195</v>
      </c>
      <c r="I20" s="1" t="s">
        <v>33</v>
      </c>
      <c r="J20" s="1">
        <f t="shared" si="2"/>
        <v>74</v>
      </c>
      <c r="K20" s="1">
        <f>ROUND(Table32[[#This Row],[Weight]]*703/POWER(Table32[[#This Row],[HeightIn]],2),0)</f>
        <v>25</v>
      </c>
      <c r="L20" s="3">
        <v>35418</v>
      </c>
      <c r="M20" s="7">
        <f ca="1">DATEDIF(Table32[[#This Row],[DOB]],TODAY(),"Y")</f>
        <v>25</v>
      </c>
      <c r="N20" s="7" t="str">
        <f>VLOOKUP(A20, Hometown!A:B, 2,FALSE)</f>
        <v>Moorhead</v>
      </c>
      <c r="O20" s="1" t="s">
        <v>7</v>
      </c>
      <c r="P20" s="1" t="s">
        <v>55</v>
      </c>
      <c r="S20" t="str">
        <f t="shared" si="3"/>
        <v>USA Female team</v>
      </c>
      <c r="T20" s="19" t="str">
        <f t="shared" si="4"/>
        <v>USA Female team</v>
      </c>
      <c r="W20" t="str">
        <f t="shared" si="5"/>
        <v>Canadian Female team</v>
      </c>
    </row>
    <row r="21" spans="1:23" x14ac:dyDescent="0.3">
      <c r="A21" s="1">
        <v>20</v>
      </c>
      <c r="B21" s="1" t="s">
        <v>1</v>
      </c>
      <c r="C21" s="1" t="s">
        <v>2</v>
      </c>
      <c r="D21" s="1" t="s">
        <v>2</v>
      </c>
      <c r="E21" s="1" t="s">
        <v>76</v>
      </c>
      <c r="F21" s="1" t="str">
        <f t="shared" si="0"/>
        <v>Chris</v>
      </c>
      <c r="G21" s="1" t="str">
        <f t="shared" si="1"/>
        <v>Bourque</v>
      </c>
      <c r="H21" s="1">
        <v>180</v>
      </c>
      <c r="I21" s="1" t="s">
        <v>32</v>
      </c>
      <c r="J21" s="1">
        <f t="shared" si="2"/>
        <v>68</v>
      </c>
      <c r="K21" s="1">
        <f>ROUND(Table32[[#This Row],[Weight]]*703/POWER(Table32[[#This Row],[HeightIn]],2),0)</f>
        <v>27</v>
      </c>
      <c r="L21" s="3">
        <v>31441</v>
      </c>
      <c r="M21" s="7">
        <f ca="1">DATEDIF(Table32[[#This Row],[DOB]],TODAY(),"Y")</f>
        <v>36</v>
      </c>
      <c r="N21" s="7" t="str">
        <f>VLOOKUP(A21, Hometown!A:B, 2,FALSE)</f>
        <v>North Reading</v>
      </c>
      <c r="O21" s="1" t="s">
        <v>6</v>
      </c>
      <c r="P21" s="1" t="s">
        <v>8</v>
      </c>
      <c r="S21" t="str">
        <f t="shared" si="3"/>
        <v>USA Female team</v>
      </c>
      <c r="T21" s="19" t="str">
        <f t="shared" si="4"/>
        <v>USA Female team</v>
      </c>
      <c r="W21" t="str">
        <f t="shared" si="5"/>
        <v>Canadian Female team</v>
      </c>
    </row>
  </sheetData>
  <conditionalFormatting sqref="A2:P21">
    <cfRule type="expression" dxfId="0" priority="1">
      <formula>$B2="Women"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PlayerData</vt:lpstr>
      <vt:lpstr>Hometown</vt:lpstr>
      <vt:lpstr>Logical operators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Aqsa</cp:lastModifiedBy>
  <dcterms:created xsi:type="dcterms:W3CDTF">2018-02-22T15:12:51Z</dcterms:created>
  <dcterms:modified xsi:type="dcterms:W3CDTF">2022-05-11T19:13:44Z</dcterms:modified>
</cp:coreProperties>
</file>