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ES COLLECTION" sheetId="1" r:id="rId1"/>
    <sheet name="DAILY REPORT" sheetId="2" r:id="rId2"/>
    <sheet name="FACULTY PAYMENT " sheetId="3" r:id="rId3"/>
    <sheet name="student fees detail" sheetId="4" r:id="rId4"/>
  </sheets>
  <calcPr calcId="144525" concurrentCalc="0"/>
</workbook>
</file>

<file path=xl/calcChain.xml><?xml version="1.0" encoding="utf-8"?>
<calcChain xmlns="http://schemas.openxmlformats.org/spreadsheetml/2006/main">
  <c r="P41" i="4" l="1"/>
  <c r="M41" i="4"/>
  <c r="O41" i="4"/>
  <c r="S41" i="4"/>
  <c r="O38" i="4"/>
  <c r="S38" i="4"/>
  <c r="T38" i="4"/>
  <c r="O37" i="4"/>
  <c r="S37" i="4"/>
  <c r="T37" i="4"/>
  <c r="W37" i="4"/>
  <c r="T36" i="4"/>
  <c r="W36" i="4"/>
  <c r="P36" i="4"/>
  <c r="M36" i="4"/>
  <c r="O36" i="4"/>
  <c r="O35" i="4"/>
  <c r="S35" i="4"/>
  <c r="T35" i="4"/>
  <c r="W35" i="4"/>
  <c r="U34" i="4"/>
  <c r="Q34" i="4"/>
  <c r="M34" i="4"/>
  <c r="O34" i="4"/>
  <c r="S34" i="4"/>
  <c r="T34" i="4"/>
  <c r="W34" i="4"/>
  <c r="U33" i="4"/>
  <c r="T33" i="4"/>
  <c r="W33" i="4"/>
  <c r="L33" i="4"/>
  <c r="O33" i="4"/>
  <c r="U32" i="4"/>
  <c r="T32" i="4"/>
  <c r="W32" i="4"/>
  <c r="O32" i="4"/>
  <c r="U31" i="4"/>
  <c r="Q31" i="4"/>
  <c r="P31" i="4"/>
  <c r="M31" i="4"/>
  <c r="O31" i="4"/>
  <c r="S31" i="4"/>
  <c r="T31" i="4"/>
  <c r="W31" i="4"/>
  <c r="U30" i="4"/>
  <c r="Q30" i="4"/>
  <c r="M30" i="4"/>
  <c r="O30" i="4"/>
  <c r="S30" i="4"/>
  <c r="T30" i="4"/>
  <c r="W30" i="4"/>
  <c r="S29" i="4"/>
  <c r="T29" i="4"/>
  <c r="W29" i="4"/>
  <c r="P28" i="4"/>
  <c r="S28" i="4"/>
  <c r="T28" i="4"/>
  <c r="W28" i="4"/>
  <c r="U27" i="4"/>
  <c r="T27" i="4"/>
  <c r="W27" i="4"/>
  <c r="Q27" i="4"/>
  <c r="S27" i="4"/>
  <c r="M27" i="4"/>
  <c r="U26" i="4"/>
  <c r="S26" i="4"/>
  <c r="T26" i="4"/>
  <c r="W26" i="4"/>
  <c r="AA39" i="4"/>
  <c r="M26" i="4"/>
  <c r="Q22" i="4"/>
  <c r="M22" i="4"/>
  <c r="O22" i="4"/>
  <c r="Q21" i="4"/>
  <c r="M21" i="4"/>
  <c r="O21" i="4"/>
  <c r="L20" i="4"/>
  <c r="O20" i="4"/>
  <c r="S20" i="4"/>
  <c r="T20" i="4"/>
  <c r="U19" i="4"/>
  <c r="Q19" i="4"/>
  <c r="M19" i="4"/>
  <c r="O19" i="4"/>
  <c r="O18" i="4"/>
  <c r="P18" i="4"/>
  <c r="O17" i="4"/>
  <c r="P17" i="4"/>
  <c r="O16" i="4"/>
  <c r="P16" i="4"/>
  <c r="S16" i="4"/>
  <c r="T16" i="4"/>
  <c r="M15" i="4"/>
  <c r="O15" i="4"/>
  <c r="M14" i="4"/>
  <c r="O14" i="4"/>
  <c r="U13" i="4"/>
  <c r="Q13" i="4"/>
  <c r="M13" i="4"/>
  <c r="O13" i="4"/>
  <c r="U12" i="4"/>
  <c r="Q12" i="4"/>
  <c r="M12" i="4"/>
  <c r="O12" i="4"/>
  <c r="O11" i="4"/>
  <c r="P11" i="4"/>
  <c r="S11" i="4"/>
  <c r="T11" i="4"/>
  <c r="U10" i="4"/>
  <c r="T10" i="4"/>
  <c r="M10" i="4"/>
  <c r="O10" i="4"/>
  <c r="P10" i="4"/>
  <c r="U9" i="4"/>
  <c r="Q9" i="4"/>
  <c r="M9" i="4"/>
  <c r="O9" i="4"/>
  <c r="U8" i="4"/>
  <c r="Q8" i="4"/>
  <c r="M8" i="4"/>
  <c r="O8" i="4"/>
  <c r="Q7" i="4"/>
  <c r="O7" i="4"/>
  <c r="P7" i="4"/>
  <c r="S7" i="4"/>
  <c r="T7" i="4"/>
  <c r="U6" i="4"/>
  <c r="Q6" i="4"/>
  <c r="O6" i="4"/>
  <c r="U5" i="4"/>
  <c r="Q5" i="4"/>
  <c r="M5" i="4"/>
  <c r="O5" i="4"/>
  <c r="Q4" i="4"/>
  <c r="M4" i="4"/>
  <c r="O4" i="4"/>
  <c r="Q3" i="4"/>
  <c r="M3" i="4"/>
  <c r="O3" i="4"/>
  <c r="P3" i="4"/>
  <c r="S3" i="4"/>
  <c r="T3" i="4"/>
  <c r="P4" i="4"/>
  <c r="S4" i="4"/>
  <c r="T4" i="4"/>
  <c r="P14" i="4"/>
  <c r="S14" i="4"/>
  <c r="T14" i="4"/>
  <c r="P9" i="4"/>
  <c r="S9" i="4"/>
  <c r="T9" i="4"/>
  <c r="P15" i="4"/>
  <c r="S15" i="4"/>
  <c r="T15" i="4"/>
  <c r="P19" i="4"/>
  <c r="S19" i="4"/>
  <c r="T19" i="4"/>
  <c r="P5" i="4"/>
  <c r="S5" i="4"/>
  <c r="T5" i="4"/>
  <c r="P8" i="4"/>
  <c r="S8" i="4"/>
  <c r="T8" i="4"/>
  <c r="P22" i="4"/>
  <c r="S22" i="4"/>
  <c r="T22" i="4"/>
  <c r="P6" i="4"/>
  <c r="S6" i="4"/>
  <c r="T6" i="4"/>
  <c r="P12" i="4"/>
  <c r="S12" i="4"/>
  <c r="T12" i="4"/>
  <c r="P13" i="4"/>
  <c r="S13" i="4"/>
  <c r="T13" i="4"/>
  <c r="P21" i="4"/>
  <c r="S21" i="4"/>
  <c r="T21" i="4"/>
  <c r="AA1" i="4"/>
</calcChain>
</file>

<file path=xl/sharedStrings.xml><?xml version="1.0" encoding="utf-8"?>
<sst xmlns="http://schemas.openxmlformats.org/spreadsheetml/2006/main" count="1026" uniqueCount="519">
  <si>
    <t>S.No</t>
  </si>
  <si>
    <t>Date</t>
  </si>
  <si>
    <t>R.No</t>
  </si>
  <si>
    <t>Name of the student</t>
  </si>
  <si>
    <t>Course</t>
  </si>
  <si>
    <t>Stream</t>
  </si>
  <si>
    <t>Batch</t>
  </si>
  <si>
    <t>Sem</t>
  </si>
  <si>
    <t>Cash</t>
  </si>
  <si>
    <t>DD to Unv</t>
  </si>
  <si>
    <t>CARD /   ONLINE</t>
  </si>
  <si>
    <t>CH/DD to IIKM</t>
  </si>
  <si>
    <t>CH/DD No.</t>
  </si>
  <si>
    <t>Bank</t>
  </si>
  <si>
    <t>Deposited to</t>
  </si>
  <si>
    <t>Deposited Date</t>
  </si>
  <si>
    <t>Balance Payment</t>
  </si>
  <si>
    <t xml:space="preserve">Remarks </t>
  </si>
  <si>
    <t>007</t>
  </si>
  <si>
    <t>Yesudass.A</t>
  </si>
  <si>
    <t xml:space="preserve">MBA </t>
  </si>
  <si>
    <t>AIRLINE</t>
  </si>
  <si>
    <t>2011-2013-FT</t>
  </si>
  <si>
    <t>2(Exam)</t>
  </si>
  <si>
    <t>2nd sem exam fee</t>
  </si>
  <si>
    <t>008</t>
  </si>
  <si>
    <t>Gayathri.K</t>
  </si>
  <si>
    <t>GENERAL</t>
  </si>
  <si>
    <t>Refernce</t>
  </si>
  <si>
    <t>Particulars</t>
  </si>
  <si>
    <t xml:space="preserve"> Income </t>
  </si>
  <si>
    <t xml:space="preserve"> Deposited </t>
  </si>
  <si>
    <t>Cheque Deposit</t>
  </si>
  <si>
    <t>Opening Balance</t>
  </si>
  <si>
    <t>Closing Balance for the day</t>
  </si>
  <si>
    <t>SIDDHARTH. K RECT. NO.3971</t>
  </si>
  <si>
    <t xml:space="preserve">DATE </t>
  </si>
  <si>
    <t xml:space="preserve">FACULTY </t>
  </si>
  <si>
    <t>PARTICULARS</t>
  </si>
  <si>
    <t>BANK</t>
  </si>
  <si>
    <t>CH.NO</t>
  </si>
  <si>
    <t>DATE</t>
  </si>
  <si>
    <t>AMOUNT</t>
  </si>
  <si>
    <t>ISSUED</t>
  </si>
  <si>
    <t>REMARKS</t>
  </si>
  <si>
    <t>01.04.2017</t>
  </si>
  <si>
    <t>RANJITH KUMAR</t>
  </si>
  <si>
    <t>2016 December Payment</t>
  </si>
  <si>
    <t>HDFC</t>
  </si>
  <si>
    <t>001297</t>
  </si>
  <si>
    <t>15.03.2017</t>
  </si>
  <si>
    <t>ARAVINDAN.S</t>
  </si>
  <si>
    <t>001300</t>
  </si>
  <si>
    <t>S.V.KANNAN</t>
  </si>
  <si>
    <t>001302</t>
  </si>
  <si>
    <t>D.RAMANATHAN</t>
  </si>
  <si>
    <t>001305</t>
  </si>
  <si>
    <t>SARAVANAN</t>
  </si>
  <si>
    <t>001308</t>
  </si>
  <si>
    <t>SHANKARA NARAYANAN</t>
  </si>
  <si>
    <t>001309</t>
  </si>
  <si>
    <t>08.04.2017</t>
  </si>
  <si>
    <t>SYED HAMED BASHA</t>
  </si>
  <si>
    <t>001312</t>
  </si>
  <si>
    <t>V.N PARTHBAN</t>
  </si>
  <si>
    <t>001313</t>
  </si>
  <si>
    <t>V.RAMACHANDRAN</t>
  </si>
  <si>
    <t>001314</t>
  </si>
  <si>
    <t>VEMBU</t>
  </si>
  <si>
    <t>001316</t>
  </si>
  <si>
    <t>VAITHYANATHAN</t>
  </si>
  <si>
    <t>001318</t>
  </si>
  <si>
    <t>SUMATHI</t>
  </si>
  <si>
    <t>001311</t>
  </si>
  <si>
    <t>07.04.2017</t>
  </si>
  <si>
    <t>CYNTHIA</t>
  </si>
  <si>
    <t>001298</t>
  </si>
  <si>
    <t>B.SANTHOSH KUMAR</t>
  </si>
  <si>
    <t>001301</t>
  </si>
  <si>
    <t>RAJA SREENIVASAN</t>
  </si>
  <si>
    <t>001304</t>
  </si>
  <si>
    <t>RAVI NAGARAJAN</t>
  </si>
  <si>
    <t>001306</t>
  </si>
  <si>
    <t>SUDHIR</t>
  </si>
  <si>
    <t>001310</t>
  </si>
  <si>
    <t>26.04.2017</t>
  </si>
  <si>
    <t>001317</t>
  </si>
  <si>
    <t>25.04.2017</t>
  </si>
  <si>
    <t>K.SUNDARAM</t>
  </si>
  <si>
    <t>2017 June Payment</t>
  </si>
  <si>
    <t>001336</t>
  </si>
  <si>
    <t>20.04.2017</t>
  </si>
  <si>
    <t>15.05.2017</t>
  </si>
  <si>
    <t>001499</t>
  </si>
  <si>
    <t>22.05.2017</t>
  </si>
  <si>
    <t>P.ABIRAMI</t>
  </si>
  <si>
    <t>001352</t>
  </si>
  <si>
    <t>20.05.2017</t>
  </si>
  <si>
    <t>001374</t>
  </si>
  <si>
    <t>19.05.2017</t>
  </si>
  <si>
    <t>SIVRAM KARTHI</t>
  </si>
  <si>
    <t>001371</t>
  </si>
  <si>
    <t>03.09.2017</t>
  </si>
  <si>
    <t>SELVARAJ</t>
  </si>
  <si>
    <t>001370</t>
  </si>
  <si>
    <t>13.06.2017</t>
  </si>
  <si>
    <t>001363</t>
  </si>
  <si>
    <t>29.06.2017</t>
  </si>
  <si>
    <t>S.V RANGARAJAN</t>
  </si>
  <si>
    <t>001361</t>
  </si>
  <si>
    <t>001353</t>
  </si>
  <si>
    <t>23.05.2017</t>
  </si>
  <si>
    <t>001180</t>
  </si>
  <si>
    <t>CHITRA</t>
  </si>
  <si>
    <t>001181</t>
  </si>
  <si>
    <t>001369</t>
  </si>
  <si>
    <t>18.05.2017</t>
  </si>
  <si>
    <t>001182</t>
  </si>
  <si>
    <t>001507</t>
  </si>
  <si>
    <t>01.06.2017</t>
  </si>
  <si>
    <t>S.S.G.K MURALI</t>
  </si>
  <si>
    <t>001189</t>
  </si>
  <si>
    <t>03.06.2017</t>
  </si>
  <si>
    <t>SURYA KUMARI</t>
  </si>
  <si>
    <t>001190</t>
  </si>
  <si>
    <t>08.06.2017</t>
  </si>
  <si>
    <t>NARAYANAN</t>
  </si>
  <si>
    <t>001356</t>
  </si>
  <si>
    <t>001203</t>
  </si>
  <si>
    <t>12.06.2017</t>
  </si>
  <si>
    <t>001204</t>
  </si>
  <si>
    <t>S.USHA</t>
  </si>
  <si>
    <t>001514</t>
  </si>
  <si>
    <t>21.06.2017</t>
  </si>
  <si>
    <t>T.R.SHANKARA NARAYANAN</t>
  </si>
  <si>
    <t>001220</t>
  </si>
  <si>
    <t>22.06.2017</t>
  </si>
  <si>
    <t>001221</t>
  </si>
  <si>
    <t>28.06.2017</t>
  </si>
  <si>
    <t>001229</t>
  </si>
  <si>
    <t>01.07.2017</t>
  </si>
  <si>
    <t>RAJAN MANI</t>
  </si>
  <si>
    <t>001224</t>
  </si>
  <si>
    <t>25.05.2017</t>
  </si>
  <si>
    <t>001225</t>
  </si>
  <si>
    <t>03.07.2017</t>
  </si>
  <si>
    <t>009</t>
  </si>
  <si>
    <t>Vimal Raj.R</t>
  </si>
  <si>
    <t>2(Exam) &amp; 1(Arrear)</t>
  </si>
  <si>
    <t>2nd sem exam fee &amp; 1 arrear</t>
  </si>
  <si>
    <t>010</t>
  </si>
  <si>
    <t>Manigandan.J</t>
  </si>
  <si>
    <t>011</t>
  </si>
  <si>
    <t>Aaishwarya. S</t>
  </si>
  <si>
    <t>012</t>
  </si>
  <si>
    <t>Preetha.T</t>
  </si>
  <si>
    <t>013</t>
  </si>
  <si>
    <t>Tinu thomas</t>
  </si>
  <si>
    <t>014</t>
  </si>
  <si>
    <t>Vishal Suresh</t>
  </si>
  <si>
    <t>2011-2013-PT</t>
  </si>
  <si>
    <t>015</t>
  </si>
  <si>
    <t>Ajay Prabhu.B</t>
  </si>
  <si>
    <t>016</t>
  </si>
  <si>
    <t>Yuvaraj.P.S</t>
  </si>
  <si>
    <t>017</t>
  </si>
  <si>
    <t>Remya.R</t>
  </si>
  <si>
    <t>2010-2012-FT</t>
  </si>
  <si>
    <t>4(Exam)</t>
  </si>
  <si>
    <t>4th sem exam fee</t>
  </si>
  <si>
    <t>018</t>
  </si>
  <si>
    <t>Abirami.N</t>
  </si>
  <si>
    <t>019</t>
  </si>
  <si>
    <t>Jayaprakash Narayanan.K</t>
  </si>
  <si>
    <t>020</t>
  </si>
  <si>
    <t>Sahithya.V.R</t>
  </si>
  <si>
    <t>021</t>
  </si>
  <si>
    <t>Venkatesh.K</t>
  </si>
  <si>
    <t>022</t>
  </si>
  <si>
    <t>Javin.J</t>
  </si>
  <si>
    <t>4(Exam) &amp; 1(Arrear)</t>
  </si>
  <si>
    <t>4th sem exam fee &amp; 1arrear</t>
  </si>
  <si>
    <t>023</t>
  </si>
  <si>
    <t>Ram Kumar.M</t>
  </si>
  <si>
    <t>4(Exam) &amp; 3(Arrear)</t>
  </si>
  <si>
    <t>2nd sem exam fee &amp; 3 arrears</t>
  </si>
  <si>
    <t>024</t>
  </si>
  <si>
    <t>Vinoth Kumar.V</t>
  </si>
  <si>
    <t>Caution</t>
  </si>
  <si>
    <t>Caution Fee</t>
  </si>
  <si>
    <t>025</t>
  </si>
  <si>
    <t>026</t>
  </si>
  <si>
    <t>Santhosh.P</t>
  </si>
  <si>
    <t>027</t>
  </si>
  <si>
    <t>Anbarasan.E</t>
  </si>
  <si>
    <t>2nd sem exam fee &amp; 2 arrears</t>
  </si>
  <si>
    <t>028</t>
  </si>
  <si>
    <t>Munaver Satham Hussain</t>
  </si>
  <si>
    <t>2nd sem fee</t>
  </si>
  <si>
    <t>029</t>
  </si>
  <si>
    <t>030</t>
  </si>
  <si>
    <t>James.S.J</t>
  </si>
  <si>
    <t>031</t>
  </si>
  <si>
    <t>Jerold Savio.G.C</t>
  </si>
  <si>
    <t>032</t>
  </si>
  <si>
    <t>Udaya Kumar R.V</t>
  </si>
  <si>
    <t>033</t>
  </si>
  <si>
    <t>Prabakaran.D</t>
  </si>
  <si>
    <t>034</t>
  </si>
  <si>
    <t>Suresh.N.V</t>
  </si>
  <si>
    <t>2012-2014-FT</t>
  </si>
  <si>
    <t>Reg</t>
  </si>
  <si>
    <t>Registration fee</t>
  </si>
  <si>
    <t>035</t>
  </si>
  <si>
    <t>Rahimuddin.R</t>
  </si>
  <si>
    <t>Ch No:104697</t>
  </si>
  <si>
    <t>Indian bank</t>
  </si>
  <si>
    <t>23/7/2012</t>
  </si>
  <si>
    <t>036</t>
  </si>
  <si>
    <t>037</t>
  </si>
  <si>
    <t>Anuradha.S</t>
  </si>
  <si>
    <t>2010-2012-PT</t>
  </si>
  <si>
    <t>Ch No: 351167</t>
  </si>
  <si>
    <t>Corporation Bank</t>
  </si>
  <si>
    <t>4th sem fee</t>
  </si>
  <si>
    <t>038</t>
  </si>
  <si>
    <t>039</t>
  </si>
  <si>
    <t>Stenny Vaiz.S</t>
  </si>
  <si>
    <t>040</t>
  </si>
  <si>
    <t>Suguna Priya.P</t>
  </si>
  <si>
    <t>041</t>
  </si>
  <si>
    <t>Boobalan.K</t>
  </si>
  <si>
    <t>042</t>
  </si>
  <si>
    <t>Ronald Raymond.A</t>
  </si>
  <si>
    <t>4th sem exam fee &amp; 1 arrear</t>
  </si>
  <si>
    <t>II YEAR MBA (2017-2019 BATCH) FULL TIME</t>
  </si>
  <si>
    <t>S.NO</t>
  </si>
  <si>
    <t>Pg.No.</t>
  </si>
  <si>
    <t>REG NO</t>
  </si>
  <si>
    <t>STUDENT NAME</t>
  </si>
  <si>
    <t>SCH</t>
  </si>
  <si>
    <t>STUDENT PHONE NUM</t>
  </si>
  <si>
    <t>PARENT'S PHONE NUM</t>
  </si>
  <si>
    <t>APPLICATION FEE</t>
  </si>
  <si>
    <t>REG FEE</t>
  </si>
  <si>
    <t>RFCD</t>
  </si>
  <si>
    <t>Address</t>
  </si>
  <si>
    <t>I Sem Course Fee</t>
  </si>
  <si>
    <t>I Sem Course Fee Paid Amt</t>
  </si>
  <si>
    <t>MODE OF PAYMENT</t>
  </si>
  <si>
    <t>Ist Sem fee Balance</t>
  </si>
  <si>
    <t>I Sem Balance + II Sem Course Fee</t>
  </si>
  <si>
    <t>II SEM FEE PAID AMT</t>
  </si>
  <si>
    <t>II SEM BALANCE</t>
  </si>
  <si>
    <t>II Sem Balance + III Sem Course Fee</t>
  </si>
  <si>
    <t>III SEM FEE PAID AMT</t>
  </si>
  <si>
    <t>III SEM BALANCE</t>
  </si>
  <si>
    <t>REMARKS (III Sem)</t>
  </si>
  <si>
    <t>III Sem Balance + IV Sem Course Fee + Convocation Fee - iPad</t>
  </si>
  <si>
    <t>IV SEM FEE PAID AMT</t>
  </si>
  <si>
    <t>IV Sem Balance Fee</t>
  </si>
  <si>
    <t>FEES DETAILS</t>
  </si>
  <si>
    <t>REMARKS (IV Sem)</t>
  </si>
  <si>
    <t>UNIFORM REFUND RS.2500</t>
  </si>
  <si>
    <t>17P35F0084</t>
  </si>
  <si>
    <t>Ahmed Abubakar Salah</t>
  </si>
  <si>
    <t xml:space="preserve">Gaurdian: Salim Saleh,D 31, 7th Floor, Halls tower, Halls road, Egmore,Chennai-600008,Tamilnadu  </t>
  </si>
  <si>
    <t>CHEQUE</t>
  </si>
  <si>
    <t>Cheque</t>
  </si>
  <si>
    <t>III Semester Jan 2019 Exam - not appeared</t>
  </si>
  <si>
    <t>17P35F0085</t>
  </si>
  <si>
    <t>A.P.Ahmed Ameen</t>
  </si>
  <si>
    <t>Malapuram, Mannarghat,South Anthaman Nicobar Islands-744206 Andhaman</t>
  </si>
  <si>
    <t>CARD&amp; CASH</t>
  </si>
  <si>
    <t>NEFT</t>
  </si>
  <si>
    <t>SCH 25,000 (RFCD Rs10,000 Deducted in his SCH)</t>
  </si>
  <si>
    <t>17P35F0087</t>
  </si>
  <si>
    <t>Archana.S</t>
  </si>
  <si>
    <t>D/o R. Sathish Kumar,Address: 1A, Jamal Lakshmi Nivas, Ist Avenue, Indira Nagar, Adyar,  Chennai – 600020.</t>
  </si>
  <si>
    <t>CASH&amp;CHEQUE</t>
  </si>
  <si>
    <t>17P35F0088</t>
  </si>
  <si>
    <t>Besheela Blesslin.RT</t>
  </si>
  <si>
    <t>D/o R.Robert Singh,134/3, Annai Flats,Padikuppam Road,Anna Nagar West,Chennai-600040</t>
  </si>
  <si>
    <t>BLAZER REFUND RS.2500 PAID(10.8.2019)</t>
  </si>
  <si>
    <t>17P35F0090</t>
  </si>
  <si>
    <t>Ishanudheen.I</t>
  </si>
  <si>
    <t>S/O K.K.Ismail, No 334,Sivan Kovil Street,Viruthampet, Vellore</t>
  </si>
  <si>
    <t>CASH &amp;NEFT</t>
  </si>
  <si>
    <t>DD</t>
  </si>
  <si>
    <t>OLD BALANCE MAM TOLD IT'S CLEARED ON 3RD SEM EXAM TIME.. SO 4TH SEM BALANCE HE PAYING. PAID ON 21.05.2019 20K</t>
  </si>
  <si>
    <t>17P35A0002</t>
  </si>
  <si>
    <t>Jayasri.B</t>
  </si>
  <si>
    <t>RS.25,000.00</t>
  </si>
  <si>
    <t>No121,Yeswanth Nagar,Selaiyur,East Thambaram,Chennai-73</t>
  </si>
  <si>
    <t>CASH</t>
  </si>
  <si>
    <t>17P35A0003</t>
  </si>
  <si>
    <t>Mohamed Jasim</t>
  </si>
  <si>
    <t>PDC GIVEN for 33,500 dtd 04.07.2018</t>
  </si>
  <si>
    <t>BLAZER REFUND RS.2500 PAID(09.9.2019)</t>
  </si>
  <si>
    <t>17P35F0099</t>
  </si>
  <si>
    <t>Sagishree.R</t>
  </si>
  <si>
    <t>D/oK.Rameshkumar,l.1285 6th main road,Thuiruvalluvar nagar, Thiruvanmaiyur,</t>
  </si>
  <si>
    <t>BAL RS.2500 ADJUSTED TOWARDS JAN 2019 EXAM FEE = 3300 - 2500 = 900, RS.900 TO BE COLLECTED FROM THE STUDENT.</t>
  </si>
  <si>
    <t>17P35F0101</t>
  </si>
  <si>
    <t>K.L.Sanjay</t>
  </si>
  <si>
    <t>17P35F0103</t>
  </si>
  <si>
    <t>Sarga Sajan</t>
  </si>
  <si>
    <t>NEFT&amp;Cash</t>
  </si>
  <si>
    <t>17P35F0102</t>
  </si>
  <si>
    <t>Sankar Ram R</t>
  </si>
  <si>
    <t>S/O  N.Ramakrishnan, 1676,B,PKN road, sivakasi, VNR District-626123, Tamilnadu</t>
  </si>
  <si>
    <t>R.NO. FOR RS.5585 NEED TO BE CHECKED</t>
  </si>
  <si>
    <t xml:space="preserve">                 </t>
  </si>
  <si>
    <t>17P35F0104</t>
  </si>
  <si>
    <t>U.M.Sreelekha</t>
  </si>
  <si>
    <t>Rs.1,00,000.00</t>
  </si>
  <si>
    <t>D/O  S. Udaya Kumar, Maan Sarovar Raaja Apts, Block-4,flat-12, 11A Arcot road, Porur, Chennai-600116, Tamilnadu</t>
  </si>
  <si>
    <t>17P35F0105</t>
  </si>
  <si>
    <t>Sundari.R</t>
  </si>
  <si>
    <t>No 13,Vallalar Nagar,1st street, Thirumullaivoyal,Chennai-62</t>
  </si>
  <si>
    <t>Her Course fee 60,000 only for PER sem after completing her course she will pay the balance amount.</t>
  </si>
  <si>
    <t>17P35F0106</t>
  </si>
  <si>
    <t>B.Susmithachen</t>
  </si>
  <si>
    <t>D/O,Balasubramanian,No:185c, Jail Pettai,Palakkrai,Trichy-620008.</t>
  </si>
  <si>
    <t>Her Course fee 60,000 only for PER sem after completing her course she will pay the balance amount. Bal 18,000 for next sem</t>
  </si>
  <si>
    <t>17P35A0004</t>
  </si>
  <si>
    <t>Swathika.P</t>
  </si>
  <si>
    <t xml:space="preserve">
D/o R.Prakasam,No.1, Kaveri Street,Ellapa Nagar,Cheyyar-604407</t>
  </si>
  <si>
    <t>ONEGO PAYMENT</t>
  </si>
  <si>
    <t>17P35A0005</t>
  </si>
  <si>
    <t>Uthara.S</t>
  </si>
  <si>
    <t>D/O Sundaramurthy,B-14,Shanthi flats,No 7 Rakki Appa street,Mylapore,Chennai-004</t>
  </si>
  <si>
    <t>CASH &amp; Cheque</t>
  </si>
  <si>
    <t>17P35F0109</t>
  </si>
  <si>
    <t>Venkatesh.S</t>
  </si>
  <si>
    <t>S/o S.Revathy,No:98,Ganapathy Street, LIC Colony Extension,Pammal,Chennai-75</t>
  </si>
  <si>
    <t>Cheque&amp;Cash</t>
  </si>
  <si>
    <t>17P35F0110</t>
  </si>
  <si>
    <t>E.Vinitha</t>
  </si>
  <si>
    <t>38,Sathiya moorth1Street, Senthanneerpuram,Trichy-620004</t>
  </si>
  <si>
    <t>NEFT&amp;CHEQUE</t>
  </si>
  <si>
    <t>17P35F0098</t>
  </si>
  <si>
    <t>Pouhoulung Kamei</t>
  </si>
  <si>
    <t xml:space="preserve">CASH </t>
  </si>
  <si>
    <t>Directly Deposit into Bank</t>
  </si>
  <si>
    <t>rs.2000 he transfer from online on 09.09.2019</t>
  </si>
  <si>
    <t>17P35F0095</t>
  </si>
  <si>
    <t>Naveen Raj.R</t>
  </si>
  <si>
    <t>CASH&amp;NEFT</t>
  </si>
  <si>
    <t>II YEAR MBA (2017-2019 BATCH) PART TIME</t>
  </si>
  <si>
    <t>REMARKS (III Sem )</t>
  </si>
  <si>
    <t>17P35F0083</t>
  </si>
  <si>
    <t>Abubakar Siddiq</t>
  </si>
  <si>
    <t>No: 6/5 -1 bus stop street devi pattinam,Ramanathapuram</t>
  </si>
  <si>
    <t>17P35F0086</t>
  </si>
  <si>
    <t>Anish K Aravind</t>
  </si>
  <si>
    <t>card &amp; NEFT</t>
  </si>
  <si>
    <t>Instalment Basis</t>
  </si>
  <si>
    <t>17P35F0089</t>
  </si>
  <si>
    <t>Chandra kumar T</t>
  </si>
  <si>
    <t>NEFT &amp; Cheque</t>
  </si>
  <si>
    <t>17P35F0091</t>
  </si>
  <si>
    <t>Jebaraj</t>
  </si>
  <si>
    <t>17P35F0093</t>
  </si>
  <si>
    <t>Manoj Karthick .S</t>
  </si>
  <si>
    <t>S/o K.Sivashankaran,12/2 Lourdhunagar,5th street,West extension,K.pudur,Madurai-625007</t>
  </si>
  <si>
    <t>Card&amp;Cheque</t>
  </si>
  <si>
    <t>Cash&amp;NEFT</t>
  </si>
  <si>
    <t>17P35F0094</t>
  </si>
  <si>
    <t>MURUGA PERUMAL.P</t>
  </si>
  <si>
    <t>Cash &amp; NEFT</t>
  </si>
  <si>
    <t>17P35F0096</t>
  </si>
  <si>
    <t>Padmasini.K.N</t>
  </si>
  <si>
    <t>D/O K.S.Narayana moorthy,no 205,Thiruvalluvar street,Attipattu,Thiruvallur district-6000120</t>
  </si>
  <si>
    <t>card</t>
  </si>
  <si>
    <t xml:space="preserve"> </t>
  </si>
  <si>
    <t>17P35F0097</t>
  </si>
  <si>
    <t>Philip Christina Joys</t>
  </si>
  <si>
    <t>D/O Antony Santhosa, Flat  S1 H91 Block Sea view apartments,Valmiki nagar, 
Thiruvanmiyur, Chennai-600041, Tamilnadu</t>
  </si>
  <si>
    <t>17P35F0100</t>
  </si>
  <si>
    <t>Sandhya H</t>
  </si>
  <si>
    <t>D/o V. Hariharan, No.27, Viswanathan Street, Radha Nagar, Chrompet, Ch-600044.</t>
  </si>
  <si>
    <t>17P35F0107</t>
  </si>
  <si>
    <t>Swagata Banerjee</t>
  </si>
  <si>
    <t>Cash &amp;NEFT</t>
  </si>
  <si>
    <t>17P35F0108</t>
  </si>
  <si>
    <t>Thahir.H</t>
  </si>
  <si>
    <t>No: 14. ponniamman Nagar, Karyanchavadi</t>
  </si>
  <si>
    <t>cheque</t>
  </si>
  <si>
    <t>17P35F0111</t>
  </si>
  <si>
    <t>YAMINI.R</t>
  </si>
  <si>
    <t>CASH&amp;Cheque</t>
  </si>
  <si>
    <t>17P35F0112</t>
  </si>
  <si>
    <t xml:space="preserve">Yasmine.J </t>
  </si>
  <si>
    <t>D/O,Jaffer Ali,No:7/11, Kasigarden 1st Street,Kasimedu,Chennai-600013.</t>
  </si>
  <si>
    <t>Cash &amp; Cheque</t>
  </si>
  <si>
    <t>1,36,980 one yr fee include exam fee &amp; RFCD</t>
  </si>
  <si>
    <t>DISCONTIUNED</t>
  </si>
  <si>
    <t>17P35F0092</t>
  </si>
  <si>
    <t>KALAIRASI.A</t>
  </si>
  <si>
    <t>cash</t>
  </si>
  <si>
    <t>(Discontiuned)</t>
  </si>
  <si>
    <t>CASH DEPO. 2450 HDFC</t>
  </si>
  <si>
    <t>PALABURI CHANDRA SEKAR RECT. NO.3972</t>
  </si>
  <si>
    <t>AKASH. D RECT. NO.3973</t>
  </si>
  <si>
    <t>Expenses</t>
  </si>
  <si>
    <t>TNEB - ELECTRICIAN</t>
  </si>
  <si>
    <t>PRINTING &amp; STATIONARY A/C</t>
  </si>
  <si>
    <t>CASH  TO VENKAT IN SUSPENSE FOR LORRY OFFICE</t>
  </si>
  <si>
    <t>COFFEE, TEA DUST, SUGAR  PURCHASED</t>
  </si>
  <si>
    <t>PHONE RECHARGE TO VENKAT</t>
  </si>
  <si>
    <t>14.6.2016</t>
  </si>
  <si>
    <t>CASH DEPOSIT 2450 HDFC</t>
  </si>
  <si>
    <t>CASH PAID FOR EB LINE MAN</t>
  </si>
  <si>
    <t>SADHAM HUSSAIN .A RECT. NO.3974</t>
  </si>
  <si>
    <t>BIPANCHIBAI LUNG RECT. NO.3975</t>
  </si>
  <si>
    <t>BALANCE CASH PAID FOR FREIGHT -CALICUT</t>
  </si>
  <si>
    <t>MOULEEDARAN.M RECT. NO.3976</t>
  </si>
  <si>
    <t>15-06-2016</t>
  </si>
  <si>
    <t>ESAKKI RAJA . E RECT.NO.3977</t>
  </si>
  <si>
    <t>SATYAA SUTHAN. B RECT. NO.3978</t>
  </si>
  <si>
    <t>HANSA PRIYA .B RECT.NO. 3979</t>
  </si>
  <si>
    <t>ANIRUSH RAYAPROLUCHENNAM  RECT. NO.3980</t>
  </si>
  <si>
    <t>SAIDHAN HUSSAIN. AN RECT.NO.3981</t>
  </si>
  <si>
    <t>SYESU BAISAL KHAN.S  RECT.NO.3982</t>
  </si>
  <si>
    <t>JEEVITHA. S RECT.NO.3983</t>
  </si>
  <si>
    <t>MOHAMMED UTHUMAN.K  RECT.NO.3984</t>
  </si>
  <si>
    <t>ANWIN ANTONY RECT. NO.3985</t>
  </si>
  <si>
    <t>SRINIVASA VARADHA.L RECT.NO.3986</t>
  </si>
  <si>
    <t>EZILARASAN.E RECT.NO.3987</t>
  </si>
  <si>
    <t>RAMESH RAHUL. H RECT. NO.3989</t>
  </si>
  <si>
    <t>CASH TO UNIVERSITY OFFICER</t>
  </si>
  <si>
    <t xml:space="preserve">CASH PAID TO NEW S PAPER </t>
  </si>
  <si>
    <t>CASH PAID TO WATER</t>
  </si>
  <si>
    <t>LUNCH PROVIDED TO UNIVERSITY  OFFICER</t>
  </si>
  <si>
    <t>LUNCH PROVIDED TO UNIVERSITY  CAR DRIVER</t>
  </si>
  <si>
    <t>Salary</t>
  </si>
  <si>
    <t>SALARY ADVANCE TO RAJESHWARI</t>
  </si>
  <si>
    <t>CASH DEPOSIT HDFC2450</t>
  </si>
  <si>
    <t>XEROX  CHARGES</t>
  </si>
  <si>
    <t>SALARY TO  TN. RENGARAJAN  PART PAYMENT</t>
  </si>
  <si>
    <t>COURIER CHARGES TO CALICUT</t>
  </si>
  <si>
    <t>16.6.2016</t>
  </si>
  <si>
    <t>SELSIYA ASHLINE.P  RECT.NO.3990</t>
  </si>
  <si>
    <t>CHRISTY-IYPE RECT.NO.3991</t>
  </si>
  <si>
    <t>SHANMUGA VIGNESH. KR  RECT. 3992</t>
  </si>
  <si>
    <t>LOCAL CONVEYENCE HOSTEL AUTO FARE UP &amp; DOWN</t>
  </si>
  <si>
    <t>OFFICE EXPENSE XEROX CHARGES</t>
  </si>
  <si>
    <t>POOJA EXPENSES</t>
  </si>
  <si>
    <t>REPAIRS &amp; RENEWALS AC REPAIR (RECEIPTION)</t>
  </si>
  <si>
    <t>17.06.2016</t>
  </si>
  <si>
    <t>MOHAMMED UTHUMAN. AK RECT. NO.3994</t>
  </si>
  <si>
    <t>SALARY ADVANCE TO VINOTH</t>
  </si>
  <si>
    <t>MISC. EXPENSES (FLOWER POTS PURCHASED)</t>
  </si>
  <si>
    <t>VEHICLE MAINTANANCE ( OFFICE BIKE PETROL)</t>
  </si>
  <si>
    <t>PRINTING &amp; STATIONERY A/C  XEROX CHARGES</t>
  </si>
  <si>
    <t>18.06.2016</t>
  </si>
  <si>
    <t>CASH RECD. FROM EMPOWER</t>
  </si>
  <si>
    <t>BALAVASANTH.V  RECT.NO.3995</t>
  </si>
  <si>
    <t>CASH DEPO. 2450</t>
  </si>
  <si>
    <t>PRINTING&amp;STATIONERY A/C  XEROX CHARGES</t>
  </si>
  <si>
    <t>PHONE CHARGES  TO PURUSHOTHAM</t>
  </si>
  <si>
    <t>PALANIVEL.L RECT.NO.3996</t>
  </si>
  <si>
    <t>MIS. EXPENSES A/C. VATHI PURCHASED FOR POOJA</t>
  </si>
  <si>
    <t>20.06.2016</t>
  </si>
  <si>
    <t>R. VINODKUMAR  RECT. NO.3997</t>
  </si>
  <si>
    <t>STAFF WELFARE A/C (SUNDAY COFFEE EXPENSES)</t>
  </si>
  <si>
    <t>GANESHRAM RECT.NO.3999</t>
  </si>
  <si>
    <t xml:space="preserve">PANDIYAN.S RECT.NO.4001 </t>
  </si>
  <si>
    <t>LOCALCONVEYENCE(AUTO FARE HOSTEL VISIT UP&amp;DOWN)</t>
  </si>
  <si>
    <t>OFFICE EXPENSES (JUICE TO UNIVE. OFFICER)</t>
  </si>
  <si>
    <t>PRINTING &amp; STATIONERYA/C ( XEROX CHARGES)</t>
  </si>
  <si>
    <t>SALARY A/C ( T.N. RANGARAJAN BALANCE SALARY PAID)</t>
  </si>
  <si>
    <t>21.06.2016</t>
  </si>
  <si>
    <t>PRAVEEN BABU. R  RECT.4004</t>
  </si>
  <si>
    <t>KANAGAMUNIYASAMY RECT. 4005</t>
  </si>
  <si>
    <t>KANAGAMUNIYASAMY RECT. 4006</t>
  </si>
  <si>
    <t>SADAM HUSSAIN .A (EXCESS FEE REIMBURSED BY MAM INST.)</t>
  </si>
  <si>
    <t>ARUN. PA  RECT. 4007</t>
  </si>
  <si>
    <t>ARJUN. K  RECT. 4008</t>
  </si>
  <si>
    <t>SIVARAMAKRISHNAN RECT. 4009</t>
  </si>
  <si>
    <t>TELEPHONE A/C</t>
  </si>
  <si>
    <t>PRINTING STATIONERY A/C  XEROX CHARGES</t>
  </si>
  <si>
    <t>CASH  PAID TO SUNIL FINANCIER</t>
  </si>
  <si>
    <t>22.06.2016</t>
  </si>
  <si>
    <t>cash deposit 2450</t>
  </si>
  <si>
    <t>PRIYANKA.G   RECT. NO.4010</t>
  </si>
  <si>
    <t>JAYSHANKAR . R    RECT.NO. 4011</t>
  </si>
  <si>
    <t>PRINTING &amp; STATIONERY A/C  INV.NO.S-32/30.4.2016SKYINDIA</t>
  </si>
  <si>
    <t>POSTAGE A/C  STAMPS PURCHASED FOR PAMPLETS DESPATCH</t>
  </si>
  <si>
    <t>PRINTING &amp; STATIONERY A/C  GUM TAPE &amp; NOTE BOOK PURC</t>
  </si>
  <si>
    <t>23.6.2016</t>
  </si>
  <si>
    <t>PRABAKARAN. M.S    RECT.NO.4013</t>
  </si>
  <si>
    <t>RAJKUMAR . S                                  4014</t>
  </si>
  <si>
    <t>YUVRAJ.  B                                        4016</t>
  </si>
  <si>
    <t>PALANIVEL . L                                 4017</t>
  </si>
  <si>
    <t>MURALIKRISHNAN. AM              4018</t>
  </si>
  <si>
    <t>POSTAGE A/CSPEED POST CHARGES</t>
  </si>
  <si>
    <t>PRINTING &amp; STATIONERY A/C  FEVI STICK PURCHASED</t>
  </si>
  <si>
    <t>24.6.2016</t>
  </si>
  <si>
    <t>SAGAR REDDY . A             RECT. NO.4019</t>
  </si>
  <si>
    <t>SAIKIRAN. T                                            4020</t>
  </si>
  <si>
    <t>ARAVIND. K                                            4022</t>
  </si>
  <si>
    <t>CASH DEPOSIT 2450</t>
  </si>
  <si>
    <t>RUPESH KUMAR                                     4023</t>
  </si>
  <si>
    <t>VIGNESHWARAN. K                              4024</t>
  </si>
  <si>
    <t>MISC. EXPENSES A/C  (FRIDAY POOJA &amp; OTHER THINGS PURCH)</t>
  </si>
  <si>
    <t>LOCAL CONVEYENCE A/C (AUTO FARE UP&amp; DOWN HOTEL VISIT)</t>
  </si>
  <si>
    <t>VENKAT SUSPENSE A/C FOR POST OFFICE WORK)5200</t>
  </si>
  <si>
    <t>S. RAJKUMAR                                          4025</t>
  </si>
  <si>
    <t>25.6.2016</t>
  </si>
  <si>
    <t>NIL</t>
  </si>
  <si>
    <t>CARD</t>
  </si>
  <si>
    <t>RTGS</t>
  </si>
  <si>
    <t>ICICI</t>
  </si>
  <si>
    <t>UBS</t>
  </si>
  <si>
    <t>IIKM</t>
  </si>
  <si>
    <t>IIKM Business</t>
  </si>
  <si>
    <t>AAYAN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</si>
</sst>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dd\-mm\-yy\-ddd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F0"/>
      <name val="Times New Roman"/>
      <family val="1"/>
    </font>
    <font>
      <b/>
      <sz val="11"/>
      <color rgb="FF00B0F0"/>
      <name val="Arial Black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9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0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16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43" fontId="2" fillId="2" borderId="1" xfId="2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4" fontId="2" fillId="2" borderId="2" xfId="1" applyNumberFormat="1" applyFont="1" applyFill="1" applyBorder="1" applyAlignment="1">
      <alignment horizontal="left" vertical="center" wrapText="1"/>
    </xf>
    <xf numFmtId="4" fontId="2" fillId="2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43" fontId="4" fillId="0" borderId="2" xfId="2" applyFont="1" applyBorder="1" applyAlignment="1">
      <alignment horizontal="center" vertical="center"/>
    </xf>
    <xf numFmtId="2" fontId="4" fillId="0" borderId="2" xfId="1" applyNumberFormat="1" applyFont="1" applyBorder="1" applyAlignment="1">
      <alignment horizontal="center" vertical="center"/>
    </xf>
    <xf numFmtId="4" fontId="4" fillId="0" borderId="2" xfId="1" applyNumberFormat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left" vertical="center"/>
    </xf>
    <xf numFmtId="4" fontId="4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14" fontId="4" fillId="0" borderId="2" xfId="1" applyNumberFormat="1" applyFont="1" applyBorder="1" applyAlignment="1">
      <alignment horizontal="center" vertical="center"/>
    </xf>
    <xf numFmtId="0" fontId="4" fillId="0" borderId="2" xfId="1" quotePrefix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5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wrapText="1"/>
    </xf>
    <xf numFmtId="4" fontId="5" fillId="3" borderId="2" xfId="0" applyNumberFormat="1" applyFont="1" applyFill="1" applyBorder="1" applyAlignment="1">
      <alignment horizontal="center" vertical="center"/>
    </xf>
    <xf numFmtId="165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/>
    <xf numFmtId="4" fontId="5" fillId="4" borderId="2" xfId="0" applyNumberFormat="1" applyFont="1" applyFill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4" fontId="6" fillId="0" borderId="2" xfId="0" applyNumberFormat="1" applyFont="1" applyBorder="1" applyAlignment="1">
      <alignment horizontal="center"/>
    </xf>
    <xf numFmtId="4" fontId="6" fillId="0" borderId="2" xfId="0" applyNumberFormat="1" applyFont="1" applyFill="1" applyBorder="1" applyAlignment="1">
      <alignment horizontal="center"/>
    </xf>
    <xf numFmtId="4" fontId="5" fillId="0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" fontId="6" fillId="3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49" fontId="4" fillId="0" borderId="2" xfId="1" applyNumberFormat="1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3" fontId="9" fillId="0" borderId="0" xfId="0" applyNumberFormat="1" applyFont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/>
    </xf>
    <xf numFmtId="0" fontId="13" fillId="7" borderId="2" xfId="1" applyFont="1" applyFill="1" applyBorder="1" applyAlignment="1">
      <alignment horizontal="center" vertical="center"/>
    </xf>
    <xf numFmtId="0" fontId="14" fillId="7" borderId="2" xfId="1" applyFont="1" applyFill="1" applyBorder="1" applyAlignment="1">
      <alignment vertical="center"/>
    </xf>
    <xf numFmtId="0" fontId="15" fillId="0" borderId="2" xfId="1" applyFont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3" fontId="10" fillId="2" borderId="2" xfId="0" applyNumberFormat="1" applyFont="1" applyFill="1" applyBorder="1" applyAlignment="1">
      <alignment vertical="center"/>
    </xf>
    <xf numFmtId="0" fontId="16" fillId="0" borderId="2" xfId="0" applyFont="1" applyFill="1" applyBorder="1" applyAlignment="1">
      <alignment horizontal="left" vertical="center" wrapText="1"/>
    </xf>
    <xf numFmtId="3" fontId="10" fillId="2" borderId="2" xfId="0" applyNumberFormat="1" applyFont="1" applyFill="1" applyBorder="1" applyAlignment="1">
      <alignment horizontal="center" vertical="center"/>
    </xf>
    <xf numFmtId="3" fontId="10" fillId="8" borderId="2" xfId="0" applyNumberFormat="1" applyFont="1" applyFill="1" applyBorder="1" applyAlignment="1">
      <alignment vertical="center"/>
    </xf>
    <xf numFmtId="3" fontId="10" fillId="5" borderId="2" xfId="0" applyNumberFormat="1" applyFont="1" applyFill="1" applyBorder="1" applyAlignment="1">
      <alignment horizontal="center" vertical="center"/>
    </xf>
    <xf numFmtId="3" fontId="10" fillId="7" borderId="2" xfId="0" applyNumberFormat="1" applyFont="1" applyFill="1" applyBorder="1" applyAlignment="1">
      <alignment horizontal="center" vertical="center"/>
    </xf>
    <xf numFmtId="3" fontId="10" fillId="7" borderId="2" xfId="0" applyNumberFormat="1" applyFont="1" applyFill="1" applyBorder="1" applyAlignment="1">
      <alignment horizontal="center"/>
    </xf>
    <xf numFmtId="0" fontId="10" fillId="7" borderId="2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9" borderId="2" xfId="0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vertical="center"/>
    </xf>
    <xf numFmtId="0" fontId="15" fillId="9" borderId="2" xfId="1" applyFont="1" applyFill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3" fontId="10" fillId="9" borderId="2" xfId="0" applyNumberFormat="1" applyFont="1" applyFill="1" applyBorder="1" applyAlignment="1">
      <alignment vertical="center"/>
    </xf>
    <xf numFmtId="3" fontId="10" fillId="9" borderId="2" xfId="0" applyNumberFormat="1" applyFont="1" applyFill="1" applyBorder="1" applyAlignment="1">
      <alignment horizontal="right" vertical="center"/>
    </xf>
    <xf numFmtId="0" fontId="16" fillId="9" borderId="2" xfId="0" applyFont="1" applyFill="1" applyBorder="1" applyAlignment="1">
      <alignment horizontal="left" vertical="center" wrapText="1"/>
    </xf>
    <xf numFmtId="3" fontId="10" fillId="9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right" vertical="center"/>
    </xf>
    <xf numFmtId="3" fontId="10" fillId="9" borderId="2" xfId="0" applyNumberFormat="1" applyFont="1" applyFill="1" applyBorder="1" applyAlignment="1">
      <alignment horizontal="center" vertical="center"/>
    </xf>
    <xf numFmtId="3" fontId="10" fillId="9" borderId="2" xfId="0" applyNumberFormat="1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vertical="center" wrapText="1"/>
    </xf>
    <xf numFmtId="0" fontId="16" fillId="9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3" fontId="10" fillId="5" borderId="2" xfId="0" applyNumberFormat="1" applyFont="1" applyFill="1" applyBorder="1" applyAlignment="1">
      <alignment vertical="center"/>
    </xf>
    <xf numFmtId="3" fontId="10" fillId="5" borderId="2" xfId="0" applyNumberFormat="1" applyFont="1" applyFill="1" applyBorder="1" applyAlignment="1">
      <alignment horizontal="right" vertical="center"/>
    </xf>
    <xf numFmtId="0" fontId="16" fillId="5" borderId="2" xfId="0" applyFont="1" applyFill="1" applyBorder="1" applyAlignment="1">
      <alignment horizontal="left" vertical="center" wrapText="1"/>
    </xf>
    <xf numFmtId="3" fontId="10" fillId="5" borderId="4" xfId="0" applyNumberFormat="1" applyFont="1" applyFill="1" applyBorder="1" applyAlignment="1">
      <alignment horizontal="center" vertical="center"/>
    </xf>
    <xf numFmtId="3" fontId="10" fillId="5" borderId="4" xfId="0" applyNumberFormat="1" applyFont="1" applyFill="1" applyBorder="1" applyAlignment="1">
      <alignment horizontal="right" vertical="center"/>
    </xf>
    <xf numFmtId="3" fontId="10" fillId="5" borderId="2" xfId="0" applyNumberFormat="1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vertical="center" wrapText="1"/>
    </xf>
    <xf numFmtId="3" fontId="16" fillId="9" borderId="4" xfId="0" applyNumberFormat="1" applyFont="1" applyFill="1" applyBorder="1" applyAlignment="1">
      <alignment horizontal="right" vertical="center"/>
    </xf>
    <xf numFmtId="0" fontId="10" fillId="9" borderId="2" xfId="0" applyFont="1" applyFill="1" applyBorder="1" applyAlignment="1">
      <alignment horizontal="right" vertical="center"/>
    </xf>
    <xf numFmtId="3" fontId="10" fillId="9" borderId="2" xfId="0" applyNumberFormat="1" applyFont="1" applyFill="1" applyBorder="1" applyAlignment="1">
      <alignment vertical="center" wrapText="1"/>
    </xf>
    <xf numFmtId="0" fontId="10" fillId="5" borderId="5" xfId="0" applyFont="1" applyFill="1" applyBorder="1" applyAlignment="1">
      <alignment horizontal="center" vertical="center"/>
    </xf>
    <xf numFmtId="3" fontId="16" fillId="5" borderId="4" xfId="0" applyNumberFormat="1" applyFont="1" applyFill="1" applyBorder="1" applyAlignment="1">
      <alignment vertical="center"/>
    </xf>
    <xf numFmtId="0" fontId="16" fillId="7" borderId="2" xfId="0" applyFont="1" applyFill="1" applyBorder="1" applyAlignment="1">
      <alignment vertical="center"/>
    </xf>
    <xf numFmtId="0" fontId="10" fillId="7" borderId="2" xfId="0" applyFont="1" applyFill="1" applyBorder="1" applyAlignment="1">
      <alignment horizontal="right" vertical="center"/>
    </xf>
    <xf numFmtId="3" fontId="10" fillId="7" borderId="2" xfId="0" applyNumberFormat="1" applyFont="1" applyFill="1" applyBorder="1" applyAlignment="1">
      <alignment vertical="center"/>
    </xf>
    <xf numFmtId="0" fontId="16" fillId="7" borderId="2" xfId="0" applyFont="1" applyFill="1" applyBorder="1" applyAlignment="1">
      <alignment horizontal="left" vertical="center" wrapText="1"/>
    </xf>
    <xf numFmtId="3" fontId="10" fillId="7" borderId="4" xfId="0" applyNumberFormat="1" applyFont="1" applyFill="1" applyBorder="1" applyAlignment="1">
      <alignment horizontal="center" vertical="center"/>
    </xf>
    <xf numFmtId="3" fontId="10" fillId="7" borderId="4" xfId="0" applyNumberFormat="1" applyFont="1" applyFill="1" applyBorder="1" applyAlignment="1">
      <alignment horizontal="right" vertical="center"/>
    </xf>
    <xf numFmtId="0" fontId="10" fillId="7" borderId="2" xfId="0" applyFont="1" applyFill="1" applyBorder="1" applyAlignment="1">
      <alignment vertical="center" wrapText="1"/>
    </xf>
    <xf numFmtId="3" fontId="11" fillId="5" borderId="4" xfId="0" applyNumberFormat="1" applyFont="1" applyFill="1" applyBorder="1" applyAlignment="1">
      <alignment horizontal="right" vertical="center"/>
    </xf>
    <xf numFmtId="3" fontId="11" fillId="9" borderId="4" xfId="0" applyNumberFormat="1" applyFont="1" applyFill="1" applyBorder="1" applyAlignment="1">
      <alignment horizontal="right" vertical="center"/>
    </xf>
    <xf numFmtId="0" fontId="10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vertical="center"/>
    </xf>
    <xf numFmtId="3" fontId="10" fillId="9" borderId="1" xfId="0" applyNumberFormat="1" applyFont="1" applyFill="1" applyBorder="1" applyAlignment="1">
      <alignment vertical="center"/>
    </xf>
    <xf numFmtId="3" fontId="10" fillId="9" borderId="4" xfId="0" applyNumberFormat="1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vertical="center"/>
    </xf>
    <xf numFmtId="3" fontId="9" fillId="0" borderId="0" xfId="0" applyNumberFormat="1" applyFont="1" applyAlignment="1">
      <alignment vertical="center"/>
    </xf>
    <xf numFmtId="3" fontId="9" fillId="6" borderId="2" xfId="0" applyNumberFormat="1" applyFont="1" applyFill="1" applyBorder="1" applyAlignment="1">
      <alignment horizontal="center"/>
    </xf>
    <xf numFmtId="3" fontId="9" fillId="6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wrapText="1"/>
    </xf>
    <xf numFmtId="0" fontId="16" fillId="9" borderId="6" xfId="0" applyFont="1" applyFill="1" applyBorder="1" applyAlignment="1">
      <alignment horizontal="left" vertical="center" wrapText="1"/>
    </xf>
    <xf numFmtId="3" fontId="10" fillId="9" borderId="2" xfId="0" applyNumberFormat="1" applyFont="1" applyFill="1" applyBorder="1" applyAlignment="1">
      <alignment horizontal="center"/>
    </xf>
    <xf numFmtId="3" fontId="10" fillId="9" borderId="2" xfId="0" applyNumberFormat="1" applyFont="1" applyFill="1" applyBorder="1" applyAlignment="1">
      <alignment horizontal="center" wrapText="1"/>
    </xf>
    <xf numFmtId="0" fontId="13" fillId="5" borderId="2" xfId="1" applyFont="1" applyFill="1" applyBorder="1" applyAlignment="1">
      <alignment horizontal="left" vertical="center"/>
    </xf>
    <xf numFmtId="0" fontId="13" fillId="5" borderId="2" xfId="1" applyFont="1" applyFill="1" applyBorder="1" applyAlignment="1">
      <alignment vertical="center"/>
    </xf>
    <xf numFmtId="0" fontId="15" fillId="5" borderId="2" xfId="1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right" vertical="center"/>
    </xf>
    <xf numFmtId="3" fontId="16" fillId="5" borderId="2" xfId="0" applyNumberFormat="1" applyFont="1" applyFill="1" applyBorder="1" applyAlignment="1">
      <alignment vertical="center"/>
    </xf>
    <xf numFmtId="3" fontId="16" fillId="9" borderId="2" xfId="0" applyNumberFormat="1" applyFont="1" applyFill="1" applyBorder="1" applyAlignment="1">
      <alignment vertical="center"/>
    </xf>
    <xf numFmtId="0" fontId="1" fillId="9" borderId="0" xfId="1" applyFill="1" applyAlignment="1">
      <alignment vertical="center"/>
    </xf>
    <xf numFmtId="0" fontId="13" fillId="9" borderId="2" xfId="1" applyFont="1" applyFill="1" applyBorder="1" applyAlignment="1">
      <alignment vertical="center"/>
    </xf>
    <xf numFmtId="0" fontId="15" fillId="9" borderId="2" xfId="1" applyFont="1" applyFill="1" applyBorder="1" applyAlignment="1">
      <alignment horizontal="left" vertical="center"/>
    </xf>
    <xf numFmtId="166" fontId="10" fillId="9" borderId="2" xfId="3" applyNumberFormat="1" applyFont="1" applyFill="1" applyBorder="1" applyAlignment="1">
      <alignment vertical="center"/>
    </xf>
    <xf numFmtId="3" fontId="16" fillId="7" borderId="2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3" fontId="9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5" fillId="7" borderId="2" xfId="1" applyFont="1" applyFill="1" applyBorder="1" applyAlignment="1">
      <alignment horizontal="left" vertical="center"/>
    </xf>
    <xf numFmtId="0" fontId="13" fillId="7" borderId="2" xfId="1" applyFont="1" applyFill="1" applyBorder="1" applyAlignment="1">
      <alignment vertical="center"/>
    </xf>
    <xf numFmtId="3" fontId="10" fillId="7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Border="1" applyAlignment="1">
      <alignment vertical="center"/>
    </xf>
    <xf numFmtId="4" fontId="9" fillId="0" borderId="0" xfId="0" applyNumberFormat="1" applyFont="1" applyBorder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/>
    </xf>
    <xf numFmtId="4" fontId="6" fillId="10" borderId="2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left" vertical="center"/>
    </xf>
  </cellXfs>
  <cellStyles count="4">
    <cellStyle name="Comma" xfId="3" builtinId="3"/>
    <cellStyle name="Comma 2" xfId="2"/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P2" sqref="P2"/>
    </sheetView>
  </sheetViews>
  <sheetFormatPr defaultRowHeight="15" x14ac:dyDescent="0.25"/>
  <cols>
    <col min="4" max="4" width="21.140625" bestFit="1" customWidth="1"/>
    <col min="6" max="6" width="9" bestFit="1" customWidth="1"/>
    <col min="7" max="7" width="11.140625" bestFit="1" customWidth="1"/>
    <col min="8" max="8" width="16.140625" bestFit="1" customWidth="1"/>
    <col min="9" max="9" width="9" bestFit="1" customWidth="1"/>
    <col min="10" max="10" width="6.5703125" bestFit="1" customWidth="1"/>
    <col min="11" max="11" width="8.42578125" bestFit="1" customWidth="1"/>
    <col min="15" max="15" width="12.5703125" bestFit="1" customWidth="1"/>
    <col min="17" max="17" width="17.28515625" bestFit="1" customWidth="1"/>
    <col min="18" max="18" width="23.28515625" bestFit="1" customWidth="1"/>
  </cols>
  <sheetData>
    <row r="1" spans="1:19" ht="42.7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7" t="s">
        <v>17</v>
      </c>
      <c r="S1" s="10"/>
    </row>
    <row r="2" spans="1:19" x14ac:dyDescent="0.25">
      <c r="B2" s="18">
        <v>40975</v>
      </c>
      <c r="C2" s="19" t="s">
        <v>18</v>
      </c>
      <c r="D2" s="20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2">
        <v>4050</v>
      </c>
      <c r="J2" s="13" t="s">
        <v>511</v>
      </c>
      <c r="K2" s="14" t="s">
        <v>512</v>
      </c>
      <c r="L2" s="14">
        <v>50000</v>
      </c>
      <c r="M2" s="11">
        <v>27482</v>
      </c>
      <c r="N2" s="11" t="s">
        <v>514</v>
      </c>
      <c r="O2" s="11" t="s">
        <v>517</v>
      </c>
      <c r="P2" s="15">
        <v>40975</v>
      </c>
      <c r="Q2" s="16"/>
      <c r="R2" s="17" t="s">
        <v>24</v>
      </c>
      <c r="S2" s="17"/>
    </row>
    <row r="3" spans="1:19" x14ac:dyDescent="0.25">
      <c r="B3" s="18">
        <v>40975</v>
      </c>
      <c r="C3" s="19" t="s">
        <v>25</v>
      </c>
      <c r="D3" s="20" t="s">
        <v>26</v>
      </c>
      <c r="E3" s="11" t="s">
        <v>20</v>
      </c>
      <c r="F3" s="11" t="s">
        <v>27</v>
      </c>
      <c r="G3" s="11" t="s">
        <v>22</v>
      </c>
      <c r="H3" s="11" t="s">
        <v>23</v>
      </c>
      <c r="I3" s="12">
        <v>3250</v>
      </c>
      <c r="J3" s="13"/>
      <c r="K3" s="14" t="s">
        <v>513</v>
      </c>
      <c r="L3" s="14">
        <v>25000</v>
      </c>
      <c r="M3" s="11">
        <v>85421</v>
      </c>
      <c r="N3" s="11" t="s">
        <v>48</v>
      </c>
      <c r="O3" s="11" t="s">
        <v>516</v>
      </c>
      <c r="P3" s="15"/>
      <c r="Q3" s="16"/>
      <c r="R3" s="17" t="s">
        <v>24</v>
      </c>
      <c r="S3" s="17"/>
    </row>
    <row r="4" spans="1:19" x14ac:dyDescent="0.25">
      <c r="B4" s="18">
        <v>40975</v>
      </c>
      <c r="C4" s="19" t="s">
        <v>146</v>
      </c>
      <c r="D4" s="20" t="s">
        <v>147</v>
      </c>
      <c r="E4" s="11" t="s">
        <v>20</v>
      </c>
      <c r="F4" s="11" t="s">
        <v>27</v>
      </c>
      <c r="G4" s="11" t="s">
        <v>22</v>
      </c>
      <c r="H4" s="11" t="s">
        <v>148</v>
      </c>
      <c r="I4" s="12">
        <v>3650</v>
      </c>
      <c r="J4" s="13"/>
      <c r="K4" s="14" t="s">
        <v>274</v>
      </c>
      <c r="L4" s="14">
        <v>55000</v>
      </c>
      <c r="M4" s="11">
        <v>34126</v>
      </c>
      <c r="N4" s="11" t="s">
        <v>515</v>
      </c>
      <c r="O4" s="11" t="s">
        <v>518</v>
      </c>
      <c r="P4" s="15"/>
      <c r="Q4" s="16"/>
      <c r="R4" s="17" t="s">
        <v>149</v>
      </c>
      <c r="S4" s="17"/>
    </row>
    <row r="5" spans="1:19" x14ac:dyDescent="0.25">
      <c r="B5" s="18">
        <v>40975</v>
      </c>
      <c r="C5" s="19" t="s">
        <v>150</v>
      </c>
      <c r="D5" s="20" t="s">
        <v>151</v>
      </c>
      <c r="E5" s="11" t="s">
        <v>20</v>
      </c>
      <c r="F5" s="11" t="s">
        <v>27</v>
      </c>
      <c r="G5" s="11" t="s">
        <v>22</v>
      </c>
      <c r="H5" s="11" t="s">
        <v>23</v>
      </c>
      <c r="I5" s="12">
        <v>3250</v>
      </c>
      <c r="J5" s="13"/>
      <c r="K5" s="14"/>
      <c r="L5" s="14"/>
      <c r="M5" s="11"/>
      <c r="N5" s="11"/>
      <c r="O5" s="11"/>
      <c r="P5" s="15"/>
      <c r="Q5" s="16"/>
      <c r="R5" s="17" t="s">
        <v>24</v>
      </c>
      <c r="S5" s="17"/>
    </row>
    <row r="6" spans="1:19" x14ac:dyDescent="0.25">
      <c r="B6" s="18">
        <v>40975</v>
      </c>
      <c r="C6" s="19" t="s">
        <v>152</v>
      </c>
      <c r="D6" s="20" t="s">
        <v>153</v>
      </c>
      <c r="E6" s="11" t="s">
        <v>20</v>
      </c>
      <c r="F6" s="11" t="s">
        <v>27</v>
      </c>
      <c r="G6" s="11" t="s">
        <v>22</v>
      </c>
      <c r="H6" s="11" t="s">
        <v>23</v>
      </c>
      <c r="I6" s="12">
        <v>3250</v>
      </c>
      <c r="J6" s="13"/>
      <c r="K6" s="14"/>
      <c r="L6" s="14"/>
      <c r="M6" s="11"/>
      <c r="N6" s="11"/>
      <c r="O6" s="11"/>
      <c r="P6" s="15"/>
      <c r="Q6" s="16"/>
      <c r="R6" s="17" t="s">
        <v>24</v>
      </c>
      <c r="S6" s="17"/>
    </row>
    <row r="7" spans="1:19" x14ac:dyDescent="0.25">
      <c r="B7" s="18">
        <v>40975</v>
      </c>
      <c r="C7" s="19" t="s">
        <v>154</v>
      </c>
      <c r="D7" s="20" t="s">
        <v>155</v>
      </c>
      <c r="E7" s="11" t="s">
        <v>20</v>
      </c>
      <c r="F7" s="11" t="s">
        <v>27</v>
      </c>
      <c r="G7" s="11" t="s">
        <v>22</v>
      </c>
      <c r="H7" s="11" t="s">
        <v>23</v>
      </c>
      <c r="I7" s="12">
        <v>3250</v>
      </c>
      <c r="J7" s="13"/>
      <c r="K7" s="14"/>
      <c r="L7" s="14"/>
      <c r="M7" s="11"/>
      <c r="N7" s="11"/>
      <c r="O7" s="11"/>
      <c r="P7" s="15"/>
      <c r="Q7" s="16"/>
      <c r="R7" s="17" t="s">
        <v>24</v>
      </c>
      <c r="S7" s="17"/>
    </row>
    <row r="8" spans="1:19" x14ac:dyDescent="0.25">
      <c r="B8" s="18">
        <v>40975</v>
      </c>
      <c r="C8" s="19" t="s">
        <v>156</v>
      </c>
      <c r="D8" s="20" t="s">
        <v>157</v>
      </c>
      <c r="E8" s="11" t="s">
        <v>20</v>
      </c>
      <c r="F8" s="11" t="s">
        <v>27</v>
      </c>
      <c r="G8" s="11" t="s">
        <v>22</v>
      </c>
      <c r="H8" s="11" t="s">
        <v>23</v>
      </c>
      <c r="I8" s="12">
        <v>3250</v>
      </c>
      <c r="J8" s="13"/>
      <c r="K8" s="14"/>
      <c r="L8" s="14"/>
      <c r="M8" s="11"/>
      <c r="N8" s="11"/>
      <c r="O8" s="11"/>
      <c r="P8" s="15"/>
      <c r="Q8" s="16"/>
      <c r="R8" s="17" t="s">
        <v>24</v>
      </c>
      <c r="S8" s="17"/>
    </row>
    <row r="9" spans="1:19" x14ac:dyDescent="0.25">
      <c r="B9" s="18">
        <v>40975</v>
      </c>
      <c r="C9" s="19" t="s">
        <v>158</v>
      </c>
      <c r="D9" s="20" t="s">
        <v>159</v>
      </c>
      <c r="E9" s="11" t="s">
        <v>20</v>
      </c>
      <c r="F9" s="11" t="s">
        <v>27</v>
      </c>
      <c r="G9" s="11" t="s">
        <v>160</v>
      </c>
      <c r="H9" s="11" t="s">
        <v>23</v>
      </c>
      <c r="I9" s="12">
        <v>3250</v>
      </c>
      <c r="J9" s="13"/>
      <c r="K9" s="14"/>
      <c r="L9" s="14"/>
      <c r="M9" s="11"/>
      <c r="N9" s="11"/>
      <c r="O9" s="11"/>
      <c r="P9" s="15"/>
      <c r="Q9" s="16"/>
      <c r="R9" s="17" t="s">
        <v>24</v>
      </c>
      <c r="S9" s="17"/>
    </row>
    <row r="10" spans="1:19" x14ac:dyDescent="0.25">
      <c r="B10" s="18">
        <v>40975</v>
      </c>
      <c r="C10" s="19" t="s">
        <v>161</v>
      </c>
      <c r="D10" s="20" t="s">
        <v>162</v>
      </c>
      <c r="E10" s="11" t="s">
        <v>20</v>
      </c>
      <c r="F10" s="11" t="s">
        <v>27</v>
      </c>
      <c r="G10" s="11" t="s">
        <v>160</v>
      </c>
      <c r="H10" s="11" t="s">
        <v>23</v>
      </c>
      <c r="I10" s="12">
        <v>3250</v>
      </c>
      <c r="J10" s="13"/>
      <c r="K10" s="14"/>
      <c r="L10" s="14"/>
      <c r="M10" s="11"/>
      <c r="N10" s="11"/>
      <c r="O10" s="11"/>
      <c r="P10" s="15"/>
      <c r="Q10" s="16"/>
      <c r="R10" s="17" t="s">
        <v>24</v>
      </c>
    </row>
    <row r="11" spans="1:19" x14ac:dyDescent="0.25">
      <c r="B11" s="18">
        <v>40975</v>
      </c>
      <c r="C11" s="19" t="s">
        <v>163</v>
      </c>
      <c r="D11" s="20" t="s">
        <v>164</v>
      </c>
      <c r="E11" s="11" t="s">
        <v>20</v>
      </c>
      <c r="F11" s="11" t="s">
        <v>27</v>
      </c>
      <c r="G11" s="11" t="s">
        <v>160</v>
      </c>
      <c r="H11" s="11" t="s">
        <v>23</v>
      </c>
      <c r="I11" s="12">
        <v>3250</v>
      </c>
      <c r="J11" s="13"/>
      <c r="K11" s="14"/>
      <c r="L11" s="14"/>
      <c r="M11" s="11"/>
      <c r="N11" s="11"/>
      <c r="O11" s="11"/>
      <c r="P11" s="15"/>
      <c r="Q11" s="16"/>
      <c r="R11" s="17" t="s">
        <v>24</v>
      </c>
    </row>
    <row r="12" spans="1:19" x14ac:dyDescent="0.25">
      <c r="B12" s="18">
        <v>40975</v>
      </c>
      <c r="C12" s="19" t="s">
        <v>165</v>
      </c>
      <c r="D12" s="20" t="s">
        <v>166</v>
      </c>
      <c r="E12" s="11" t="s">
        <v>20</v>
      </c>
      <c r="F12" s="11" t="s">
        <v>27</v>
      </c>
      <c r="G12" s="11" t="s">
        <v>167</v>
      </c>
      <c r="H12" s="11" t="s">
        <v>168</v>
      </c>
      <c r="I12" s="12">
        <v>2950</v>
      </c>
      <c r="J12" s="13"/>
      <c r="K12" s="14"/>
      <c r="L12" s="14"/>
      <c r="M12" s="11"/>
      <c r="N12" s="11"/>
      <c r="O12" s="11"/>
      <c r="P12" s="15"/>
      <c r="Q12" s="16"/>
      <c r="R12" s="17" t="s">
        <v>169</v>
      </c>
    </row>
    <row r="13" spans="1:19" x14ac:dyDescent="0.25">
      <c r="B13" s="18">
        <v>41006</v>
      </c>
      <c r="C13" s="44" t="s">
        <v>170</v>
      </c>
      <c r="D13" s="20" t="s">
        <v>171</v>
      </c>
      <c r="E13" s="11" t="s">
        <v>20</v>
      </c>
      <c r="F13" s="11" t="s">
        <v>27</v>
      </c>
      <c r="G13" s="11" t="s">
        <v>22</v>
      </c>
      <c r="H13" s="11" t="s">
        <v>23</v>
      </c>
      <c r="I13" s="12">
        <v>3250</v>
      </c>
      <c r="J13" s="13"/>
      <c r="K13" s="14"/>
      <c r="L13" s="14"/>
      <c r="M13" s="11"/>
      <c r="N13" s="11"/>
      <c r="O13" s="11"/>
      <c r="P13" s="15"/>
      <c r="Q13" s="16"/>
      <c r="R13" s="17" t="s">
        <v>24</v>
      </c>
    </row>
    <row r="14" spans="1:19" x14ac:dyDescent="0.25">
      <c r="B14" s="18">
        <v>41006</v>
      </c>
      <c r="C14" s="44" t="s">
        <v>172</v>
      </c>
      <c r="D14" s="20" t="s">
        <v>173</v>
      </c>
      <c r="E14" s="11" t="s">
        <v>20</v>
      </c>
      <c r="F14" s="11" t="s">
        <v>27</v>
      </c>
      <c r="G14" s="11" t="s">
        <v>22</v>
      </c>
      <c r="H14" s="11" t="s">
        <v>23</v>
      </c>
      <c r="I14" s="12">
        <v>3250</v>
      </c>
      <c r="J14" s="13"/>
      <c r="K14" s="14"/>
      <c r="L14" s="14"/>
      <c r="M14" s="11"/>
      <c r="N14" s="11"/>
      <c r="O14" s="11"/>
      <c r="P14" s="15"/>
      <c r="Q14" s="16"/>
      <c r="R14" s="17" t="s">
        <v>24</v>
      </c>
    </row>
    <row r="15" spans="1:19" x14ac:dyDescent="0.25">
      <c r="B15" s="18">
        <v>41006</v>
      </c>
      <c r="C15" s="44" t="s">
        <v>174</v>
      </c>
      <c r="D15" s="20" t="s">
        <v>175</v>
      </c>
      <c r="E15" s="11" t="s">
        <v>20</v>
      </c>
      <c r="F15" s="11" t="s">
        <v>27</v>
      </c>
      <c r="G15" s="11" t="s">
        <v>22</v>
      </c>
      <c r="H15" s="11" t="s">
        <v>23</v>
      </c>
      <c r="I15" s="12">
        <v>3250</v>
      </c>
      <c r="J15" s="13"/>
      <c r="K15" s="14"/>
      <c r="L15" s="14"/>
      <c r="M15" s="11"/>
      <c r="N15" s="11"/>
      <c r="O15" s="11"/>
      <c r="P15" s="15"/>
      <c r="Q15" s="16"/>
      <c r="R15" s="17" t="s">
        <v>24</v>
      </c>
    </row>
    <row r="16" spans="1:19" x14ac:dyDescent="0.25">
      <c r="B16" s="18">
        <v>41006</v>
      </c>
      <c r="C16" s="44" t="s">
        <v>176</v>
      </c>
      <c r="D16" s="20" t="s">
        <v>177</v>
      </c>
      <c r="E16" s="11" t="s">
        <v>20</v>
      </c>
      <c r="F16" s="11" t="s">
        <v>27</v>
      </c>
      <c r="G16" s="11" t="s">
        <v>167</v>
      </c>
      <c r="H16" s="11" t="s">
        <v>168</v>
      </c>
      <c r="I16" s="12">
        <v>2950</v>
      </c>
      <c r="J16" s="13"/>
      <c r="K16" s="14"/>
      <c r="L16" s="14"/>
      <c r="M16" s="11"/>
      <c r="N16" s="11"/>
      <c r="O16" s="11"/>
      <c r="P16" s="15"/>
      <c r="Q16" s="16"/>
      <c r="R16" s="17" t="s">
        <v>169</v>
      </c>
    </row>
    <row r="17" spans="2:18" x14ac:dyDescent="0.25">
      <c r="B17" s="18">
        <v>41006</v>
      </c>
      <c r="C17" s="44" t="s">
        <v>178</v>
      </c>
      <c r="D17" s="20" t="s">
        <v>179</v>
      </c>
      <c r="E17" s="11" t="s">
        <v>20</v>
      </c>
      <c r="F17" s="11" t="s">
        <v>27</v>
      </c>
      <c r="G17" s="11" t="s">
        <v>167</v>
      </c>
      <c r="H17" s="11" t="s">
        <v>180</v>
      </c>
      <c r="I17" s="12">
        <v>3350</v>
      </c>
      <c r="J17" s="13"/>
      <c r="K17" s="14"/>
      <c r="L17" s="14"/>
      <c r="M17" s="11"/>
      <c r="N17" s="11"/>
      <c r="O17" s="11"/>
      <c r="P17" s="15"/>
      <c r="Q17" s="16"/>
      <c r="R17" s="17" t="s">
        <v>181</v>
      </c>
    </row>
    <row r="18" spans="2:18" x14ac:dyDescent="0.25">
      <c r="B18" s="18">
        <v>41006</v>
      </c>
      <c r="C18" s="44" t="s">
        <v>182</v>
      </c>
      <c r="D18" s="20" t="s">
        <v>183</v>
      </c>
      <c r="E18" s="11" t="s">
        <v>20</v>
      </c>
      <c r="F18" s="11" t="s">
        <v>27</v>
      </c>
      <c r="G18" s="11" t="s">
        <v>22</v>
      </c>
      <c r="H18" s="11" t="s">
        <v>184</v>
      </c>
      <c r="I18" s="12">
        <v>4450</v>
      </c>
      <c r="J18" s="13"/>
      <c r="K18" s="14"/>
      <c r="L18" s="14"/>
      <c r="M18" s="11"/>
      <c r="N18" s="11"/>
      <c r="O18" s="11"/>
      <c r="P18" s="15"/>
      <c r="Q18" s="16"/>
      <c r="R18" s="17" t="s">
        <v>185</v>
      </c>
    </row>
    <row r="19" spans="2:18" x14ac:dyDescent="0.25">
      <c r="B19" s="18">
        <v>41006</v>
      </c>
      <c r="C19" s="44" t="s">
        <v>186</v>
      </c>
      <c r="D19" s="20" t="s">
        <v>187</v>
      </c>
      <c r="E19" s="11" t="s">
        <v>20</v>
      </c>
      <c r="F19" s="11" t="s">
        <v>27</v>
      </c>
      <c r="G19" s="11" t="s">
        <v>22</v>
      </c>
      <c r="H19" s="11" t="s">
        <v>188</v>
      </c>
      <c r="I19" s="12">
        <v>10000</v>
      </c>
      <c r="J19" s="13"/>
      <c r="K19" s="14"/>
      <c r="L19" s="14"/>
      <c r="M19" s="11"/>
      <c r="N19" s="11"/>
      <c r="O19" s="11"/>
      <c r="P19" s="15"/>
      <c r="Q19" s="16"/>
      <c r="R19" s="17" t="s">
        <v>189</v>
      </c>
    </row>
    <row r="20" spans="2:18" x14ac:dyDescent="0.25">
      <c r="B20" s="18">
        <v>41006</v>
      </c>
      <c r="C20" s="44" t="s">
        <v>190</v>
      </c>
      <c r="D20" s="20" t="s">
        <v>187</v>
      </c>
      <c r="E20" s="11" t="s">
        <v>20</v>
      </c>
      <c r="F20" s="11" t="s">
        <v>27</v>
      </c>
      <c r="G20" s="11" t="s">
        <v>22</v>
      </c>
      <c r="H20" s="11" t="s">
        <v>23</v>
      </c>
      <c r="I20" s="12">
        <v>3250</v>
      </c>
      <c r="J20" s="13"/>
      <c r="K20" s="14"/>
      <c r="L20" s="14"/>
      <c r="M20" s="11"/>
      <c r="N20" s="11"/>
      <c r="O20" s="11"/>
      <c r="P20" s="15"/>
      <c r="Q20" s="16"/>
      <c r="R20" s="17" t="s">
        <v>24</v>
      </c>
    </row>
    <row r="21" spans="2:18" x14ac:dyDescent="0.25">
      <c r="B21" s="18">
        <v>41006</v>
      </c>
      <c r="C21" s="44" t="s">
        <v>191</v>
      </c>
      <c r="D21" s="20" t="s">
        <v>192</v>
      </c>
      <c r="E21" s="11" t="s">
        <v>20</v>
      </c>
      <c r="F21" s="11" t="s">
        <v>27</v>
      </c>
      <c r="G21" s="11" t="s">
        <v>22</v>
      </c>
      <c r="H21" s="11" t="s">
        <v>23</v>
      </c>
      <c r="I21" s="12">
        <v>3250</v>
      </c>
      <c r="J21" s="13"/>
      <c r="K21" s="14"/>
      <c r="L21" s="14"/>
      <c r="M21" s="11"/>
      <c r="N21" s="11"/>
      <c r="O21" s="11"/>
      <c r="P21" s="15"/>
      <c r="Q21" s="16"/>
      <c r="R21" s="17" t="s">
        <v>24</v>
      </c>
    </row>
    <row r="22" spans="2:18" x14ac:dyDescent="0.25">
      <c r="B22" s="18">
        <v>41006</v>
      </c>
      <c r="C22" s="44" t="s">
        <v>193</v>
      </c>
      <c r="D22" s="20" t="s">
        <v>194</v>
      </c>
      <c r="E22" s="11" t="s">
        <v>20</v>
      </c>
      <c r="F22" s="11" t="s">
        <v>27</v>
      </c>
      <c r="G22" s="11" t="s">
        <v>22</v>
      </c>
      <c r="H22" s="11"/>
      <c r="I22" s="12">
        <v>4050</v>
      </c>
      <c r="J22" s="13"/>
      <c r="K22" s="14"/>
      <c r="L22" s="14"/>
      <c r="M22" s="11"/>
      <c r="N22" s="11"/>
      <c r="O22" s="11"/>
      <c r="P22" s="15"/>
      <c r="Q22" s="16"/>
      <c r="R22" s="17" t="s">
        <v>195</v>
      </c>
    </row>
    <row r="23" spans="2:18" x14ac:dyDescent="0.25">
      <c r="B23" s="18">
        <v>41006</v>
      </c>
      <c r="C23" s="44" t="s">
        <v>196</v>
      </c>
      <c r="D23" s="20" t="s">
        <v>197</v>
      </c>
      <c r="E23" s="11" t="s">
        <v>20</v>
      </c>
      <c r="F23" s="11" t="s">
        <v>27</v>
      </c>
      <c r="G23" s="11" t="s">
        <v>22</v>
      </c>
      <c r="H23" s="11">
        <v>2</v>
      </c>
      <c r="I23" s="12">
        <v>17000</v>
      </c>
      <c r="J23" s="13"/>
      <c r="K23" s="14"/>
      <c r="L23" s="14"/>
      <c r="M23" s="11"/>
      <c r="N23" s="11"/>
      <c r="O23" s="11"/>
      <c r="P23" s="15"/>
      <c r="Q23" s="16"/>
      <c r="R23" s="17" t="s">
        <v>198</v>
      </c>
    </row>
    <row r="24" spans="2:18" x14ac:dyDescent="0.25">
      <c r="B24" s="18">
        <v>41006</v>
      </c>
      <c r="C24" s="44" t="s">
        <v>199</v>
      </c>
      <c r="D24" s="20" t="s">
        <v>197</v>
      </c>
      <c r="E24" s="11" t="s">
        <v>20</v>
      </c>
      <c r="F24" s="11" t="s">
        <v>27</v>
      </c>
      <c r="G24" s="11" t="s">
        <v>22</v>
      </c>
      <c r="H24" s="11" t="s">
        <v>23</v>
      </c>
      <c r="I24" s="12">
        <v>3250</v>
      </c>
      <c r="J24" s="13"/>
      <c r="K24" s="14"/>
      <c r="L24" s="14"/>
      <c r="M24" s="11"/>
      <c r="N24" s="11"/>
      <c r="O24" s="11"/>
      <c r="P24" s="15"/>
      <c r="Q24" s="16"/>
      <c r="R24" s="17" t="s">
        <v>24</v>
      </c>
    </row>
    <row r="25" spans="2:18" x14ac:dyDescent="0.25">
      <c r="B25" s="18">
        <v>41006</v>
      </c>
      <c r="C25" s="44" t="s">
        <v>200</v>
      </c>
      <c r="D25" s="20" t="s">
        <v>201</v>
      </c>
      <c r="E25" s="11" t="s">
        <v>20</v>
      </c>
      <c r="F25" s="11" t="s">
        <v>27</v>
      </c>
      <c r="G25" s="11" t="s">
        <v>167</v>
      </c>
      <c r="H25" s="11" t="s">
        <v>168</v>
      </c>
      <c r="I25" s="12">
        <v>2950</v>
      </c>
      <c r="J25" s="13"/>
      <c r="K25" s="14"/>
      <c r="L25" s="14"/>
      <c r="M25" s="11"/>
      <c r="N25" s="11"/>
      <c r="O25" s="11"/>
      <c r="P25" s="15"/>
      <c r="Q25" s="16"/>
      <c r="R25" s="17" t="s">
        <v>169</v>
      </c>
    </row>
    <row r="26" spans="2:18" x14ac:dyDescent="0.25">
      <c r="B26" s="18">
        <v>41006</v>
      </c>
      <c r="C26" s="44" t="s">
        <v>202</v>
      </c>
      <c r="D26" s="20" t="s">
        <v>203</v>
      </c>
      <c r="E26" s="11" t="s">
        <v>20</v>
      </c>
      <c r="F26" s="11" t="s">
        <v>27</v>
      </c>
      <c r="G26" s="11" t="s">
        <v>167</v>
      </c>
      <c r="H26" s="11" t="s">
        <v>168</v>
      </c>
      <c r="I26" s="12">
        <v>2950</v>
      </c>
      <c r="J26" s="13"/>
      <c r="K26" s="14"/>
      <c r="L26" s="14"/>
      <c r="M26" s="11"/>
      <c r="N26" s="11"/>
      <c r="O26" s="11"/>
      <c r="P26" s="15"/>
      <c r="Q26" s="16"/>
      <c r="R26" s="17" t="s">
        <v>169</v>
      </c>
    </row>
    <row r="27" spans="2:18" x14ac:dyDescent="0.25">
      <c r="B27" s="18">
        <v>41006</v>
      </c>
      <c r="C27" s="44" t="s">
        <v>204</v>
      </c>
      <c r="D27" s="20" t="s">
        <v>205</v>
      </c>
      <c r="E27" s="11" t="s">
        <v>20</v>
      </c>
      <c r="F27" s="11" t="s">
        <v>27</v>
      </c>
      <c r="G27" s="11" t="s">
        <v>167</v>
      </c>
      <c r="H27" s="11" t="s">
        <v>168</v>
      </c>
      <c r="I27" s="12">
        <v>2950</v>
      </c>
      <c r="J27" s="13"/>
      <c r="K27" s="14"/>
      <c r="L27" s="14"/>
      <c r="M27" s="11"/>
      <c r="N27" s="11"/>
      <c r="O27" s="11"/>
      <c r="P27" s="15"/>
      <c r="Q27" s="16"/>
      <c r="R27" s="17" t="s">
        <v>169</v>
      </c>
    </row>
    <row r="28" spans="2:18" x14ac:dyDescent="0.25">
      <c r="B28" s="18">
        <v>41006</v>
      </c>
      <c r="C28" s="44" t="s">
        <v>206</v>
      </c>
      <c r="D28" s="20" t="s">
        <v>207</v>
      </c>
      <c r="E28" s="11" t="s">
        <v>20</v>
      </c>
      <c r="F28" s="11" t="s">
        <v>27</v>
      </c>
      <c r="G28" s="11" t="s">
        <v>167</v>
      </c>
      <c r="H28" s="11" t="s">
        <v>168</v>
      </c>
      <c r="I28" s="12">
        <v>2950</v>
      </c>
      <c r="J28" s="13"/>
      <c r="K28" s="14"/>
      <c r="L28" s="14"/>
      <c r="M28" s="11"/>
      <c r="N28" s="11"/>
      <c r="O28" s="11"/>
      <c r="P28" s="15"/>
      <c r="Q28" s="16"/>
      <c r="R28" s="17" t="s">
        <v>169</v>
      </c>
    </row>
    <row r="29" spans="2:18" x14ac:dyDescent="0.25">
      <c r="B29" s="18">
        <v>41006</v>
      </c>
      <c r="C29" s="44" t="s">
        <v>208</v>
      </c>
      <c r="D29" s="20" t="s">
        <v>209</v>
      </c>
      <c r="E29" s="11" t="s">
        <v>20</v>
      </c>
      <c r="F29" s="11" t="s">
        <v>27</v>
      </c>
      <c r="G29" s="11" t="s">
        <v>210</v>
      </c>
      <c r="H29" s="11" t="s">
        <v>211</v>
      </c>
      <c r="I29" s="12">
        <v>20000</v>
      </c>
      <c r="J29" s="13"/>
      <c r="K29" s="14"/>
      <c r="L29" s="14"/>
      <c r="M29" s="11"/>
      <c r="N29" s="11"/>
      <c r="O29" s="11"/>
      <c r="P29" s="15"/>
      <c r="Q29" s="16"/>
      <c r="R29" s="17" t="s">
        <v>212</v>
      </c>
    </row>
    <row r="30" spans="2:18" x14ac:dyDescent="0.25">
      <c r="B30" s="18">
        <v>41006</v>
      </c>
      <c r="C30" s="44" t="s">
        <v>213</v>
      </c>
      <c r="D30" s="20" t="s">
        <v>214</v>
      </c>
      <c r="E30" s="11" t="s">
        <v>20</v>
      </c>
      <c r="F30" s="11" t="s">
        <v>27</v>
      </c>
      <c r="G30" s="11" t="s">
        <v>22</v>
      </c>
      <c r="H30" s="11">
        <v>2</v>
      </c>
      <c r="I30" s="12"/>
      <c r="J30" s="13"/>
      <c r="K30" s="14"/>
      <c r="L30" s="14">
        <v>25000</v>
      </c>
      <c r="M30" s="11" t="s">
        <v>215</v>
      </c>
      <c r="N30" s="11" t="s">
        <v>216</v>
      </c>
      <c r="O30" s="11" t="s">
        <v>48</v>
      </c>
      <c r="P30" s="15" t="s">
        <v>217</v>
      </c>
      <c r="Q30" s="16"/>
      <c r="R30" s="17" t="s">
        <v>198</v>
      </c>
    </row>
    <row r="31" spans="2:18" x14ac:dyDescent="0.25">
      <c r="B31" s="18">
        <v>41006</v>
      </c>
      <c r="C31" s="44" t="s">
        <v>218</v>
      </c>
      <c r="D31" s="20" t="s">
        <v>214</v>
      </c>
      <c r="E31" s="11" t="s">
        <v>20</v>
      </c>
      <c r="F31" s="11" t="s">
        <v>27</v>
      </c>
      <c r="G31" s="11" t="s">
        <v>22</v>
      </c>
      <c r="H31" s="11" t="s">
        <v>23</v>
      </c>
      <c r="I31" s="12">
        <v>3250</v>
      </c>
      <c r="J31" s="13"/>
      <c r="K31" s="14"/>
      <c r="L31" s="14"/>
      <c r="M31" s="11"/>
      <c r="N31" s="11"/>
      <c r="O31" s="11"/>
      <c r="P31" s="15"/>
      <c r="Q31" s="16"/>
      <c r="R31" s="17" t="s">
        <v>24</v>
      </c>
    </row>
    <row r="32" spans="2:18" x14ac:dyDescent="0.25">
      <c r="B32" s="18">
        <v>41006</v>
      </c>
      <c r="C32" s="44" t="s">
        <v>219</v>
      </c>
      <c r="D32" s="20" t="s">
        <v>220</v>
      </c>
      <c r="E32" s="11" t="s">
        <v>20</v>
      </c>
      <c r="F32" s="11" t="s">
        <v>27</v>
      </c>
      <c r="G32" s="11" t="s">
        <v>221</v>
      </c>
      <c r="H32" s="11">
        <v>4</v>
      </c>
      <c r="I32" s="12"/>
      <c r="J32" s="13"/>
      <c r="K32" s="14"/>
      <c r="L32" s="14">
        <v>10000</v>
      </c>
      <c r="M32" s="11" t="s">
        <v>222</v>
      </c>
      <c r="N32" s="11" t="s">
        <v>223</v>
      </c>
      <c r="O32" s="11" t="s">
        <v>48</v>
      </c>
      <c r="P32" s="15">
        <v>41036</v>
      </c>
      <c r="Q32" s="16"/>
      <c r="R32" s="17" t="s">
        <v>224</v>
      </c>
    </row>
    <row r="33" spans="2:18" x14ac:dyDescent="0.25">
      <c r="B33" s="18">
        <v>41006</v>
      </c>
      <c r="C33" s="44" t="s">
        <v>225</v>
      </c>
      <c r="D33" s="20" t="s">
        <v>220</v>
      </c>
      <c r="E33" s="11" t="s">
        <v>20</v>
      </c>
      <c r="F33" s="11" t="s">
        <v>27</v>
      </c>
      <c r="G33" s="11" t="s">
        <v>221</v>
      </c>
      <c r="H33" s="11" t="s">
        <v>168</v>
      </c>
      <c r="I33" s="12">
        <v>2950</v>
      </c>
      <c r="J33" s="13"/>
      <c r="K33" s="14"/>
      <c r="L33" s="14"/>
      <c r="M33" s="11"/>
      <c r="N33" s="11"/>
      <c r="O33" s="11"/>
      <c r="P33" s="15"/>
      <c r="Q33" s="16"/>
      <c r="R33" s="17" t="s">
        <v>169</v>
      </c>
    </row>
    <row r="34" spans="2:18" x14ac:dyDescent="0.25">
      <c r="B34" s="18">
        <v>41006</v>
      </c>
      <c r="C34" s="44" t="s">
        <v>226</v>
      </c>
      <c r="D34" s="20" t="s">
        <v>227</v>
      </c>
      <c r="E34" s="11" t="s">
        <v>20</v>
      </c>
      <c r="F34" s="11" t="s">
        <v>27</v>
      </c>
      <c r="G34" s="11" t="s">
        <v>167</v>
      </c>
      <c r="H34" s="11" t="s">
        <v>168</v>
      </c>
      <c r="I34" s="12">
        <v>2950</v>
      </c>
      <c r="J34" s="13"/>
      <c r="K34" s="14"/>
      <c r="L34" s="14"/>
      <c r="M34" s="11"/>
      <c r="N34" s="11"/>
      <c r="O34" s="11"/>
      <c r="P34" s="15"/>
      <c r="Q34" s="16"/>
      <c r="R34" s="17" t="s">
        <v>169</v>
      </c>
    </row>
    <row r="35" spans="2:18" x14ac:dyDescent="0.25">
      <c r="B35" s="18">
        <v>41006</v>
      </c>
      <c r="C35" s="44" t="s">
        <v>228</v>
      </c>
      <c r="D35" s="20" t="s">
        <v>229</v>
      </c>
      <c r="E35" s="11" t="s">
        <v>20</v>
      </c>
      <c r="F35" s="11" t="s">
        <v>27</v>
      </c>
      <c r="G35" s="11" t="s">
        <v>22</v>
      </c>
      <c r="H35" s="11" t="s">
        <v>23</v>
      </c>
      <c r="I35" s="12">
        <v>3650</v>
      </c>
      <c r="J35" s="13"/>
      <c r="K35" s="14"/>
      <c r="L35" s="14"/>
      <c r="M35" s="11"/>
      <c r="N35" s="11"/>
      <c r="O35" s="11"/>
      <c r="P35" s="15"/>
      <c r="Q35" s="16"/>
      <c r="R35" s="17" t="s">
        <v>149</v>
      </c>
    </row>
    <row r="36" spans="2:18" x14ac:dyDescent="0.25">
      <c r="B36" s="18">
        <v>41006</v>
      </c>
      <c r="C36" s="44" t="s">
        <v>230</v>
      </c>
      <c r="D36" s="20" t="s">
        <v>231</v>
      </c>
      <c r="E36" s="11" t="s">
        <v>20</v>
      </c>
      <c r="F36" s="11" t="s">
        <v>27</v>
      </c>
      <c r="G36" s="11" t="s">
        <v>22</v>
      </c>
      <c r="H36" s="11">
        <v>2</v>
      </c>
      <c r="I36" s="12">
        <v>15000</v>
      </c>
      <c r="J36" s="13"/>
      <c r="K36" s="14"/>
      <c r="L36" s="14"/>
      <c r="M36" s="11"/>
      <c r="N36" s="11"/>
      <c r="O36" s="11"/>
      <c r="P36" s="15"/>
      <c r="Q36" s="16"/>
      <c r="R36" s="17" t="s">
        <v>198</v>
      </c>
    </row>
    <row r="37" spans="2:18" x14ac:dyDescent="0.25">
      <c r="B37" s="18">
        <v>41006</v>
      </c>
      <c r="C37" s="44" t="s">
        <v>232</v>
      </c>
      <c r="D37" s="20" t="s">
        <v>233</v>
      </c>
      <c r="E37" s="11" t="s">
        <v>20</v>
      </c>
      <c r="F37" s="11" t="s">
        <v>27</v>
      </c>
      <c r="G37" s="11" t="s">
        <v>167</v>
      </c>
      <c r="H37" s="11" t="s">
        <v>168</v>
      </c>
      <c r="I37" s="12">
        <v>3350</v>
      </c>
      <c r="J37" s="13"/>
      <c r="K37" s="14"/>
      <c r="L37" s="14"/>
      <c r="M37" s="11"/>
      <c r="N37" s="11"/>
      <c r="O37" s="11"/>
      <c r="P37" s="15"/>
      <c r="Q37" s="16"/>
      <c r="R37" s="17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E4" sqref="E4"/>
    </sheetView>
  </sheetViews>
  <sheetFormatPr defaultRowHeight="15" x14ac:dyDescent="0.25"/>
  <cols>
    <col min="1" max="1" width="14.5703125" bestFit="1" customWidth="1"/>
    <col min="2" max="2" width="22.28515625" customWidth="1"/>
    <col min="3" max="3" width="74.28515625" bestFit="1" customWidth="1"/>
    <col min="4" max="4" width="21.42578125" customWidth="1"/>
    <col min="5" max="5" width="15.140625" customWidth="1"/>
    <col min="6" max="6" width="14.42578125" customWidth="1"/>
    <col min="7" max="7" width="13.42578125" customWidth="1"/>
    <col min="8" max="8" width="23.7109375" customWidth="1"/>
  </cols>
  <sheetData>
    <row r="1" spans="1:8" ht="37.5" x14ac:dyDescent="0.3">
      <c r="A1" s="21" t="s">
        <v>1</v>
      </c>
      <c r="B1" s="22" t="s">
        <v>28</v>
      </c>
      <c r="C1" s="22" t="s">
        <v>29</v>
      </c>
      <c r="D1" s="23" t="s">
        <v>30</v>
      </c>
      <c r="E1" s="23" t="s">
        <v>31</v>
      </c>
      <c r="F1" s="24" t="s">
        <v>32</v>
      </c>
      <c r="G1" s="23"/>
      <c r="H1" s="25"/>
    </row>
    <row r="2" spans="1:8" ht="18.75" x14ac:dyDescent="0.3">
      <c r="A2" s="30"/>
      <c r="B2" s="31"/>
      <c r="C2" s="32" t="s">
        <v>35</v>
      </c>
      <c r="D2" s="33">
        <v>2000</v>
      </c>
      <c r="E2" s="33" t="s">
        <v>13</v>
      </c>
      <c r="F2" s="33"/>
      <c r="G2" s="33"/>
      <c r="H2" s="37"/>
    </row>
    <row r="3" spans="1:8" ht="18.75" x14ac:dyDescent="0.3">
      <c r="A3" s="30"/>
      <c r="B3" s="31"/>
      <c r="C3" s="32" t="s">
        <v>402</v>
      </c>
      <c r="D3" s="33"/>
      <c r="E3" s="33" t="s">
        <v>8</v>
      </c>
      <c r="F3" s="33"/>
      <c r="G3" s="33"/>
      <c r="H3" s="37"/>
    </row>
    <row r="4" spans="1:8" ht="18.75" x14ac:dyDescent="0.3">
      <c r="A4" s="30"/>
      <c r="B4" s="31"/>
      <c r="C4" s="32" t="s">
        <v>403</v>
      </c>
      <c r="D4" s="33"/>
      <c r="E4" s="33"/>
      <c r="F4" s="33"/>
      <c r="G4" s="33"/>
      <c r="H4" s="37"/>
    </row>
    <row r="5" spans="1:8" ht="18.75" x14ac:dyDescent="0.3">
      <c r="A5" s="30"/>
      <c r="B5" s="31"/>
      <c r="C5" s="32" t="s">
        <v>404</v>
      </c>
      <c r="D5" s="33"/>
      <c r="E5" s="33"/>
      <c r="F5" s="33"/>
      <c r="G5" s="33"/>
      <c r="H5" s="37"/>
    </row>
    <row r="6" spans="1:8" ht="18.75" x14ac:dyDescent="0.3">
      <c r="A6" s="30"/>
      <c r="B6" s="31" t="s">
        <v>405</v>
      </c>
      <c r="C6" s="32" t="s">
        <v>406</v>
      </c>
      <c r="D6" s="33"/>
      <c r="E6" s="33"/>
      <c r="F6" s="33"/>
      <c r="G6" s="33"/>
      <c r="H6" s="37"/>
    </row>
    <row r="7" spans="1:8" ht="18.75" x14ac:dyDescent="0.3">
      <c r="A7" s="30"/>
      <c r="B7" s="31" t="s">
        <v>405</v>
      </c>
      <c r="C7" s="32" t="s">
        <v>407</v>
      </c>
      <c r="D7" s="33"/>
      <c r="E7" s="33"/>
      <c r="F7" s="33"/>
      <c r="G7" s="33"/>
      <c r="H7" s="37"/>
    </row>
    <row r="8" spans="1:8" ht="18.75" x14ac:dyDescent="0.3">
      <c r="A8" s="30"/>
      <c r="B8" s="31" t="s">
        <v>405</v>
      </c>
      <c r="C8" s="32" t="s">
        <v>408</v>
      </c>
      <c r="D8" s="33"/>
      <c r="E8" s="33"/>
      <c r="F8" s="33"/>
      <c r="G8" s="33"/>
      <c r="H8" s="37"/>
    </row>
    <row r="9" spans="1:8" ht="18.75" x14ac:dyDescent="0.3">
      <c r="A9" s="30"/>
      <c r="B9" s="31" t="s">
        <v>405</v>
      </c>
      <c r="C9" s="32" t="s">
        <v>409</v>
      </c>
      <c r="D9" s="33"/>
      <c r="E9" s="33"/>
      <c r="F9" s="33"/>
      <c r="G9" s="33"/>
      <c r="H9" s="37"/>
    </row>
    <row r="10" spans="1:8" ht="18.75" x14ac:dyDescent="0.3">
      <c r="A10" s="30"/>
      <c r="B10" s="31" t="s">
        <v>405</v>
      </c>
      <c r="C10" s="32" t="s">
        <v>410</v>
      </c>
      <c r="D10" s="33"/>
      <c r="E10" s="33"/>
      <c r="F10" s="33"/>
      <c r="G10" s="33"/>
      <c r="H10" s="37"/>
    </row>
    <row r="11" spans="1:8" ht="18.75" x14ac:dyDescent="0.3">
      <c r="A11" s="26"/>
      <c r="B11" s="27"/>
      <c r="C11" s="28" t="s">
        <v>34</v>
      </c>
      <c r="D11" s="29"/>
      <c r="E11" s="29"/>
      <c r="F11" s="29"/>
      <c r="G11" s="29"/>
      <c r="H11" s="29"/>
    </row>
    <row r="12" spans="1:8" ht="18.75" x14ac:dyDescent="0.3">
      <c r="A12" s="30"/>
      <c r="B12" s="31"/>
      <c r="C12" s="32"/>
      <c r="D12" s="33"/>
      <c r="E12" s="33"/>
      <c r="F12" s="33"/>
      <c r="G12" s="33"/>
      <c r="H12" s="34"/>
    </row>
    <row r="13" spans="1:8" ht="18.75" x14ac:dyDescent="0.3">
      <c r="A13" s="26" t="s">
        <v>411</v>
      </c>
      <c r="B13" s="27"/>
      <c r="C13" s="28" t="s">
        <v>33</v>
      </c>
      <c r="D13" s="29"/>
      <c r="E13" s="29"/>
      <c r="F13" s="29"/>
      <c r="G13" s="29"/>
      <c r="H13" s="35"/>
    </row>
    <row r="14" spans="1:8" ht="18.75" x14ac:dyDescent="0.3">
      <c r="A14" s="30"/>
      <c r="B14" s="31"/>
      <c r="C14" s="32" t="s">
        <v>412</v>
      </c>
      <c r="D14" s="33"/>
      <c r="E14" s="33"/>
      <c r="F14" s="33"/>
      <c r="G14" s="33"/>
      <c r="H14" s="37"/>
    </row>
    <row r="15" spans="1:8" ht="18.75" x14ac:dyDescent="0.3">
      <c r="A15" s="30"/>
      <c r="B15" s="31"/>
      <c r="C15" s="32" t="s">
        <v>413</v>
      </c>
      <c r="D15" s="33"/>
      <c r="E15" s="33"/>
      <c r="F15" s="33"/>
      <c r="G15" s="33"/>
      <c r="H15" s="37"/>
    </row>
    <row r="16" spans="1:8" ht="18.75" x14ac:dyDescent="0.3">
      <c r="A16" s="30"/>
      <c r="B16" s="31"/>
      <c r="C16" s="32" t="s">
        <v>414</v>
      </c>
      <c r="D16" s="33"/>
      <c r="E16" s="33"/>
      <c r="F16" s="33"/>
      <c r="G16" s="33"/>
      <c r="H16" s="37"/>
    </row>
    <row r="17" spans="1:8" ht="18.75" x14ac:dyDescent="0.3">
      <c r="A17" s="30"/>
      <c r="B17" s="31"/>
      <c r="C17" s="32" t="s">
        <v>415</v>
      </c>
      <c r="D17" s="33"/>
      <c r="E17" s="33"/>
      <c r="F17" s="33"/>
      <c r="G17" s="33"/>
      <c r="H17" s="37"/>
    </row>
    <row r="18" spans="1:8" ht="18.75" x14ac:dyDescent="0.3">
      <c r="A18" s="30"/>
      <c r="B18" s="31"/>
      <c r="C18" s="32" t="s">
        <v>416</v>
      </c>
      <c r="D18" s="33"/>
      <c r="E18" s="33"/>
      <c r="F18" s="33"/>
      <c r="G18" s="33"/>
      <c r="H18" s="37"/>
    </row>
    <row r="19" spans="1:8" ht="18.75" x14ac:dyDescent="0.3">
      <c r="A19" s="30"/>
      <c r="B19" s="31"/>
      <c r="C19" s="32" t="s">
        <v>412</v>
      </c>
      <c r="D19" s="33"/>
      <c r="E19" s="33"/>
      <c r="F19" s="33"/>
      <c r="G19" s="33"/>
      <c r="H19" s="37"/>
    </row>
    <row r="20" spans="1:8" ht="18.75" x14ac:dyDescent="0.3">
      <c r="A20" s="30"/>
      <c r="B20" s="31"/>
      <c r="C20" s="32" t="s">
        <v>417</v>
      </c>
      <c r="D20" s="33"/>
      <c r="E20" s="33"/>
      <c r="F20" s="33"/>
      <c r="G20" s="33"/>
      <c r="H20" s="37"/>
    </row>
    <row r="21" spans="1:8" ht="18.75" x14ac:dyDescent="0.3">
      <c r="A21" s="30"/>
      <c r="B21" s="31"/>
      <c r="C21" s="32"/>
      <c r="D21" s="33"/>
      <c r="E21" s="33"/>
      <c r="F21" s="33"/>
      <c r="G21" s="33"/>
      <c r="H21" s="37"/>
    </row>
    <row r="22" spans="1:8" ht="18.75" x14ac:dyDescent="0.3">
      <c r="A22" s="30"/>
      <c r="B22" s="31"/>
      <c r="C22" s="32"/>
      <c r="D22" s="33"/>
      <c r="E22" s="33"/>
      <c r="F22" s="33"/>
      <c r="G22" s="33"/>
      <c r="H22" s="37"/>
    </row>
    <row r="23" spans="1:8" ht="18.75" x14ac:dyDescent="0.3">
      <c r="A23" s="30"/>
      <c r="B23" s="31"/>
      <c r="C23" s="32"/>
      <c r="D23" s="33"/>
      <c r="E23" s="33"/>
      <c r="F23" s="33"/>
      <c r="G23" s="33"/>
      <c r="H23" s="37"/>
    </row>
    <row r="24" spans="1:8" ht="18.75" x14ac:dyDescent="0.3">
      <c r="A24" s="26"/>
      <c r="B24" s="27"/>
      <c r="C24" s="28" t="s">
        <v>34</v>
      </c>
      <c r="D24" s="29"/>
      <c r="E24" s="29"/>
      <c r="F24" s="29"/>
      <c r="G24" s="29"/>
      <c r="H24" s="29"/>
    </row>
    <row r="25" spans="1:8" ht="18.75" x14ac:dyDescent="0.3">
      <c r="A25" s="30"/>
      <c r="B25" s="31"/>
      <c r="C25" s="32"/>
      <c r="D25" s="33"/>
      <c r="E25" s="33"/>
      <c r="F25" s="33"/>
      <c r="G25" s="33"/>
      <c r="H25" s="34"/>
    </row>
    <row r="26" spans="1:8" ht="18.75" x14ac:dyDescent="0.3">
      <c r="A26" s="26" t="s">
        <v>418</v>
      </c>
      <c r="B26" s="27"/>
      <c r="C26" s="28" t="s">
        <v>33</v>
      </c>
      <c r="D26" s="29"/>
      <c r="E26" s="29"/>
      <c r="F26" s="29"/>
      <c r="G26" s="29"/>
      <c r="H26" s="35"/>
    </row>
    <row r="27" spans="1:8" ht="18.75" x14ac:dyDescent="0.3">
      <c r="A27" s="30"/>
      <c r="B27" s="31"/>
      <c r="C27" s="32" t="s">
        <v>419</v>
      </c>
      <c r="D27" s="33"/>
      <c r="E27" s="33"/>
      <c r="F27" s="33"/>
      <c r="G27" s="33"/>
      <c r="H27" s="37"/>
    </row>
    <row r="28" spans="1:8" ht="18.75" x14ac:dyDescent="0.3">
      <c r="A28" s="30"/>
      <c r="B28" s="31"/>
      <c r="C28" s="32" t="s">
        <v>420</v>
      </c>
      <c r="D28" s="33"/>
      <c r="E28" s="33"/>
      <c r="F28" s="33"/>
      <c r="G28" s="33"/>
      <c r="H28" s="37"/>
    </row>
    <row r="29" spans="1:8" ht="18.75" x14ac:dyDescent="0.3">
      <c r="A29" s="30"/>
      <c r="B29" s="31"/>
      <c r="C29" s="32" t="s">
        <v>421</v>
      </c>
      <c r="D29" s="33"/>
      <c r="E29" s="33"/>
      <c r="F29" s="33"/>
      <c r="G29" s="33"/>
      <c r="H29" s="37"/>
    </row>
    <row r="30" spans="1:8" ht="18.75" x14ac:dyDescent="0.3">
      <c r="A30" s="30"/>
      <c r="B30" s="31"/>
      <c r="C30" s="32" t="s">
        <v>422</v>
      </c>
      <c r="D30" s="33"/>
      <c r="E30" s="33"/>
      <c r="F30" s="33"/>
      <c r="G30" s="33"/>
      <c r="H30" s="37"/>
    </row>
    <row r="31" spans="1:8" ht="18.75" x14ac:dyDescent="0.3">
      <c r="A31" s="30"/>
      <c r="B31" s="31"/>
      <c r="C31" s="32" t="s">
        <v>423</v>
      </c>
      <c r="D31" s="33"/>
      <c r="E31" s="33"/>
      <c r="F31" s="33"/>
      <c r="G31" s="33"/>
      <c r="H31" s="37"/>
    </row>
    <row r="32" spans="1:8" ht="18.75" x14ac:dyDescent="0.3">
      <c r="A32" s="30"/>
      <c r="B32" s="31"/>
      <c r="C32" s="32" t="s">
        <v>424</v>
      </c>
      <c r="D32" s="33"/>
      <c r="E32" s="33"/>
      <c r="F32" s="33"/>
      <c r="G32" s="33"/>
      <c r="H32" s="37"/>
    </row>
    <row r="33" spans="1:8" ht="18.75" x14ac:dyDescent="0.3">
      <c r="A33" s="30"/>
      <c r="B33" s="31"/>
      <c r="C33" s="32" t="s">
        <v>425</v>
      </c>
      <c r="D33" s="33"/>
      <c r="E33" s="33"/>
      <c r="F33" s="33"/>
      <c r="G33" s="33"/>
      <c r="H33" s="37"/>
    </row>
    <row r="34" spans="1:8" ht="18.75" x14ac:dyDescent="0.3">
      <c r="A34" s="30"/>
      <c r="B34" s="31"/>
      <c r="C34" s="32" t="s">
        <v>426</v>
      </c>
      <c r="D34" s="33"/>
      <c r="E34" s="33"/>
      <c r="F34" s="33"/>
      <c r="G34" s="33"/>
      <c r="H34" s="37"/>
    </row>
    <row r="35" spans="1:8" ht="18.75" x14ac:dyDescent="0.3">
      <c r="A35" s="30"/>
      <c r="B35" s="31"/>
      <c r="C35" s="32" t="s">
        <v>427</v>
      </c>
      <c r="D35" s="33"/>
      <c r="E35" s="33"/>
      <c r="F35" s="33"/>
      <c r="G35" s="33"/>
      <c r="H35" s="37"/>
    </row>
    <row r="36" spans="1:8" ht="18.75" x14ac:dyDescent="0.3">
      <c r="A36" s="30"/>
      <c r="B36" s="31"/>
      <c r="C36" s="32" t="s">
        <v>428</v>
      </c>
      <c r="D36" s="33"/>
      <c r="E36" s="33"/>
      <c r="F36" s="33"/>
      <c r="G36" s="33"/>
      <c r="H36" s="37"/>
    </row>
    <row r="37" spans="1:8" ht="18.75" x14ac:dyDescent="0.3">
      <c r="A37" s="30"/>
      <c r="B37" s="31"/>
      <c r="C37" s="32" t="s">
        <v>429</v>
      </c>
      <c r="D37" s="33"/>
      <c r="E37" s="33"/>
      <c r="F37" s="33"/>
      <c r="G37" s="33"/>
      <c r="H37" s="37"/>
    </row>
    <row r="38" spans="1:8" ht="18.75" x14ac:dyDescent="0.3">
      <c r="A38" s="30"/>
      <c r="B38" s="31"/>
      <c r="C38" s="32" t="s">
        <v>430</v>
      </c>
      <c r="D38" s="33"/>
      <c r="E38" s="33"/>
      <c r="F38" s="33"/>
      <c r="G38" s="33"/>
      <c r="H38" s="37"/>
    </row>
    <row r="39" spans="1:8" ht="18.75" x14ac:dyDescent="0.3">
      <c r="A39" s="30"/>
      <c r="B39" s="31" t="s">
        <v>405</v>
      </c>
      <c r="C39" s="32" t="s">
        <v>431</v>
      </c>
      <c r="D39" s="33"/>
      <c r="E39" s="33"/>
      <c r="F39" s="33"/>
      <c r="G39" s="33"/>
      <c r="H39" s="37"/>
    </row>
    <row r="40" spans="1:8" ht="18.75" x14ac:dyDescent="0.3">
      <c r="A40" s="30"/>
      <c r="B40" s="31" t="s">
        <v>405</v>
      </c>
      <c r="C40" s="32" t="s">
        <v>432</v>
      </c>
      <c r="D40" s="33"/>
      <c r="E40" s="33"/>
      <c r="F40" s="33"/>
      <c r="G40" s="33"/>
      <c r="H40" s="37"/>
    </row>
    <row r="41" spans="1:8" ht="18.75" x14ac:dyDescent="0.3">
      <c r="A41" s="30"/>
      <c r="B41" s="31" t="s">
        <v>405</v>
      </c>
      <c r="C41" s="32" t="s">
        <v>433</v>
      </c>
      <c r="D41" s="33"/>
      <c r="E41" s="33"/>
      <c r="F41" s="33"/>
      <c r="G41" s="33"/>
      <c r="H41" s="37"/>
    </row>
    <row r="42" spans="1:8" ht="18.75" x14ac:dyDescent="0.3">
      <c r="A42" s="30"/>
      <c r="B42" s="31" t="s">
        <v>405</v>
      </c>
      <c r="C42" s="32" t="s">
        <v>434</v>
      </c>
      <c r="D42" s="33"/>
      <c r="E42" s="33"/>
      <c r="F42" s="33"/>
      <c r="G42" s="33"/>
      <c r="H42" s="37"/>
    </row>
    <row r="43" spans="1:8" ht="18.75" x14ac:dyDescent="0.3">
      <c r="A43" s="30"/>
      <c r="B43" s="31" t="s">
        <v>405</v>
      </c>
      <c r="C43" s="32" t="s">
        <v>435</v>
      </c>
      <c r="D43" s="33"/>
      <c r="E43" s="33"/>
      <c r="F43" s="33"/>
      <c r="G43" s="33"/>
      <c r="H43" s="37"/>
    </row>
    <row r="44" spans="1:8" ht="18.75" x14ac:dyDescent="0.3">
      <c r="A44" s="30"/>
      <c r="B44" s="36" t="s">
        <v>436</v>
      </c>
      <c r="C44" s="32" t="s">
        <v>437</v>
      </c>
      <c r="D44" s="33"/>
      <c r="E44" s="33"/>
      <c r="F44" s="33"/>
      <c r="G44" s="33"/>
      <c r="H44" s="37"/>
    </row>
    <row r="45" spans="1:8" ht="18.75" x14ac:dyDescent="0.3">
      <c r="A45" s="30"/>
      <c r="B45" s="31"/>
      <c r="C45" s="32" t="s">
        <v>438</v>
      </c>
      <c r="D45" s="33"/>
      <c r="E45" s="33"/>
      <c r="F45" s="33"/>
      <c r="G45" s="33"/>
      <c r="H45" s="37"/>
    </row>
    <row r="46" spans="1:8" ht="18.75" x14ac:dyDescent="0.3">
      <c r="A46" s="30"/>
      <c r="B46" s="31" t="s">
        <v>405</v>
      </c>
      <c r="C46" s="32" t="s">
        <v>439</v>
      </c>
      <c r="D46" s="33"/>
      <c r="E46" s="33"/>
      <c r="F46" s="33"/>
      <c r="G46" s="33"/>
      <c r="H46" s="37"/>
    </row>
    <row r="47" spans="1:8" ht="18.75" x14ac:dyDescent="0.3">
      <c r="A47" s="30"/>
      <c r="B47" s="36" t="s">
        <v>436</v>
      </c>
      <c r="C47" s="32" t="s">
        <v>440</v>
      </c>
      <c r="D47" s="33"/>
      <c r="E47" s="33"/>
      <c r="F47" s="33"/>
      <c r="G47" s="33"/>
      <c r="H47" s="37"/>
    </row>
    <row r="48" spans="1:8" ht="18.75" x14ac:dyDescent="0.3">
      <c r="A48" s="30"/>
      <c r="B48" s="31" t="s">
        <v>405</v>
      </c>
      <c r="C48" s="32" t="s">
        <v>441</v>
      </c>
      <c r="D48" s="33"/>
      <c r="E48" s="33"/>
      <c r="F48" s="33"/>
      <c r="G48" s="33"/>
      <c r="H48" s="37"/>
    </row>
    <row r="49" spans="1:8" ht="18.75" x14ac:dyDescent="0.3">
      <c r="A49" s="26"/>
      <c r="B49" s="27"/>
      <c r="C49" s="28" t="s">
        <v>34</v>
      </c>
      <c r="D49" s="29"/>
      <c r="E49" s="29"/>
      <c r="F49" s="29"/>
      <c r="G49" s="29"/>
      <c r="H49" s="29"/>
    </row>
    <row r="50" spans="1:8" ht="18.75" x14ac:dyDescent="0.3">
      <c r="A50" s="30"/>
      <c r="B50" s="31"/>
      <c r="C50" s="32"/>
      <c r="D50" s="33"/>
      <c r="E50" s="33"/>
      <c r="F50" s="33"/>
      <c r="G50" s="33"/>
      <c r="H50" s="34"/>
    </row>
    <row r="51" spans="1:8" ht="18.75" x14ac:dyDescent="0.3">
      <c r="A51" s="26" t="s">
        <v>442</v>
      </c>
      <c r="B51" s="27"/>
      <c r="C51" s="28" t="s">
        <v>33</v>
      </c>
      <c r="D51" s="29"/>
      <c r="E51" s="29"/>
      <c r="F51" s="29"/>
      <c r="G51" s="29"/>
      <c r="H51" s="35"/>
    </row>
    <row r="52" spans="1:8" ht="18.75" x14ac:dyDescent="0.3">
      <c r="A52" s="30"/>
      <c r="B52" s="31"/>
      <c r="C52" s="32" t="s">
        <v>443</v>
      </c>
      <c r="D52" s="33"/>
      <c r="E52" s="33"/>
      <c r="F52" s="33"/>
      <c r="G52" s="33"/>
      <c r="H52" s="37"/>
    </row>
    <row r="53" spans="1:8" ht="18.75" x14ac:dyDescent="0.3">
      <c r="A53" s="30"/>
      <c r="B53" s="31"/>
      <c r="C53" s="32" t="s">
        <v>444</v>
      </c>
      <c r="D53" s="33"/>
      <c r="E53" s="33"/>
      <c r="F53" s="33"/>
      <c r="G53" s="33"/>
      <c r="H53" s="37"/>
    </row>
    <row r="54" spans="1:8" ht="18.75" x14ac:dyDescent="0.3">
      <c r="A54" s="30"/>
      <c r="B54" s="31"/>
      <c r="C54" s="32" t="s">
        <v>445</v>
      </c>
      <c r="D54" s="33"/>
      <c r="E54" s="33"/>
      <c r="F54" s="33"/>
      <c r="G54" s="33"/>
      <c r="H54" s="37"/>
    </row>
    <row r="55" spans="1:8" ht="18.75" x14ac:dyDescent="0.3">
      <c r="A55" s="30"/>
      <c r="B55" s="31" t="s">
        <v>405</v>
      </c>
      <c r="C55" s="32" t="s">
        <v>446</v>
      </c>
      <c r="D55" s="33"/>
      <c r="E55" s="33"/>
      <c r="F55" s="33"/>
      <c r="G55" s="33"/>
      <c r="H55" s="37"/>
    </row>
    <row r="56" spans="1:8" ht="18.75" x14ac:dyDescent="0.3">
      <c r="A56" s="30"/>
      <c r="B56" s="31" t="s">
        <v>405</v>
      </c>
      <c r="C56" s="32" t="s">
        <v>447</v>
      </c>
      <c r="D56" s="33"/>
      <c r="E56" s="33"/>
      <c r="F56" s="33"/>
      <c r="G56" s="33"/>
      <c r="H56" s="37"/>
    </row>
    <row r="57" spans="1:8" ht="18.75" x14ac:dyDescent="0.3">
      <c r="A57" s="30"/>
      <c r="B57" s="31" t="s">
        <v>405</v>
      </c>
      <c r="C57" s="32" t="s">
        <v>448</v>
      </c>
      <c r="D57" s="33"/>
      <c r="E57" s="33"/>
      <c r="F57" s="33"/>
      <c r="G57" s="33"/>
      <c r="H57" s="37"/>
    </row>
    <row r="58" spans="1:8" ht="18.75" x14ac:dyDescent="0.3">
      <c r="A58" s="30"/>
      <c r="B58" s="31" t="s">
        <v>405</v>
      </c>
      <c r="C58" s="32" t="s">
        <v>449</v>
      </c>
      <c r="D58" s="33"/>
      <c r="E58" s="33"/>
      <c r="F58" s="33"/>
      <c r="G58" s="33"/>
      <c r="H58" s="37"/>
    </row>
    <row r="59" spans="1:8" ht="18.75" x14ac:dyDescent="0.3">
      <c r="A59" s="26"/>
      <c r="B59" s="27"/>
      <c r="C59" s="28" t="s">
        <v>34</v>
      </c>
      <c r="D59" s="29"/>
      <c r="E59" s="29"/>
      <c r="F59" s="29"/>
      <c r="G59" s="29"/>
      <c r="H59" s="29"/>
    </row>
    <row r="60" spans="1:8" ht="18.75" x14ac:dyDescent="0.3">
      <c r="A60" s="30"/>
      <c r="B60" s="31"/>
      <c r="C60" s="32"/>
      <c r="D60" s="33"/>
      <c r="E60" s="33"/>
      <c r="F60" s="33"/>
      <c r="G60" s="33"/>
      <c r="H60" s="34"/>
    </row>
    <row r="61" spans="1:8" ht="18.75" x14ac:dyDescent="0.3">
      <c r="A61" s="26" t="s">
        <v>450</v>
      </c>
      <c r="B61" s="27"/>
      <c r="C61" s="28" t="s">
        <v>33</v>
      </c>
      <c r="D61" s="29"/>
      <c r="E61" s="29"/>
      <c r="F61" s="29"/>
      <c r="G61" s="29"/>
      <c r="H61" s="35"/>
    </row>
    <row r="62" spans="1:8" ht="18.75" x14ac:dyDescent="0.3">
      <c r="A62" s="30"/>
      <c r="B62" s="31"/>
      <c r="C62" s="32" t="s">
        <v>451</v>
      </c>
      <c r="D62" s="33"/>
      <c r="E62" s="33"/>
      <c r="F62" s="33"/>
      <c r="G62" s="33"/>
      <c r="H62" s="37"/>
    </row>
    <row r="63" spans="1:8" ht="18.75" x14ac:dyDescent="0.3">
      <c r="A63" s="30"/>
      <c r="B63" s="36" t="s">
        <v>436</v>
      </c>
      <c r="C63" s="32" t="s">
        <v>452</v>
      </c>
      <c r="D63" s="33"/>
      <c r="E63" s="33"/>
      <c r="F63" s="33"/>
      <c r="G63" s="33"/>
      <c r="H63" s="37"/>
    </row>
    <row r="64" spans="1:8" ht="18.75" x14ac:dyDescent="0.3">
      <c r="A64" s="30"/>
      <c r="B64" s="31" t="s">
        <v>405</v>
      </c>
      <c r="C64" s="32" t="s">
        <v>453</v>
      </c>
      <c r="D64" s="33"/>
      <c r="E64" s="33"/>
      <c r="F64" s="33"/>
      <c r="G64" s="33"/>
      <c r="H64" s="37"/>
    </row>
    <row r="65" spans="1:8" ht="18.75" x14ac:dyDescent="0.3">
      <c r="A65" s="30"/>
      <c r="B65" s="31" t="s">
        <v>405</v>
      </c>
      <c r="C65" s="32" t="s">
        <v>454</v>
      </c>
      <c r="D65" s="33"/>
      <c r="E65" s="33"/>
      <c r="F65" s="33"/>
      <c r="G65" s="33"/>
      <c r="H65" s="37"/>
    </row>
    <row r="66" spans="1:8" ht="18.75" x14ac:dyDescent="0.3">
      <c r="A66" s="30"/>
      <c r="B66" s="31" t="s">
        <v>405</v>
      </c>
      <c r="C66" s="32" t="s">
        <v>455</v>
      </c>
      <c r="D66" s="33"/>
      <c r="E66" s="33"/>
      <c r="F66" s="33"/>
      <c r="G66" s="33"/>
      <c r="H66" s="37"/>
    </row>
    <row r="67" spans="1:8" ht="18.75" x14ac:dyDescent="0.3">
      <c r="A67" s="30"/>
      <c r="B67" s="31" t="s">
        <v>405</v>
      </c>
      <c r="C67" s="32" t="s">
        <v>455</v>
      </c>
      <c r="D67" s="33"/>
      <c r="E67" s="33"/>
      <c r="F67" s="33"/>
      <c r="G67" s="33"/>
      <c r="H67" s="37"/>
    </row>
    <row r="68" spans="1:8" ht="18.75" x14ac:dyDescent="0.3">
      <c r="A68" s="26"/>
      <c r="B68" s="27"/>
      <c r="C68" s="28" t="s">
        <v>34</v>
      </c>
      <c r="D68" s="29"/>
      <c r="E68" s="29"/>
      <c r="F68" s="29"/>
      <c r="G68" s="29"/>
      <c r="H68" s="29"/>
    </row>
    <row r="69" spans="1:8" ht="18.75" x14ac:dyDescent="0.3">
      <c r="A69" s="30"/>
      <c r="B69" s="31"/>
      <c r="C69" s="32"/>
      <c r="D69" s="33"/>
      <c r="E69" s="33"/>
      <c r="F69" s="33"/>
      <c r="G69" s="33"/>
      <c r="H69" s="34"/>
    </row>
    <row r="70" spans="1:8" ht="18.75" x14ac:dyDescent="0.3">
      <c r="A70" s="26" t="s">
        <v>456</v>
      </c>
      <c r="B70" s="27"/>
      <c r="C70" s="28" t="s">
        <v>33</v>
      </c>
      <c r="D70" s="29"/>
      <c r="E70" s="29"/>
      <c r="F70" s="29"/>
      <c r="G70" s="29"/>
      <c r="H70" s="35"/>
    </row>
    <row r="71" spans="1:8" ht="18.75" x14ac:dyDescent="0.3">
      <c r="A71" s="30"/>
      <c r="B71" s="31"/>
      <c r="C71" s="32" t="s">
        <v>457</v>
      </c>
      <c r="D71" s="33"/>
      <c r="E71" s="33"/>
      <c r="F71" s="33"/>
      <c r="G71" s="33"/>
      <c r="H71" s="37"/>
    </row>
    <row r="72" spans="1:8" ht="18.75" x14ac:dyDescent="0.3">
      <c r="A72" s="30"/>
      <c r="B72" s="31"/>
      <c r="C72" s="32" t="s">
        <v>458</v>
      </c>
      <c r="D72" s="33"/>
      <c r="E72" s="33"/>
      <c r="F72" s="33"/>
      <c r="G72" s="33"/>
      <c r="H72" s="37"/>
    </row>
    <row r="73" spans="1:8" ht="18.75" x14ac:dyDescent="0.3">
      <c r="A73" s="30"/>
      <c r="B73" s="31"/>
      <c r="C73" s="32" t="s">
        <v>459</v>
      </c>
      <c r="D73" s="33"/>
      <c r="E73" s="33"/>
      <c r="F73" s="33"/>
      <c r="G73" s="33"/>
      <c r="H73" s="37"/>
    </row>
    <row r="74" spans="1:8" ht="18.75" x14ac:dyDescent="0.3">
      <c r="A74" s="30"/>
      <c r="B74" s="31" t="s">
        <v>405</v>
      </c>
      <c r="C74" s="32" t="s">
        <v>460</v>
      </c>
      <c r="D74" s="33"/>
      <c r="E74" s="33"/>
      <c r="F74" s="33"/>
      <c r="G74" s="33"/>
      <c r="H74" s="37"/>
    </row>
    <row r="75" spans="1:8" ht="18.75" x14ac:dyDescent="0.3">
      <c r="A75" s="30"/>
      <c r="B75" s="31" t="s">
        <v>405</v>
      </c>
      <c r="C75" s="32" t="s">
        <v>461</v>
      </c>
      <c r="D75" s="33"/>
      <c r="E75" s="33"/>
      <c r="F75" s="33"/>
      <c r="G75" s="33"/>
      <c r="H75" s="37"/>
    </row>
    <row r="76" spans="1:8" ht="18.75" x14ac:dyDescent="0.3">
      <c r="A76" s="30"/>
      <c r="B76" s="31"/>
      <c r="C76" s="32" t="s">
        <v>462</v>
      </c>
      <c r="D76" s="33"/>
      <c r="E76" s="33"/>
      <c r="F76" s="33"/>
      <c r="G76" s="33"/>
      <c r="H76" s="37"/>
    </row>
    <row r="77" spans="1:8" ht="18.75" x14ac:dyDescent="0.3">
      <c r="A77" s="30"/>
      <c r="B77" s="31" t="s">
        <v>405</v>
      </c>
      <c r="C77" s="32" t="s">
        <v>463</v>
      </c>
      <c r="D77" s="33"/>
      <c r="E77" s="33"/>
      <c r="F77" s="33"/>
      <c r="G77" s="33"/>
      <c r="H77" s="37"/>
    </row>
    <row r="78" spans="1:8" ht="18.75" x14ac:dyDescent="0.3">
      <c r="A78" s="26"/>
      <c r="B78" s="27"/>
      <c r="C78" s="28" t="s">
        <v>34</v>
      </c>
      <c r="D78" s="29"/>
      <c r="E78" s="29"/>
      <c r="F78" s="29"/>
      <c r="G78" s="29"/>
      <c r="H78" s="29"/>
    </row>
    <row r="79" spans="1:8" ht="18.75" x14ac:dyDescent="0.3">
      <c r="A79" s="30"/>
      <c r="B79" s="31"/>
      <c r="C79" s="32"/>
      <c r="D79" s="33"/>
      <c r="E79" s="33"/>
      <c r="F79" s="33"/>
      <c r="G79" s="33"/>
      <c r="H79" s="34"/>
    </row>
    <row r="80" spans="1:8" ht="18.75" x14ac:dyDescent="0.3">
      <c r="A80" s="26" t="s">
        <v>464</v>
      </c>
      <c r="B80" s="27"/>
      <c r="C80" s="28" t="s">
        <v>33</v>
      </c>
      <c r="D80" s="29"/>
      <c r="E80" s="29"/>
      <c r="F80" s="29"/>
      <c r="G80" s="29"/>
      <c r="H80" s="35"/>
    </row>
    <row r="81" spans="1:8" ht="18.75" x14ac:dyDescent="0.3">
      <c r="A81" s="30"/>
      <c r="B81" s="31"/>
      <c r="C81" s="32" t="s">
        <v>465</v>
      </c>
      <c r="D81" s="33"/>
      <c r="E81" s="33"/>
      <c r="F81" s="33"/>
      <c r="G81" s="33"/>
      <c r="H81" s="37"/>
    </row>
    <row r="82" spans="1:8" ht="18.75" x14ac:dyDescent="0.3">
      <c r="A82" s="30"/>
      <c r="B82" s="31" t="s">
        <v>405</v>
      </c>
      <c r="C82" s="32" t="s">
        <v>466</v>
      </c>
      <c r="D82" s="33"/>
      <c r="E82" s="33"/>
      <c r="F82" s="33"/>
      <c r="G82" s="33"/>
      <c r="H82" s="37"/>
    </row>
    <row r="83" spans="1:8" ht="18.75" x14ac:dyDescent="0.3">
      <c r="A83" s="30"/>
      <c r="B83" s="31"/>
      <c r="C83" s="32" t="s">
        <v>467</v>
      </c>
      <c r="D83" s="33"/>
      <c r="E83" s="33"/>
      <c r="F83" s="33"/>
      <c r="G83" s="33"/>
      <c r="H83" s="37"/>
    </row>
    <row r="84" spans="1:8" ht="18.75" x14ac:dyDescent="0.3">
      <c r="A84" s="30"/>
      <c r="B84" s="31"/>
      <c r="C84" s="32" t="s">
        <v>468</v>
      </c>
      <c r="D84" s="33"/>
      <c r="E84" s="33"/>
      <c r="F84" s="33"/>
      <c r="G84" s="33"/>
      <c r="H84" s="37"/>
    </row>
    <row r="85" spans="1:8" ht="18.75" x14ac:dyDescent="0.3">
      <c r="A85" s="30"/>
      <c r="B85" s="31" t="s">
        <v>405</v>
      </c>
      <c r="C85" s="32" t="s">
        <v>469</v>
      </c>
      <c r="D85" s="33"/>
      <c r="E85" s="33"/>
      <c r="F85" s="33"/>
      <c r="G85" s="33"/>
      <c r="H85" s="37"/>
    </row>
    <row r="86" spans="1:8" ht="18.75" x14ac:dyDescent="0.3">
      <c r="A86" s="30"/>
      <c r="B86" s="31" t="s">
        <v>405</v>
      </c>
      <c r="C86" s="32" t="s">
        <v>470</v>
      </c>
      <c r="D86" s="33"/>
      <c r="E86" s="33"/>
      <c r="F86" s="33"/>
      <c r="G86" s="33"/>
      <c r="H86" s="37"/>
    </row>
    <row r="87" spans="1:8" ht="18.75" x14ac:dyDescent="0.3">
      <c r="A87" s="30"/>
      <c r="B87" s="31" t="s">
        <v>405</v>
      </c>
      <c r="C87" s="32" t="s">
        <v>471</v>
      </c>
      <c r="D87" s="33"/>
      <c r="E87" s="33"/>
      <c r="F87" s="33"/>
      <c r="G87" s="33"/>
      <c r="H87" s="37"/>
    </row>
    <row r="88" spans="1:8" ht="18.75" x14ac:dyDescent="0.3">
      <c r="A88" s="30"/>
      <c r="B88" s="36" t="s">
        <v>436</v>
      </c>
      <c r="C88" s="32" t="s">
        <v>472</v>
      </c>
      <c r="D88" s="33"/>
      <c r="E88" s="33"/>
      <c r="F88" s="33"/>
      <c r="G88" s="33"/>
      <c r="H88" s="37"/>
    </row>
    <row r="89" spans="1:8" ht="18.75" x14ac:dyDescent="0.3">
      <c r="A89" s="30"/>
      <c r="B89" s="31"/>
      <c r="C89" s="32"/>
      <c r="D89" s="33"/>
      <c r="E89" s="33"/>
      <c r="F89" s="33"/>
      <c r="G89" s="33"/>
      <c r="H89" s="37"/>
    </row>
    <row r="90" spans="1:8" ht="18.75" x14ac:dyDescent="0.3">
      <c r="A90" s="26"/>
      <c r="B90" s="27"/>
      <c r="C90" s="28" t="s">
        <v>34</v>
      </c>
      <c r="D90" s="29"/>
      <c r="E90" s="29"/>
      <c r="F90" s="29"/>
      <c r="G90" s="29"/>
      <c r="H90" s="29"/>
    </row>
    <row r="91" spans="1:8" ht="18.75" x14ac:dyDescent="0.3">
      <c r="A91" s="30"/>
      <c r="B91" s="31"/>
      <c r="C91" s="32"/>
      <c r="D91" s="33"/>
      <c r="E91" s="33"/>
      <c r="F91" s="33"/>
      <c r="G91" s="33"/>
      <c r="H91" s="34"/>
    </row>
    <row r="92" spans="1:8" ht="18.75" x14ac:dyDescent="0.3">
      <c r="A92" s="26" t="s">
        <v>473</v>
      </c>
      <c r="B92" s="27"/>
      <c r="C92" s="28" t="s">
        <v>33</v>
      </c>
      <c r="D92" s="29"/>
      <c r="E92" s="29"/>
      <c r="F92" s="29"/>
      <c r="G92" s="29"/>
      <c r="H92" s="35"/>
    </row>
    <row r="93" spans="1:8" ht="18.75" x14ac:dyDescent="0.3">
      <c r="A93" s="30"/>
      <c r="B93" s="31"/>
      <c r="C93" s="32" t="s">
        <v>474</v>
      </c>
      <c r="D93" s="33"/>
      <c r="E93" s="33"/>
      <c r="F93" s="33"/>
      <c r="G93" s="33"/>
      <c r="H93" s="37"/>
    </row>
    <row r="94" spans="1:8" ht="18.75" x14ac:dyDescent="0.3">
      <c r="A94" s="30"/>
      <c r="B94" s="31"/>
      <c r="C94" s="32" t="s">
        <v>475</v>
      </c>
      <c r="D94" s="33"/>
      <c r="E94" s="33"/>
      <c r="F94" s="33"/>
      <c r="G94" s="33"/>
      <c r="H94" s="37"/>
    </row>
    <row r="95" spans="1:8" ht="18.75" x14ac:dyDescent="0.3">
      <c r="A95" s="30"/>
      <c r="B95" s="31"/>
      <c r="C95" s="32" t="s">
        <v>476</v>
      </c>
      <c r="D95" s="33"/>
      <c r="E95" s="33"/>
      <c r="F95" s="33"/>
      <c r="G95" s="33"/>
      <c r="H95" s="37"/>
    </row>
    <row r="96" spans="1:8" ht="18.75" x14ac:dyDescent="0.3">
      <c r="A96" s="30"/>
      <c r="B96" s="31" t="s">
        <v>405</v>
      </c>
      <c r="C96" s="32" t="s">
        <v>477</v>
      </c>
      <c r="D96" s="33"/>
      <c r="E96" s="33"/>
      <c r="F96" s="33"/>
      <c r="G96" s="33"/>
      <c r="H96" s="37"/>
    </row>
    <row r="97" spans="1:8" ht="18.75" x14ac:dyDescent="0.3">
      <c r="A97" s="30"/>
      <c r="B97" s="31"/>
      <c r="C97" s="32" t="s">
        <v>478</v>
      </c>
      <c r="D97" s="33"/>
      <c r="E97" s="33"/>
      <c r="F97" s="33"/>
      <c r="G97" s="33"/>
      <c r="H97" s="37"/>
    </row>
    <row r="98" spans="1:8" ht="18.75" x14ac:dyDescent="0.3">
      <c r="A98" s="30"/>
      <c r="B98" s="31"/>
      <c r="C98" s="32" t="s">
        <v>479</v>
      </c>
      <c r="D98" s="33"/>
      <c r="E98" s="33"/>
      <c r="F98" s="33"/>
      <c r="G98" s="33"/>
      <c r="H98" s="37"/>
    </row>
    <row r="99" spans="1:8" ht="18.75" x14ac:dyDescent="0.3">
      <c r="A99" s="30"/>
      <c r="B99" s="31"/>
      <c r="C99" s="32" t="s">
        <v>480</v>
      </c>
      <c r="D99" s="33"/>
      <c r="E99" s="33"/>
      <c r="F99" s="33"/>
      <c r="G99" s="33"/>
      <c r="H99" s="37"/>
    </row>
    <row r="100" spans="1:8" ht="18.75" x14ac:dyDescent="0.3">
      <c r="A100" s="30"/>
      <c r="B100" s="31" t="s">
        <v>405</v>
      </c>
      <c r="C100" s="32" t="s">
        <v>481</v>
      </c>
      <c r="D100" s="33"/>
      <c r="E100" s="33"/>
      <c r="F100" s="33"/>
      <c r="G100" s="33"/>
      <c r="H100" s="37"/>
    </row>
    <row r="101" spans="1:8" ht="18.75" x14ac:dyDescent="0.3">
      <c r="A101" s="30"/>
      <c r="B101" s="31" t="s">
        <v>405</v>
      </c>
      <c r="C101" s="32" t="s">
        <v>482</v>
      </c>
      <c r="D101" s="33"/>
      <c r="E101" s="33"/>
      <c r="F101" s="33"/>
      <c r="G101" s="33"/>
      <c r="H101" s="37"/>
    </row>
    <row r="102" spans="1:8" ht="18.75" x14ac:dyDescent="0.3">
      <c r="A102" s="30"/>
      <c r="B102" s="31" t="s">
        <v>405</v>
      </c>
      <c r="C102" s="32" t="s">
        <v>483</v>
      </c>
      <c r="D102" s="33"/>
      <c r="E102" s="33"/>
      <c r="F102" s="33"/>
      <c r="G102" s="33"/>
      <c r="H102" s="37"/>
    </row>
    <row r="103" spans="1:8" ht="18.75" x14ac:dyDescent="0.3">
      <c r="A103" s="30"/>
      <c r="B103" s="31"/>
      <c r="C103" s="32"/>
      <c r="D103" s="33"/>
      <c r="E103" s="33"/>
      <c r="F103" s="33"/>
      <c r="G103" s="33"/>
      <c r="H103" s="37"/>
    </row>
    <row r="104" spans="1:8" ht="18.75" x14ac:dyDescent="0.3">
      <c r="A104" s="30"/>
      <c r="B104" s="31"/>
      <c r="C104" s="32"/>
      <c r="D104" s="33"/>
      <c r="E104" s="33"/>
      <c r="F104" s="33"/>
      <c r="G104" s="33"/>
      <c r="H104" s="37"/>
    </row>
    <row r="105" spans="1:8" ht="18.75" x14ac:dyDescent="0.3">
      <c r="A105" s="26"/>
      <c r="B105" s="27"/>
      <c r="C105" s="28" t="s">
        <v>34</v>
      </c>
      <c r="D105" s="29"/>
      <c r="E105" s="29"/>
      <c r="F105" s="29"/>
      <c r="G105" s="29"/>
      <c r="H105" s="37"/>
    </row>
    <row r="106" spans="1:8" ht="18.75" x14ac:dyDescent="0.3">
      <c r="A106" s="30"/>
      <c r="B106" s="31"/>
      <c r="C106" s="32"/>
      <c r="D106" s="33"/>
      <c r="E106" s="33"/>
      <c r="F106" s="33"/>
      <c r="G106" s="33"/>
      <c r="H106" s="34"/>
    </row>
    <row r="107" spans="1:8" ht="18.75" x14ac:dyDescent="0.3">
      <c r="A107" s="26" t="s">
        <v>484</v>
      </c>
      <c r="B107" s="27"/>
      <c r="C107" s="28" t="s">
        <v>33</v>
      </c>
      <c r="D107" s="29"/>
      <c r="E107" s="29"/>
      <c r="F107" s="29"/>
      <c r="G107" s="29"/>
      <c r="H107" s="35"/>
    </row>
    <row r="108" spans="1:8" ht="18.75" x14ac:dyDescent="0.3">
      <c r="A108" s="30"/>
      <c r="B108" s="31"/>
      <c r="C108" s="32" t="s">
        <v>485</v>
      </c>
      <c r="D108" s="33"/>
      <c r="E108" s="33"/>
      <c r="F108" s="33"/>
      <c r="G108" s="33"/>
      <c r="H108" s="37"/>
    </row>
    <row r="109" spans="1:8" ht="18.75" x14ac:dyDescent="0.3">
      <c r="A109" s="30"/>
      <c r="B109" s="31"/>
      <c r="C109" s="32" t="s">
        <v>486</v>
      </c>
      <c r="D109" s="33"/>
      <c r="E109" s="33"/>
      <c r="F109" s="33"/>
      <c r="G109" s="33"/>
      <c r="H109" s="37"/>
    </row>
    <row r="110" spans="1:8" ht="18.75" x14ac:dyDescent="0.3">
      <c r="A110" s="30"/>
      <c r="B110" s="31"/>
      <c r="C110" s="32" t="s">
        <v>487</v>
      </c>
      <c r="D110" s="33"/>
      <c r="E110" s="33"/>
      <c r="F110" s="33"/>
      <c r="G110" s="33"/>
      <c r="H110" s="37"/>
    </row>
    <row r="111" spans="1:8" ht="18.75" x14ac:dyDescent="0.3">
      <c r="A111" s="30"/>
      <c r="B111" s="31" t="s">
        <v>405</v>
      </c>
      <c r="C111" s="32" t="s">
        <v>488</v>
      </c>
      <c r="D111" s="33"/>
      <c r="E111" s="33"/>
      <c r="F111" s="33"/>
      <c r="G111" s="33"/>
      <c r="H111" s="37"/>
    </row>
    <row r="112" spans="1:8" ht="18.75" x14ac:dyDescent="0.3">
      <c r="A112" s="30"/>
      <c r="B112" s="31" t="s">
        <v>405</v>
      </c>
      <c r="C112" s="32" t="s">
        <v>489</v>
      </c>
      <c r="D112" s="33"/>
      <c r="E112" s="33"/>
      <c r="F112" s="33"/>
      <c r="G112" s="33"/>
      <c r="H112" s="37"/>
    </row>
    <row r="113" spans="1:8" ht="18.75" x14ac:dyDescent="0.3">
      <c r="A113" s="30"/>
      <c r="B113" s="31" t="s">
        <v>405</v>
      </c>
      <c r="C113" s="32" t="s">
        <v>490</v>
      </c>
      <c r="D113" s="33"/>
      <c r="E113" s="33"/>
      <c r="F113" s="33"/>
      <c r="G113" s="33"/>
      <c r="H113" s="37"/>
    </row>
    <row r="114" spans="1:8" ht="18.75" x14ac:dyDescent="0.3">
      <c r="A114" s="26"/>
      <c r="B114" s="27"/>
      <c r="C114" s="28" t="s">
        <v>34</v>
      </c>
      <c r="D114" s="29"/>
      <c r="E114" s="29"/>
      <c r="F114" s="29"/>
      <c r="G114" s="29"/>
      <c r="H114" s="29"/>
    </row>
    <row r="115" spans="1:8" ht="18.75" x14ac:dyDescent="0.3">
      <c r="A115" s="30"/>
      <c r="B115" s="31"/>
      <c r="C115" s="32"/>
      <c r="D115" s="33"/>
      <c r="E115" s="33"/>
      <c r="F115" s="33"/>
      <c r="G115" s="33"/>
      <c r="H115" s="34"/>
    </row>
    <row r="116" spans="1:8" ht="18.75" x14ac:dyDescent="0.3">
      <c r="A116" s="26" t="s">
        <v>491</v>
      </c>
      <c r="B116" s="27"/>
      <c r="C116" s="28" t="s">
        <v>33</v>
      </c>
      <c r="D116" s="29"/>
      <c r="E116" s="29"/>
      <c r="F116" s="29"/>
      <c r="G116" s="29"/>
      <c r="H116" s="35"/>
    </row>
    <row r="117" spans="1:8" ht="18.75" x14ac:dyDescent="0.3">
      <c r="A117" s="30"/>
      <c r="B117" s="31"/>
      <c r="C117" s="32" t="s">
        <v>492</v>
      </c>
      <c r="D117" s="33"/>
      <c r="E117" s="33"/>
      <c r="F117" s="33"/>
      <c r="G117" s="33"/>
      <c r="H117" s="37"/>
    </row>
    <row r="118" spans="1:8" ht="18.75" x14ac:dyDescent="0.3">
      <c r="A118" s="30"/>
      <c r="B118" s="31"/>
      <c r="C118" s="32" t="s">
        <v>493</v>
      </c>
      <c r="D118" s="33"/>
      <c r="E118" s="33"/>
      <c r="F118" s="33"/>
      <c r="G118" s="33"/>
      <c r="H118" s="37"/>
    </row>
    <row r="119" spans="1:8" ht="18.75" x14ac:dyDescent="0.3">
      <c r="A119" s="30"/>
      <c r="B119" s="31"/>
      <c r="C119" s="32" t="s">
        <v>494</v>
      </c>
      <c r="D119" s="33"/>
      <c r="E119" s="33"/>
      <c r="F119" s="33"/>
      <c r="G119" s="33"/>
      <c r="H119" s="37"/>
    </row>
    <row r="120" spans="1:8" ht="18.75" x14ac:dyDescent="0.3">
      <c r="A120" s="30"/>
      <c r="B120" s="31"/>
      <c r="C120" s="32" t="s">
        <v>495</v>
      </c>
      <c r="D120" s="33"/>
      <c r="E120" s="33"/>
      <c r="F120" s="33"/>
      <c r="G120" s="33"/>
      <c r="H120" s="37"/>
    </row>
    <row r="121" spans="1:8" ht="18.75" x14ac:dyDescent="0.3">
      <c r="A121" s="30"/>
      <c r="B121" s="31"/>
      <c r="C121" s="32" t="s">
        <v>496</v>
      </c>
      <c r="D121" s="33"/>
      <c r="E121" s="33"/>
      <c r="F121" s="33"/>
      <c r="G121" s="33"/>
      <c r="H121" s="37"/>
    </row>
    <row r="122" spans="1:8" ht="18.75" x14ac:dyDescent="0.3">
      <c r="A122" s="30"/>
      <c r="B122" s="31" t="s">
        <v>405</v>
      </c>
      <c r="C122" s="32" t="s">
        <v>497</v>
      </c>
      <c r="D122" s="33"/>
      <c r="E122" s="33"/>
      <c r="F122" s="33"/>
      <c r="G122" s="33"/>
      <c r="H122" s="37"/>
    </row>
    <row r="123" spans="1:8" ht="18.75" x14ac:dyDescent="0.3">
      <c r="A123" s="30"/>
      <c r="B123" s="31" t="s">
        <v>405</v>
      </c>
      <c r="C123" s="32" t="s">
        <v>498</v>
      </c>
      <c r="D123" s="33"/>
      <c r="E123" s="33"/>
      <c r="F123" s="33"/>
      <c r="G123" s="33"/>
      <c r="H123" s="37"/>
    </row>
    <row r="124" spans="1:8" ht="18.75" x14ac:dyDescent="0.3">
      <c r="A124" s="26"/>
      <c r="B124" s="27"/>
      <c r="C124" s="28" t="s">
        <v>34</v>
      </c>
      <c r="D124" s="29"/>
      <c r="E124" s="29"/>
      <c r="F124" s="29"/>
      <c r="G124" s="29"/>
      <c r="H124" s="29"/>
    </row>
    <row r="125" spans="1:8" ht="18.75" x14ac:dyDescent="0.3">
      <c r="A125" s="30"/>
      <c r="B125" s="31"/>
      <c r="C125" s="32"/>
      <c r="D125" s="33"/>
      <c r="E125" s="33"/>
      <c r="F125" s="33"/>
      <c r="G125" s="33"/>
      <c r="H125" s="162"/>
    </row>
    <row r="126" spans="1:8" ht="18.75" x14ac:dyDescent="0.3">
      <c r="A126" s="26" t="s">
        <v>499</v>
      </c>
      <c r="B126" s="27"/>
      <c r="C126" s="28" t="s">
        <v>33</v>
      </c>
      <c r="D126" s="29"/>
      <c r="E126" s="29"/>
      <c r="F126" s="29"/>
      <c r="G126" s="29"/>
      <c r="H126" s="162"/>
    </row>
    <row r="127" spans="1:8" ht="18.75" x14ac:dyDescent="0.3">
      <c r="A127" s="30"/>
      <c r="B127" s="31"/>
      <c r="C127" s="32" t="s">
        <v>500</v>
      </c>
      <c r="D127" s="33"/>
      <c r="E127" s="33"/>
      <c r="F127" s="33"/>
      <c r="G127" s="33"/>
      <c r="H127" s="37"/>
    </row>
    <row r="128" spans="1:8" ht="18.75" x14ac:dyDescent="0.3">
      <c r="A128" s="30"/>
      <c r="B128" s="31"/>
      <c r="C128" s="32" t="s">
        <v>501</v>
      </c>
      <c r="D128" s="33"/>
      <c r="E128" s="33"/>
      <c r="F128" s="33"/>
      <c r="G128" s="33"/>
      <c r="H128" s="37"/>
    </row>
    <row r="129" spans="1:8" ht="18.75" x14ac:dyDescent="0.3">
      <c r="A129" s="30"/>
      <c r="B129" s="31"/>
      <c r="C129" s="32" t="s">
        <v>502</v>
      </c>
      <c r="D129" s="33"/>
      <c r="E129" s="33"/>
      <c r="F129" s="33"/>
      <c r="G129" s="33"/>
      <c r="H129" s="37"/>
    </row>
    <row r="130" spans="1:8" ht="18.75" x14ac:dyDescent="0.3">
      <c r="A130" s="30"/>
      <c r="B130" s="31"/>
      <c r="C130" s="32" t="s">
        <v>503</v>
      </c>
      <c r="D130" s="33"/>
      <c r="E130" s="33"/>
      <c r="F130" s="33"/>
      <c r="G130" s="33"/>
      <c r="H130" s="37"/>
    </row>
    <row r="131" spans="1:8" ht="18.75" x14ac:dyDescent="0.3">
      <c r="A131" s="30"/>
      <c r="B131" s="31"/>
      <c r="C131" s="32" t="s">
        <v>504</v>
      </c>
      <c r="D131" s="33"/>
      <c r="E131" s="33"/>
      <c r="F131" s="33"/>
      <c r="G131" s="33"/>
      <c r="H131" s="37"/>
    </row>
    <row r="132" spans="1:8" ht="18.75" x14ac:dyDescent="0.3">
      <c r="A132" s="30"/>
      <c r="B132" s="31"/>
      <c r="C132" s="32" t="s">
        <v>505</v>
      </c>
      <c r="D132" s="33"/>
      <c r="E132" s="33"/>
      <c r="F132" s="33"/>
      <c r="G132" s="33"/>
      <c r="H132" s="37"/>
    </row>
    <row r="133" spans="1:8" ht="18.75" x14ac:dyDescent="0.3">
      <c r="A133" s="30"/>
      <c r="B133" s="31"/>
      <c r="C133" s="32" t="s">
        <v>503</v>
      </c>
      <c r="D133" s="33"/>
      <c r="E133" s="33"/>
      <c r="F133" s="33"/>
      <c r="G133" s="33"/>
      <c r="H133" s="37"/>
    </row>
    <row r="134" spans="1:8" ht="18.75" x14ac:dyDescent="0.3">
      <c r="A134" s="30"/>
      <c r="B134" s="31" t="s">
        <v>405</v>
      </c>
      <c r="C134" s="32" t="s">
        <v>506</v>
      </c>
      <c r="D134" s="33"/>
      <c r="E134" s="33"/>
      <c r="F134" s="33"/>
      <c r="G134" s="33"/>
      <c r="H134" s="37"/>
    </row>
    <row r="135" spans="1:8" ht="18.75" x14ac:dyDescent="0.3">
      <c r="A135" s="30"/>
      <c r="B135" s="31" t="s">
        <v>405</v>
      </c>
      <c r="C135" s="32" t="s">
        <v>507</v>
      </c>
      <c r="D135" s="33"/>
      <c r="E135" s="33"/>
      <c r="F135" s="33"/>
      <c r="G135" s="33"/>
      <c r="H135" s="37"/>
    </row>
    <row r="136" spans="1:8" ht="18.75" x14ac:dyDescent="0.3">
      <c r="A136" s="30"/>
      <c r="B136" s="31" t="s">
        <v>405</v>
      </c>
      <c r="C136" s="32" t="s">
        <v>508</v>
      </c>
      <c r="D136" s="33"/>
      <c r="E136" s="33"/>
      <c r="F136" s="33"/>
      <c r="G136" s="33"/>
      <c r="H136" s="37"/>
    </row>
    <row r="137" spans="1:8" ht="18.75" x14ac:dyDescent="0.3">
      <c r="A137" s="30"/>
      <c r="B137" s="31"/>
      <c r="C137" s="32" t="s">
        <v>509</v>
      </c>
      <c r="D137" s="33"/>
      <c r="E137" s="33"/>
      <c r="F137" s="33"/>
      <c r="G137" s="33"/>
      <c r="H137" s="37"/>
    </row>
    <row r="138" spans="1:8" ht="18.75" x14ac:dyDescent="0.3">
      <c r="A138" s="26"/>
      <c r="B138" s="27"/>
      <c r="C138" s="28" t="s">
        <v>34</v>
      </c>
      <c r="D138" s="29"/>
      <c r="E138" s="29"/>
      <c r="F138" s="29"/>
      <c r="G138" s="29"/>
      <c r="H138" s="163"/>
    </row>
    <row r="139" spans="1:8" ht="18.75" x14ac:dyDescent="0.3">
      <c r="A139" s="30"/>
      <c r="B139" s="31"/>
      <c r="C139" s="32"/>
      <c r="D139" s="33"/>
      <c r="E139" s="33"/>
      <c r="F139" s="33"/>
      <c r="G139" s="33"/>
      <c r="H139" s="34"/>
    </row>
    <row r="140" spans="1:8" ht="18.75" x14ac:dyDescent="0.3">
      <c r="A140" s="26" t="s">
        <v>510</v>
      </c>
      <c r="B140" s="27"/>
      <c r="C140" s="28" t="s">
        <v>33</v>
      </c>
      <c r="D140" s="29"/>
      <c r="E140" s="29"/>
      <c r="F140" s="29"/>
      <c r="G140" s="29"/>
      <c r="H140" s="1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J10" sqref="J10"/>
    </sheetView>
  </sheetViews>
  <sheetFormatPr defaultRowHeight="15" x14ac:dyDescent="0.25"/>
  <cols>
    <col min="1" max="1" width="13" customWidth="1"/>
    <col min="2" max="2" width="26.7109375" bestFit="1" customWidth="1"/>
    <col min="3" max="3" width="23.28515625" bestFit="1" customWidth="1"/>
    <col min="4" max="4" width="6.5703125" bestFit="1" customWidth="1"/>
    <col min="5" max="5" width="7.28515625" bestFit="1" customWidth="1"/>
    <col min="6" max="8" width="10.140625" bestFit="1" customWidth="1"/>
    <col min="9" max="9" width="10.5703125" bestFit="1" customWidth="1"/>
  </cols>
  <sheetData>
    <row r="1" spans="1:9" ht="15.75" x14ac:dyDescent="0.25">
      <c r="A1" s="38" t="s">
        <v>36</v>
      </c>
      <c r="B1" s="38" t="s">
        <v>37</v>
      </c>
      <c r="C1" s="38" t="s">
        <v>38</v>
      </c>
      <c r="D1" s="38" t="s">
        <v>39</v>
      </c>
      <c r="E1" s="38" t="s">
        <v>40</v>
      </c>
      <c r="F1" s="39" t="s">
        <v>41</v>
      </c>
      <c r="G1" s="38" t="s">
        <v>42</v>
      </c>
      <c r="H1" s="38" t="s">
        <v>43</v>
      </c>
      <c r="I1" s="39" t="s">
        <v>44</v>
      </c>
    </row>
    <row r="2" spans="1:9" x14ac:dyDescent="0.25">
      <c r="A2" s="40" t="s">
        <v>45</v>
      </c>
      <c r="B2" s="40" t="s">
        <v>46</v>
      </c>
      <c r="C2" s="40" t="s">
        <v>47</v>
      </c>
      <c r="D2" s="41" t="s">
        <v>48</v>
      </c>
      <c r="E2" s="42" t="s">
        <v>49</v>
      </c>
      <c r="F2" s="40" t="s">
        <v>50</v>
      </c>
      <c r="G2" s="43">
        <v>17250</v>
      </c>
      <c r="H2" s="41" t="s">
        <v>45</v>
      </c>
      <c r="I2" s="40"/>
    </row>
    <row r="3" spans="1:9" x14ac:dyDescent="0.25">
      <c r="A3" s="40" t="s">
        <v>45</v>
      </c>
      <c r="B3" s="40" t="s">
        <v>51</v>
      </c>
      <c r="C3" s="40" t="s">
        <v>47</v>
      </c>
      <c r="D3" s="41" t="s">
        <v>48</v>
      </c>
      <c r="E3" s="42" t="s">
        <v>52</v>
      </c>
      <c r="F3" s="40" t="s">
        <v>50</v>
      </c>
      <c r="G3" s="43">
        <v>14000</v>
      </c>
      <c r="H3" s="41" t="s">
        <v>45</v>
      </c>
      <c r="I3" s="40"/>
    </row>
    <row r="4" spans="1:9" x14ac:dyDescent="0.25">
      <c r="A4" s="40" t="s">
        <v>45</v>
      </c>
      <c r="B4" s="40" t="s">
        <v>53</v>
      </c>
      <c r="C4" s="40" t="s">
        <v>47</v>
      </c>
      <c r="D4" s="41" t="s">
        <v>48</v>
      </c>
      <c r="E4" s="42" t="s">
        <v>54</v>
      </c>
      <c r="F4" s="40" t="s">
        <v>50</v>
      </c>
      <c r="G4" s="43">
        <v>15600</v>
      </c>
      <c r="H4" s="41" t="s">
        <v>45</v>
      </c>
      <c r="I4" s="40"/>
    </row>
    <row r="5" spans="1:9" x14ac:dyDescent="0.25">
      <c r="A5" s="40" t="s">
        <v>45</v>
      </c>
      <c r="B5" s="40" t="s">
        <v>55</v>
      </c>
      <c r="C5" s="40" t="s">
        <v>47</v>
      </c>
      <c r="D5" s="41" t="s">
        <v>48</v>
      </c>
      <c r="E5" s="42" t="s">
        <v>56</v>
      </c>
      <c r="F5" s="40" t="s">
        <v>50</v>
      </c>
      <c r="G5" s="43">
        <v>6000</v>
      </c>
      <c r="H5" s="41" t="s">
        <v>45</v>
      </c>
    </row>
    <row r="6" spans="1:9" x14ac:dyDescent="0.25">
      <c r="A6" s="40" t="s">
        <v>45</v>
      </c>
      <c r="B6" s="40" t="s">
        <v>57</v>
      </c>
      <c r="C6" s="40" t="s">
        <v>47</v>
      </c>
      <c r="D6" s="41" t="s">
        <v>48</v>
      </c>
      <c r="E6" s="42" t="s">
        <v>58</v>
      </c>
      <c r="F6" s="40" t="s">
        <v>50</v>
      </c>
      <c r="G6" s="43">
        <v>4000</v>
      </c>
      <c r="H6" s="41" t="s">
        <v>45</v>
      </c>
    </row>
    <row r="7" spans="1:9" x14ac:dyDescent="0.25">
      <c r="A7" s="40" t="s">
        <v>45</v>
      </c>
      <c r="B7" s="40" t="s">
        <v>59</v>
      </c>
      <c r="C7" s="40" t="s">
        <v>47</v>
      </c>
      <c r="D7" s="41" t="s">
        <v>48</v>
      </c>
      <c r="E7" s="42" t="s">
        <v>60</v>
      </c>
      <c r="F7" s="40" t="s">
        <v>50</v>
      </c>
      <c r="G7" s="43">
        <v>6000</v>
      </c>
      <c r="H7" s="41" t="s">
        <v>45</v>
      </c>
    </row>
    <row r="8" spans="1:9" x14ac:dyDescent="0.25">
      <c r="A8" s="40" t="s">
        <v>61</v>
      </c>
      <c r="B8" s="40" t="s">
        <v>62</v>
      </c>
      <c r="C8" s="40" t="s">
        <v>47</v>
      </c>
      <c r="D8" s="41" t="s">
        <v>48</v>
      </c>
      <c r="E8" s="42" t="s">
        <v>63</v>
      </c>
      <c r="F8" s="40" t="s">
        <v>50</v>
      </c>
      <c r="G8" s="43">
        <v>10000</v>
      </c>
      <c r="H8" s="41" t="s">
        <v>45</v>
      </c>
    </row>
    <row r="9" spans="1:9" x14ac:dyDescent="0.25">
      <c r="A9" s="40" t="s">
        <v>45</v>
      </c>
      <c r="B9" s="40" t="s">
        <v>64</v>
      </c>
      <c r="C9" s="40" t="s">
        <v>47</v>
      </c>
      <c r="D9" s="41" t="s">
        <v>48</v>
      </c>
      <c r="E9" s="42" t="s">
        <v>65</v>
      </c>
      <c r="F9" s="40" t="s">
        <v>50</v>
      </c>
      <c r="G9" s="43">
        <v>2000</v>
      </c>
      <c r="H9" s="41" t="s">
        <v>45</v>
      </c>
    </row>
    <row r="10" spans="1:9" x14ac:dyDescent="0.25">
      <c r="A10" s="40" t="s">
        <v>45</v>
      </c>
      <c r="B10" s="40" t="s">
        <v>66</v>
      </c>
      <c r="C10" s="40" t="s">
        <v>47</v>
      </c>
      <c r="D10" s="41" t="s">
        <v>48</v>
      </c>
      <c r="E10" s="42" t="s">
        <v>67</v>
      </c>
      <c r="F10" s="40" t="s">
        <v>50</v>
      </c>
      <c r="G10" s="43">
        <v>16000</v>
      </c>
      <c r="H10" s="41" t="s">
        <v>45</v>
      </c>
    </row>
    <row r="11" spans="1:9" x14ac:dyDescent="0.25">
      <c r="A11" s="40" t="s">
        <v>45</v>
      </c>
      <c r="B11" s="40" t="s">
        <v>68</v>
      </c>
      <c r="C11" s="40" t="s">
        <v>47</v>
      </c>
      <c r="D11" s="41" t="s">
        <v>48</v>
      </c>
      <c r="E11" s="42" t="s">
        <v>69</v>
      </c>
      <c r="F11" s="40" t="s">
        <v>50</v>
      </c>
      <c r="G11" s="43">
        <v>8000</v>
      </c>
      <c r="H11" s="41" t="s">
        <v>45</v>
      </c>
    </row>
    <row r="12" spans="1:9" x14ac:dyDescent="0.25">
      <c r="A12" s="40" t="s">
        <v>45</v>
      </c>
      <c r="B12" s="40" t="s">
        <v>70</v>
      </c>
      <c r="C12" s="40" t="s">
        <v>47</v>
      </c>
      <c r="D12" s="41" t="s">
        <v>48</v>
      </c>
      <c r="E12" s="42" t="s">
        <v>71</v>
      </c>
      <c r="F12" s="40" t="s">
        <v>50</v>
      </c>
      <c r="G12" s="43">
        <v>21000</v>
      </c>
      <c r="H12" s="41" t="s">
        <v>45</v>
      </c>
    </row>
    <row r="13" spans="1:9" x14ac:dyDescent="0.25">
      <c r="A13" s="40" t="s">
        <v>45</v>
      </c>
      <c r="B13" s="40" t="s">
        <v>72</v>
      </c>
      <c r="C13" s="40" t="s">
        <v>47</v>
      </c>
      <c r="D13" s="41" t="s">
        <v>48</v>
      </c>
      <c r="E13" s="42" t="s">
        <v>73</v>
      </c>
      <c r="F13" s="40" t="s">
        <v>50</v>
      </c>
      <c r="G13" s="43">
        <v>7800</v>
      </c>
      <c r="H13" s="41" t="s">
        <v>74</v>
      </c>
    </row>
    <row r="14" spans="1:9" x14ac:dyDescent="0.25">
      <c r="A14" s="40" t="s">
        <v>45</v>
      </c>
      <c r="B14" s="40" t="s">
        <v>75</v>
      </c>
      <c r="C14" s="40" t="s">
        <v>47</v>
      </c>
      <c r="D14" s="41" t="s">
        <v>48</v>
      </c>
      <c r="E14" s="42" t="s">
        <v>76</v>
      </c>
      <c r="F14" s="40" t="s">
        <v>50</v>
      </c>
      <c r="G14" s="43">
        <v>11400</v>
      </c>
      <c r="H14" s="41" t="s">
        <v>45</v>
      </c>
    </row>
    <row r="15" spans="1:9" x14ac:dyDescent="0.25">
      <c r="A15" s="40" t="s">
        <v>45</v>
      </c>
      <c r="B15" s="40" t="s">
        <v>77</v>
      </c>
      <c r="C15" s="40" t="s">
        <v>47</v>
      </c>
      <c r="D15" s="41" t="s">
        <v>48</v>
      </c>
      <c r="E15" s="42" t="s">
        <v>78</v>
      </c>
      <c r="F15" s="40" t="s">
        <v>50</v>
      </c>
      <c r="G15" s="43">
        <v>6000</v>
      </c>
      <c r="H15" s="41" t="s">
        <v>45</v>
      </c>
    </row>
    <row r="16" spans="1:9" x14ac:dyDescent="0.25">
      <c r="A16" s="40" t="s">
        <v>45</v>
      </c>
      <c r="B16" s="40" t="s">
        <v>79</v>
      </c>
      <c r="C16" s="40" t="s">
        <v>47</v>
      </c>
      <c r="D16" s="41" t="s">
        <v>48</v>
      </c>
      <c r="E16" s="42" t="s">
        <v>80</v>
      </c>
      <c r="F16" s="40" t="s">
        <v>50</v>
      </c>
      <c r="G16" s="43">
        <v>1200</v>
      </c>
      <c r="H16" s="41" t="s">
        <v>45</v>
      </c>
    </row>
    <row r="17" spans="1:8" x14ac:dyDescent="0.25">
      <c r="A17" s="40" t="s">
        <v>45</v>
      </c>
      <c r="B17" s="40" t="s">
        <v>81</v>
      </c>
      <c r="C17" s="40" t="s">
        <v>47</v>
      </c>
      <c r="D17" s="41" t="s">
        <v>48</v>
      </c>
      <c r="E17" s="42" t="s">
        <v>82</v>
      </c>
      <c r="F17" s="40" t="s">
        <v>50</v>
      </c>
      <c r="G17" s="43">
        <v>2000</v>
      </c>
      <c r="H17" s="41" t="s">
        <v>45</v>
      </c>
    </row>
    <row r="18" spans="1:8" x14ac:dyDescent="0.25">
      <c r="A18" s="40" t="s">
        <v>45</v>
      </c>
      <c r="B18" s="40" t="s">
        <v>83</v>
      </c>
      <c r="C18" s="40" t="s">
        <v>47</v>
      </c>
      <c r="D18" s="41" t="s">
        <v>48</v>
      </c>
      <c r="E18" s="42" t="s">
        <v>84</v>
      </c>
      <c r="F18" s="40" t="s">
        <v>50</v>
      </c>
      <c r="G18" s="43">
        <v>2000</v>
      </c>
      <c r="H18" s="41" t="s">
        <v>45</v>
      </c>
    </row>
    <row r="19" spans="1:8" x14ac:dyDescent="0.25">
      <c r="A19" s="40" t="s">
        <v>85</v>
      </c>
      <c r="B19" s="40" t="s">
        <v>70</v>
      </c>
      <c r="C19" s="40" t="s">
        <v>47</v>
      </c>
      <c r="D19" s="41" t="s">
        <v>48</v>
      </c>
      <c r="E19" s="42" t="s">
        <v>86</v>
      </c>
      <c r="F19" s="40" t="s">
        <v>50</v>
      </c>
      <c r="G19" s="43">
        <v>20000</v>
      </c>
      <c r="H19" s="41" t="s">
        <v>85</v>
      </c>
    </row>
    <row r="20" spans="1:8" x14ac:dyDescent="0.25">
      <c r="A20" s="40" t="s">
        <v>87</v>
      </c>
      <c r="B20" s="40" t="s">
        <v>88</v>
      </c>
      <c r="C20" s="40" t="s">
        <v>89</v>
      </c>
      <c r="D20" s="41" t="s">
        <v>48</v>
      </c>
      <c r="E20" s="42" t="s">
        <v>90</v>
      </c>
      <c r="F20" s="40" t="s">
        <v>91</v>
      </c>
      <c r="G20" s="43">
        <v>11600</v>
      </c>
      <c r="H20" s="41" t="s">
        <v>87</v>
      </c>
    </row>
    <row r="21" spans="1:8" x14ac:dyDescent="0.25">
      <c r="A21" s="40" t="s">
        <v>92</v>
      </c>
      <c r="B21" s="40" t="s">
        <v>70</v>
      </c>
      <c r="C21" s="40" t="s">
        <v>89</v>
      </c>
      <c r="D21" s="41" t="s">
        <v>48</v>
      </c>
      <c r="E21" s="42" t="s">
        <v>93</v>
      </c>
      <c r="F21" s="40" t="s">
        <v>92</v>
      </c>
      <c r="G21" s="43">
        <v>25000</v>
      </c>
      <c r="H21" s="41" t="s">
        <v>92</v>
      </c>
    </row>
    <row r="22" spans="1:8" x14ac:dyDescent="0.25">
      <c r="A22" s="40" t="s">
        <v>94</v>
      </c>
      <c r="B22" s="40" t="s">
        <v>95</v>
      </c>
      <c r="C22" s="40" t="s">
        <v>89</v>
      </c>
      <c r="D22" s="41" t="s">
        <v>48</v>
      </c>
      <c r="E22" s="42" t="s">
        <v>96</v>
      </c>
      <c r="F22" s="40" t="s">
        <v>94</v>
      </c>
      <c r="G22" s="43">
        <v>11000</v>
      </c>
      <c r="H22" s="41" t="s">
        <v>94</v>
      </c>
    </row>
    <row r="23" spans="1:8" x14ac:dyDescent="0.25">
      <c r="A23" s="40" t="s">
        <v>97</v>
      </c>
      <c r="B23" s="40" t="s">
        <v>62</v>
      </c>
      <c r="C23" s="40" t="s">
        <v>89</v>
      </c>
      <c r="D23" s="41" t="s">
        <v>48</v>
      </c>
      <c r="E23" s="42" t="s">
        <v>98</v>
      </c>
      <c r="F23" s="40" t="s">
        <v>97</v>
      </c>
      <c r="G23" s="43">
        <v>14000</v>
      </c>
      <c r="H23" s="41" t="s">
        <v>97</v>
      </c>
    </row>
    <row r="24" spans="1:8" x14ac:dyDescent="0.25">
      <c r="A24" s="40" t="s">
        <v>99</v>
      </c>
      <c r="B24" s="40" t="s">
        <v>100</v>
      </c>
      <c r="C24" s="40" t="s">
        <v>89</v>
      </c>
      <c r="D24" s="41" t="s">
        <v>48</v>
      </c>
      <c r="E24" s="42" t="s">
        <v>101</v>
      </c>
      <c r="F24" s="40" t="s">
        <v>99</v>
      </c>
      <c r="G24" s="43">
        <v>10000</v>
      </c>
      <c r="H24" s="41" t="s">
        <v>99</v>
      </c>
    </row>
    <row r="25" spans="1:8" x14ac:dyDescent="0.25">
      <c r="A25" s="40" t="s">
        <v>102</v>
      </c>
      <c r="B25" s="40" t="s">
        <v>103</v>
      </c>
      <c r="C25" s="40" t="s">
        <v>89</v>
      </c>
      <c r="D25" s="41" t="s">
        <v>48</v>
      </c>
      <c r="E25" s="42" t="s">
        <v>104</v>
      </c>
      <c r="F25" s="40"/>
      <c r="G25" s="43">
        <v>9000</v>
      </c>
      <c r="H25" s="41"/>
    </row>
    <row r="26" spans="1:8" x14ac:dyDescent="0.25">
      <c r="A26" s="40" t="s">
        <v>105</v>
      </c>
      <c r="B26" s="40" t="s">
        <v>46</v>
      </c>
      <c r="C26" s="40" t="s">
        <v>89</v>
      </c>
      <c r="D26" s="41" t="s">
        <v>48</v>
      </c>
      <c r="E26" s="42" t="s">
        <v>106</v>
      </c>
      <c r="F26" s="40" t="s">
        <v>105</v>
      </c>
      <c r="G26" s="43">
        <v>10125</v>
      </c>
      <c r="H26" s="41" t="s">
        <v>105</v>
      </c>
    </row>
    <row r="27" spans="1:8" x14ac:dyDescent="0.25">
      <c r="A27" s="40" t="s">
        <v>107</v>
      </c>
      <c r="B27" s="40" t="s">
        <v>108</v>
      </c>
      <c r="C27" s="40" t="s">
        <v>89</v>
      </c>
      <c r="D27" s="41" t="s">
        <v>48</v>
      </c>
      <c r="E27" s="42" t="s">
        <v>109</v>
      </c>
      <c r="F27" s="40" t="s">
        <v>107</v>
      </c>
      <c r="G27" s="43">
        <v>14700</v>
      </c>
      <c r="H27" s="41" t="s">
        <v>107</v>
      </c>
    </row>
    <row r="28" spans="1:8" x14ac:dyDescent="0.25">
      <c r="A28" s="40" t="s">
        <v>97</v>
      </c>
      <c r="B28" s="40" t="s">
        <v>51</v>
      </c>
      <c r="C28" s="40" t="s">
        <v>89</v>
      </c>
      <c r="D28" s="41" t="s">
        <v>48</v>
      </c>
      <c r="E28" s="42" t="s">
        <v>110</v>
      </c>
      <c r="F28" s="40" t="s">
        <v>97</v>
      </c>
      <c r="G28" s="43">
        <v>10000</v>
      </c>
      <c r="H28" s="41" t="s">
        <v>97</v>
      </c>
    </row>
    <row r="29" spans="1:8" x14ac:dyDescent="0.25">
      <c r="A29" s="40" t="s">
        <v>111</v>
      </c>
      <c r="B29" s="40" t="s">
        <v>68</v>
      </c>
      <c r="C29" s="40" t="s">
        <v>89</v>
      </c>
      <c r="D29" s="41" t="s">
        <v>48</v>
      </c>
      <c r="E29" s="42" t="s">
        <v>112</v>
      </c>
      <c r="F29" s="40" t="s">
        <v>111</v>
      </c>
      <c r="G29" s="43">
        <v>10400</v>
      </c>
      <c r="H29" s="41" t="s">
        <v>111</v>
      </c>
    </row>
    <row r="30" spans="1:8" x14ac:dyDescent="0.25">
      <c r="A30" s="40" t="s">
        <v>99</v>
      </c>
      <c r="B30" s="40" t="s">
        <v>113</v>
      </c>
      <c r="C30" s="40" t="s">
        <v>89</v>
      </c>
      <c r="D30" s="41" t="s">
        <v>48</v>
      </c>
      <c r="E30" s="42" t="s">
        <v>114</v>
      </c>
      <c r="F30" s="40" t="s">
        <v>99</v>
      </c>
      <c r="G30" s="43">
        <v>11600</v>
      </c>
      <c r="H30" s="41" t="s">
        <v>99</v>
      </c>
    </row>
    <row r="31" spans="1:8" x14ac:dyDescent="0.25">
      <c r="A31" s="40" t="s">
        <v>102</v>
      </c>
      <c r="B31" s="40" t="s">
        <v>103</v>
      </c>
      <c r="C31" s="40" t="s">
        <v>89</v>
      </c>
      <c r="D31" s="41" t="s">
        <v>48</v>
      </c>
      <c r="E31" s="42" t="s">
        <v>115</v>
      </c>
      <c r="F31" s="40"/>
      <c r="G31" s="43">
        <v>9000</v>
      </c>
      <c r="H31" s="41"/>
    </row>
    <row r="32" spans="1:8" x14ac:dyDescent="0.25">
      <c r="A32" s="40" t="s">
        <v>116</v>
      </c>
      <c r="B32" s="40" t="s">
        <v>88</v>
      </c>
      <c r="C32" s="40" t="s">
        <v>89</v>
      </c>
      <c r="D32" s="41" t="s">
        <v>48</v>
      </c>
      <c r="E32" s="42" t="s">
        <v>117</v>
      </c>
      <c r="F32" s="40" t="s">
        <v>116</v>
      </c>
      <c r="G32" s="43">
        <v>19600</v>
      </c>
      <c r="H32" s="41" t="s">
        <v>116</v>
      </c>
    </row>
    <row r="33" spans="1:8" x14ac:dyDescent="0.25">
      <c r="A33" s="40" t="s">
        <v>97</v>
      </c>
      <c r="B33" s="40" t="s">
        <v>53</v>
      </c>
      <c r="C33" s="40" t="s">
        <v>89</v>
      </c>
      <c r="D33" s="41" t="s">
        <v>48</v>
      </c>
      <c r="E33" s="42" t="s">
        <v>118</v>
      </c>
      <c r="F33" s="40" t="s">
        <v>97</v>
      </c>
      <c r="G33" s="43">
        <v>15200</v>
      </c>
      <c r="H33" s="41" t="s">
        <v>97</v>
      </c>
    </row>
    <row r="34" spans="1:8" x14ac:dyDescent="0.25">
      <c r="A34" s="40" t="s">
        <v>119</v>
      </c>
      <c r="B34" s="40" t="s">
        <v>120</v>
      </c>
      <c r="C34" s="40" t="s">
        <v>89</v>
      </c>
      <c r="D34" s="41" t="s">
        <v>48</v>
      </c>
      <c r="E34" s="42" t="s">
        <v>121</v>
      </c>
      <c r="F34" s="40" t="s">
        <v>119</v>
      </c>
      <c r="G34" s="43">
        <v>17600</v>
      </c>
      <c r="H34" s="41" t="s">
        <v>119</v>
      </c>
    </row>
    <row r="35" spans="1:8" x14ac:dyDescent="0.25">
      <c r="A35" s="40" t="s">
        <v>122</v>
      </c>
      <c r="B35" s="40" t="s">
        <v>123</v>
      </c>
      <c r="C35" s="40" t="s">
        <v>89</v>
      </c>
      <c r="D35" s="41" t="s">
        <v>48</v>
      </c>
      <c r="E35" s="42" t="s">
        <v>124</v>
      </c>
      <c r="F35" s="40" t="s">
        <v>122</v>
      </c>
      <c r="G35" s="43">
        <v>15600</v>
      </c>
      <c r="H35" s="41" t="s">
        <v>122</v>
      </c>
    </row>
    <row r="36" spans="1:8" x14ac:dyDescent="0.25">
      <c r="A36" s="40" t="s">
        <v>125</v>
      </c>
      <c r="B36" s="40" t="s">
        <v>126</v>
      </c>
      <c r="C36" s="40" t="s">
        <v>89</v>
      </c>
      <c r="D36" s="41" t="s">
        <v>48</v>
      </c>
      <c r="E36" s="42" t="s">
        <v>127</v>
      </c>
      <c r="F36" s="40" t="s">
        <v>125</v>
      </c>
      <c r="G36" s="43">
        <v>6000</v>
      </c>
      <c r="H36" s="41" t="s">
        <v>125</v>
      </c>
    </row>
    <row r="37" spans="1:8" x14ac:dyDescent="0.25">
      <c r="A37" s="40" t="s">
        <v>105</v>
      </c>
      <c r="B37" s="40" t="s">
        <v>70</v>
      </c>
      <c r="C37" s="40" t="s">
        <v>89</v>
      </c>
      <c r="D37" s="41" t="s">
        <v>48</v>
      </c>
      <c r="E37" s="42" t="s">
        <v>128</v>
      </c>
      <c r="F37" s="40" t="s">
        <v>105</v>
      </c>
      <c r="G37" s="43">
        <v>30000</v>
      </c>
      <c r="H37" s="41" t="s">
        <v>105</v>
      </c>
    </row>
    <row r="38" spans="1:8" x14ac:dyDescent="0.25">
      <c r="A38" s="40" t="s">
        <v>129</v>
      </c>
      <c r="B38" s="40" t="s">
        <v>88</v>
      </c>
      <c r="C38" s="40" t="s">
        <v>89</v>
      </c>
      <c r="D38" s="41" t="s">
        <v>48</v>
      </c>
      <c r="E38" s="42" t="s">
        <v>130</v>
      </c>
      <c r="F38" s="40" t="s">
        <v>129</v>
      </c>
      <c r="G38" s="43">
        <v>10400</v>
      </c>
      <c r="H38" s="41" t="s">
        <v>129</v>
      </c>
    </row>
    <row r="39" spans="1:8" x14ac:dyDescent="0.25">
      <c r="A39" s="40" t="s">
        <v>122</v>
      </c>
      <c r="B39" s="40" t="s">
        <v>131</v>
      </c>
      <c r="C39" s="40" t="s">
        <v>89</v>
      </c>
      <c r="D39" s="41" t="s">
        <v>48</v>
      </c>
      <c r="E39" s="42" t="s">
        <v>132</v>
      </c>
      <c r="F39" s="40" t="s">
        <v>122</v>
      </c>
      <c r="G39" s="43">
        <v>10000</v>
      </c>
      <c r="H39" s="41" t="s">
        <v>122</v>
      </c>
    </row>
    <row r="40" spans="1:8" x14ac:dyDescent="0.25">
      <c r="A40" s="40" t="s">
        <v>133</v>
      </c>
      <c r="B40" s="40" t="s">
        <v>134</v>
      </c>
      <c r="C40" s="40" t="s">
        <v>89</v>
      </c>
      <c r="D40" s="41" t="s">
        <v>48</v>
      </c>
      <c r="E40" s="42" t="s">
        <v>135</v>
      </c>
      <c r="F40" s="40" t="s">
        <v>133</v>
      </c>
      <c r="G40" s="43">
        <v>25000</v>
      </c>
      <c r="H40" s="41" t="s">
        <v>133</v>
      </c>
    </row>
    <row r="41" spans="1:8" x14ac:dyDescent="0.25">
      <c r="A41" s="40" t="s">
        <v>136</v>
      </c>
      <c r="B41" s="40" t="s">
        <v>68</v>
      </c>
      <c r="C41" s="40" t="s">
        <v>89</v>
      </c>
      <c r="D41" s="41" t="s">
        <v>48</v>
      </c>
      <c r="E41" s="42" t="s">
        <v>137</v>
      </c>
      <c r="F41" s="40" t="s">
        <v>136</v>
      </c>
      <c r="G41" s="43">
        <v>16400</v>
      </c>
      <c r="H41" s="41" t="s">
        <v>136</v>
      </c>
    </row>
    <row r="42" spans="1:8" x14ac:dyDescent="0.25">
      <c r="A42" s="40" t="s">
        <v>138</v>
      </c>
      <c r="B42" s="40" t="s">
        <v>53</v>
      </c>
      <c r="C42" s="40" t="s">
        <v>89</v>
      </c>
      <c r="D42" s="41" t="s">
        <v>48</v>
      </c>
      <c r="E42" s="42" t="s">
        <v>139</v>
      </c>
      <c r="F42" s="40" t="s">
        <v>140</v>
      </c>
      <c r="G42" s="43">
        <v>22400</v>
      </c>
      <c r="H42" s="41" t="s">
        <v>138</v>
      </c>
    </row>
    <row r="43" spans="1:8" x14ac:dyDescent="0.25">
      <c r="A43" s="40" t="s">
        <v>107</v>
      </c>
      <c r="B43" s="40" t="s">
        <v>141</v>
      </c>
      <c r="C43" s="40" t="s">
        <v>89</v>
      </c>
      <c r="D43" s="41" t="s">
        <v>48</v>
      </c>
      <c r="E43" s="42" t="s">
        <v>142</v>
      </c>
      <c r="F43" s="40" t="s">
        <v>143</v>
      </c>
      <c r="G43" s="43">
        <v>13000</v>
      </c>
      <c r="H43" s="41" t="s">
        <v>107</v>
      </c>
    </row>
    <row r="44" spans="1:8" x14ac:dyDescent="0.25">
      <c r="A44" s="40" t="s">
        <v>107</v>
      </c>
      <c r="B44" s="40" t="s">
        <v>141</v>
      </c>
      <c r="C44" s="40" t="s">
        <v>89</v>
      </c>
      <c r="D44" s="41" t="s">
        <v>48</v>
      </c>
      <c r="E44" s="42" t="s">
        <v>144</v>
      </c>
      <c r="F44" s="40" t="s">
        <v>145</v>
      </c>
      <c r="G44" s="43">
        <v>19000</v>
      </c>
      <c r="H44" s="4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7"/>
  <sheetViews>
    <sheetView topLeftCell="A35" workbookViewId="0">
      <selection activeCell="AF4" sqref="AF4"/>
    </sheetView>
  </sheetViews>
  <sheetFormatPr defaultRowHeight="14.25" x14ac:dyDescent="0.2"/>
  <cols>
    <col min="1" max="1" width="7.140625" style="117" customWidth="1"/>
    <col min="2" max="2" width="7.140625" style="48" customWidth="1"/>
    <col min="3" max="3" width="15.42578125" style="118" customWidth="1"/>
    <col min="4" max="4" width="24.42578125" style="48" customWidth="1"/>
    <col min="5" max="5" width="12.140625" style="48" hidden="1" customWidth="1"/>
    <col min="6" max="6" width="18.140625" style="48" hidden="1" customWidth="1"/>
    <col min="7" max="7" width="18" style="48" hidden="1" customWidth="1"/>
    <col min="8" max="8" width="6.28515625" style="48" hidden="1" customWidth="1"/>
    <col min="9" max="9" width="9" style="48" hidden="1" customWidth="1"/>
    <col min="10" max="10" width="9.7109375" style="48" hidden="1" customWidth="1"/>
    <col min="11" max="11" width="30" style="48" hidden="1" customWidth="1"/>
    <col min="12" max="12" width="13.5703125" style="119" hidden="1" customWidth="1"/>
    <col min="13" max="13" width="11.7109375" style="120" hidden="1" customWidth="1"/>
    <col min="14" max="14" width="13" style="48" hidden="1" customWidth="1"/>
    <col min="15" max="16" width="13.5703125" style="48" hidden="1" customWidth="1"/>
    <col min="17" max="17" width="13" style="48" hidden="1" customWidth="1"/>
    <col min="18" max="18" width="12.85546875" style="48" hidden="1" customWidth="1"/>
    <col min="19" max="19" width="16" style="48" hidden="1" customWidth="1"/>
    <col min="20" max="20" width="11.7109375" style="48" hidden="1" customWidth="1"/>
    <col min="21" max="21" width="11.85546875" style="48" hidden="1" customWidth="1"/>
    <col min="22" max="22" width="7.5703125" style="48" hidden="1" customWidth="1"/>
    <col min="23" max="23" width="19.42578125" style="118" bestFit="1" customWidth="1"/>
    <col min="24" max="24" width="51.5703125" style="48" customWidth="1"/>
    <col min="25" max="25" width="15.85546875" style="118" bestFit="1" customWidth="1"/>
    <col min="26" max="26" width="14.7109375" style="118" customWidth="1"/>
    <col min="27" max="27" width="18.7109375" style="124" customWidth="1"/>
    <col min="28" max="28" width="37.5703125" style="124" customWidth="1"/>
    <col min="29" max="29" width="39.85546875" style="48" customWidth="1"/>
    <col min="30" max="30" width="25.140625" style="48" customWidth="1"/>
    <col min="31" max="31" width="24.85546875" style="48" bestFit="1" customWidth="1"/>
    <col min="32" max="16384" width="9.140625" style="48"/>
  </cols>
  <sheetData>
    <row r="1" spans="1:68" ht="22.5" customHeight="1" x14ac:dyDescent="0.25">
      <c r="A1" s="45" t="s">
        <v>235</v>
      </c>
      <c r="B1" s="45"/>
      <c r="C1" s="45"/>
      <c r="D1" s="45"/>
      <c r="E1" s="45"/>
      <c r="F1" s="45"/>
      <c r="G1" s="45"/>
      <c r="H1" s="46"/>
      <c r="I1" s="46"/>
      <c r="J1" s="46"/>
      <c r="K1" s="46"/>
      <c r="L1" s="47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  <c r="Y1" s="47"/>
      <c r="Z1" s="47"/>
      <c r="AA1" s="49">
        <f>AA23+AA39</f>
        <v>0</v>
      </c>
      <c r="AB1" s="49"/>
    </row>
    <row r="2" spans="1:68" ht="49.5" customHeight="1" x14ac:dyDescent="0.2">
      <c r="A2" s="50" t="s">
        <v>236</v>
      </c>
      <c r="B2" s="51" t="s">
        <v>237</v>
      </c>
      <c r="C2" s="51" t="s">
        <v>238</v>
      </c>
      <c r="D2" s="51" t="s">
        <v>239</v>
      </c>
      <c r="E2" s="51" t="s">
        <v>240</v>
      </c>
      <c r="F2" s="51" t="s">
        <v>241</v>
      </c>
      <c r="G2" s="51" t="s">
        <v>242</v>
      </c>
      <c r="H2" s="51" t="s">
        <v>243</v>
      </c>
      <c r="I2" s="51" t="s">
        <v>244</v>
      </c>
      <c r="J2" s="51" t="s">
        <v>245</v>
      </c>
      <c r="K2" s="51" t="s">
        <v>246</v>
      </c>
      <c r="L2" s="52" t="s">
        <v>247</v>
      </c>
      <c r="M2" s="52" t="s">
        <v>248</v>
      </c>
      <c r="N2" s="51" t="s">
        <v>249</v>
      </c>
      <c r="O2" s="53" t="s">
        <v>250</v>
      </c>
      <c r="P2" s="53" t="s">
        <v>251</v>
      </c>
      <c r="Q2" s="53" t="s">
        <v>252</v>
      </c>
      <c r="R2" s="53" t="s">
        <v>249</v>
      </c>
      <c r="S2" s="53" t="s">
        <v>253</v>
      </c>
      <c r="T2" s="51" t="s">
        <v>254</v>
      </c>
      <c r="U2" s="53" t="s">
        <v>255</v>
      </c>
      <c r="V2" s="53" t="s">
        <v>249</v>
      </c>
      <c r="W2" s="54" t="s">
        <v>256</v>
      </c>
      <c r="X2" s="51" t="s">
        <v>257</v>
      </c>
      <c r="Y2" s="55" t="s">
        <v>258</v>
      </c>
      <c r="Z2" s="53" t="s">
        <v>259</v>
      </c>
      <c r="AA2" s="56" t="s">
        <v>260</v>
      </c>
      <c r="AB2" s="57" t="s">
        <v>261</v>
      </c>
      <c r="AC2" s="51" t="s">
        <v>262</v>
      </c>
      <c r="AD2" s="58" t="s">
        <v>263</v>
      </c>
    </row>
    <row r="3" spans="1:68" s="72" customFormat="1" ht="30" customHeight="1" x14ac:dyDescent="0.2">
      <c r="A3" s="59">
        <v>1</v>
      </c>
      <c r="B3" s="59">
        <v>82</v>
      </c>
      <c r="C3" s="60" t="s">
        <v>264</v>
      </c>
      <c r="D3" s="61" t="s">
        <v>265</v>
      </c>
      <c r="E3" s="62">
        <v>0</v>
      </c>
      <c r="F3" s="63">
        <v>9884823194</v>
      </c>
      <c r="G3" s="63"/>
      <c r="H3" s="63">
        <v>250</v>
      </c>
      <c r="I3" s="64">
        <v>15000</v>
      </c>
      <c r="J3" s="64">
        <v>10000</v>
      </c>
      <c r="K3" s="65" t="s">
        <v>266</v>
      </c>
      <c r="L3" s="66">
        <v>150000</v>
      </c>
      <c r="M3" s="64">
        <f>20500+129500</f>
        <v>150000</v>
      </c>
      <c r="N3" s="63" t="s">
        <v>267</v>
      </c>
      <c r="O3" s="64">
        <f t="shared" ref="O3:O22" si="0">SUM(L3-M3)</f>
        <v>0</v>
      </c>
      <c r="P3" s="64">
        <f>SUM(O3+150000+1000)</f>
        <v>151000</v>
      </c>
      <c r="Q3" s="63">
        <f>51000+50000</f>
        <v>101000</v>
      </c>
      <c r="R3" s="63" t="s">
        <v>268</v>
      </c>
      <c r="S3" s="67">
        <f>SUM(O3+P3-Q3)+585</f>
        <v>50585</v>
      </c>
      <c r="T3" s="64">
        <f>SUM(S3+70000)+5000</f>
        <v>125585</v>
      </c>
      <c r="U3" s="64">
        <v>0</v>
      </c>
      <c r="V3" s="64"/>
      <c r="W3" s="68"/>
      <c r="X3" s="63" t="s">
        <v>269</v>
      </c>
      <c r="Y3" s="69"/>
      <c r="Z3" s="69"/>
      <c r="AA3" s="70"/>
      <c r="AB3" s="69"/>
      <c r="AC3" s="71"/>
      <c r="AD3" s="63"/>
    </row>
    <row r="4" spans="1:68" s="72" customFormat="1" ht="30" customHeight="1" x14ac:dyDescent="0.25">
      <c r="A4" s="73">
        <v>2</v>
      </c>
      <c r="B4" s="73">
        <v>84</v>
      </c>
      <c r="C4" s="74" t="s">
        <v>270</v>
      </c>
      <c r="D4" s="75" t="s">
        <v>271</v>
      </c>
      <c r="E4" s="76"/>
      <c r="F4" s="77">
        <v>9451529861</v>
      </c>
      <c r="G4" s="77"/>
      <c r="H4" s="77">
        <v>250</v>
      </c>
      <c r="I4" s="78">
        <v>15000</v>
      </c>
      <c r="J4" s="79">
        <v>10000</v>
      </c>
      <c r="K4" s="80" t="s">
        <v>272</v>
      </c>
      <c r="L4" s="81">
        <v>150000</v>
      </c>
      <c r="M4" s="82">
        <f>30500+119500</f>
        <v>150000</v>
      </c>
      <c r="N4" s="77" t="s">
        <v>273</v>
      </c>
      <c r="O4" s="78">
        <f t="shared" si="0"/>
        <v>0</v>
      </c>
      <c r="P4" s="78">
        <f t="shared" ref="P4:P22" si="1">SUM(O4+150000+585)</f>
        <v>150585</v>
      </c>
      <c r="Q4" s="78">
        <f>585+150000</f>
        <v>150585</v>
      </c>
      <c r="R4" s="78" t="s">
        <v>274</v>
      </c>
      <c r="S4" s="78">
        <f t="shared" ref="S4:S22" si="2">SUM(O4+P4-Q4)</f>
        <v>0</v>
      </c>
      <c r="T4" s="78">
        <f>SUM(S4+70000)</f>
        <v>70000</v>
      </c>
      <c r="U4" s="78">
        <v>70000</v>
      </c>
      <c r="V4" s="78" t="s">
        <v>274</v>
      </c>
      <c r="W4" s="83"/>
      <c r="X4" s="77" t="s">
        <v>275</v>
      </c>
      <c r="Y4" s="83"/>
      <c r="Z4" s="83"/>
      <c r="AA4" s="83"/>
      <c r="AB4" s="84"/>
      <c r="AC4" s="85"/>
      <c r="AD4" s="63"/>
    </row>
    <row r="5" spans="1:68" s="72" customFormat="1" ht="30" customHeight="1" x14ac:dyDescent="0.25">
      <c r="A5" s="73">
        <v>3</v>
      </c>
      <c r="B5" s="73">
        <v>86</v>
      </c>
      <c r="C5" s="74" t="s">
        <v>276</v>
      </c>
      <c r="D5" s="75" t="s">
        <v>277</v>
      </c>
      <c r="E5" s="76">
        <v>0</v>
      </c>
      <c r="F5" s="77">
        <v>9962193858</v>
      </c>
      <c r="G5" s="77"/>
      <c r="H5" s="77">
        <v>250</v>
      </c>
      <c r="I5" s="78">
        <v>15000</v>
      </c>
      <c r="J5" s="79">
        <v>10000</v>
      </c>
      <c r="K5" s="80" t="s">
        <v>278</v>
      </c>
      <c r="L5" s="81">
        <v>153000</v>
      </c>
      <c r="M5" s="82">
        <f>25000+26000+25000+40000+37000</f>
        <v>153000</v>
      </c>
      <c r="N5" s="77" t="s">
        <v>279</v>
      </c>
      <c r="O5" s="78">
        <f t="shared" si="0"/>
        <v>0</v>
      </c>
      <c r="P5" s="78">
        <f>SUM(O5+30500*5)</f>
        <v>152500</v>
      </c>
      <c r="Q5" s="78">
        <f>30500+30500+30500+30500+30500</f>
        <v>152500</v>
      </c>
      <c r="R5" s="78" t="s">
        <v>268</v>
      </c>
      <c r="S5" s="78">
        <f t="shared" si="2"/>
        <v>0</v>
      </c>
      <c r="T5" s="78">
        <f>SUM(S5+72000)</f>
        <v>72000</v>
      </c>
      <c r="U5" s="78">
        <f>18000+18000+18000+18000</f>
        <v>72000</v>
      </c>
      <c r="V5" s="78" t="s">
        <v>268</v>
      </c>
      <c r="W5" s="83"/>
      <c r="X5" s="77"/>
      <c r="Y5" s="83"/>
      <c r="Z5" s="83"/>
      <c r="AA5" s="83"/>
      <c r="AB5" s="84"/>
      <c r="AC5" s="77"/>
      <c r="AD5" s="63"/>
    </row>
    <row r="6" spans="1:68" s="72" customFormat="1" ht="30" customHeight="1" x14ac:dyDescent="0.25">
      <c r="A6" s="73">
        <v>4</v>
      </c>
      <c r="B6" s="73">
        <v>88</v>
      </c>
      <c r="C6" s="73" t="s">
        <v>280</v>
      </c>
      <c r="D6" s="86" t="s">
        <v>281</v>
      </c>
      <c r="E6" s="77">
        <v>0</v>
      </c>
      <c r="F6" s="77">
        <v>9566020939</v>
      </c>
      <c r="G6" s="77"/>
      <c r="H6" s="77">
        <v>250</v>
      </c>
      <c r="I6" s="78">
        <v>15000</v>
      </c>
      <c r="J6" s="79">
        <v>10000</v>
      </c>
      <c r="K6" s="80" t="s">
        <v>282</v>
      </c>
      <c r="L6" s="81">
        <v>150000</v>
      </c>
      <c r="M6" s="82">
        <v>150000</v>
      </c>
      <c r="N6" s="77" t="s">
        <v>267</v>
      </c>
      <c r="O6" s="78">
        <f t="shared" si="0"/>
        <v>0</v>
      </c>
      <c r="P6" s="78">
        <f t="shared" si="1"/>
        <v>150585</v>
      </c>
      <c r="Q6" s="78">
        <f>150000+585</f>
        <v>150585</v>
      </c>
      <c r="R6" s="78" t="s">
        <v>268</v>
      </c>
      <c r="S6" s="78">
        <f t="shared" si="2"/>
        <v>0</v>
      </c>
      <c r="T6" s="78">
        <f>SUM(S6+70000)+5000</f>
        <v>75000</v>
      </c>
      <c r="U6" s="78">
        <f>17500+52500+5000</f>
        <v>75000</v>
      </c>
      <c r="V6" s="78" t="s">
        <v>268</v>
      </c>
      <c r="W6" s="83"/>
      <c r="X6" s="77"/>
      <c r="Y6" s="83"/>
      <c r="Z6" s="83"/>
      <c r="AA6" s="83"/>
      <c r="AB6" s="84"/>
      <c r="AC6" s="78"/>
      <c r="AD6" s="87" t="s">
        <v>283</v>
      </c>
    </row>
    <row r="7" spans="1:68" ht="85.5" x14ac:dyDescent="0.25">
      <c r="A7" s="88">
        <v>5</v>
      </c>
      <c r="B7" s="88">
        <v>90</v>
      </c>
      <c r="C7" s="88" t="s">
        <v>284</v>
      </c>
      <c r="D7" s="89" t="s">
        <v>285</v>
      </c>
      <c r="E7" s="90">
        <v>0</v>
      </c>
      <c r="F7" s="90">
        <v>8754226525</v>
      </c>
      <c r="G7" s="90"/>
      <c r="H7" s="90">
        <v>250</v>
      </c>
      <c r="I7" s="91">
        <v>15000</v>
      </c>
      <c r="J7" s="92">
        <v>10000</v>
      </c>
      <c r="K7" s="93" t="s">
        <v>286</v>
      </c>
      <c r="L7" s="94">
        <v>150000</v>
      </c>
      <c r="M7" s="95">
        <v>15000</v>
      </c>
      <c r="N7" s="90" t="s">
        <v>287</v>
      </c>
      <c r="O7" s="91">
        <f t="shared" si="0"/>
        <v>135000</v>
      </c>
      <c r="P7" s="91">
        <f>SUM(O7+150000)</f>
        <v>285000</v>
      </c>
      <c r="Q7" s="91">
        <f>249980+25000+9000</f>
        <v>283980</v>
      </c>
      <c r="R7" s="91" t="s">
        <v>288</v>
      </c>
      <c r="S7" s="91">
        <f>SUM(P7-Q7)</f>
        <v>1020</v>
      </c>
      <c r="T7" s="91">
        <f>SUM(S7+70000)+585</f>
        <v>71605</v>
      </c>
      <c r="U7" s="91">
        <v>50000</v>
      </c>
      <c r="V7" s="91" t="s">
        <v>288</v>
      </c>
      <c r="W7" s="68"/>
      <c r="X7" s="90"/>
      <c r="Y7" s="68"/>
      <c r="Z7" s="68"/>
      <c r="AA7" s="68"/>
      <c r="AB7" s="96"/>
      <c r="AC7" s="97"/>
      <c r="AE7" s="87" t="s">
        <v>289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</row>
    <row r="8" spans="1:68" ht="55.5" customHeight="1" x14ac:dyDescent="0.25">
      <c r="A8" s="73">
        <v>6</v>
      </c>
      <c r="B8" s="73">
        <v>92</v>
      </c>
      <c r="C8" s="73" t="s">
        <v>290</v>
      </c>
      <c r="D8" s="86" t="s">
        <v>291</v>
      </c>
      <c r="E8" s="73" t="s">
        <v>292</v>
      </c>
      <c r="F8" s="77">
        <v>9003446932</v>
      </c>
      <c r="G8" s="77"/>
      <c r="H8" s="77">
        <v>250</v>
      </c>
      <c r="I8" s="78">
        <v>15000</v>
      </c>
      <c r="J8" s="79">
        <v>10000</v>
      </c>
      <c r="K8" s="80" t="s">
        <v>293</v>
      </c>
      <c r="L8" s="81">
        <v>165000</v>
      </c>
      <c r="M8" s="82">
        <f>20000+40000+50000+55000</f>
        <v>165000</v>
      </c>
      <c r="N8" s="77" t="s">
        <v>294</v>
      </c>
      <c r="O8" s="78">
        <f t="shared" si="0"/>
        <v>0</v>
      </c>
      <c r="P8" s="78">
        <f>SUM(O8+150000+1000)</f>
        <v>151000</v>
      </c>
      <c r="Q8" s="78">
        <f>30000+40000+81000</f>
        <v>151000</v>
      </c>
      <c r="R8" s="78"/>
      <c r="S8" s="78">
        <f t="shared" si="2"/>
        <v>0</v>
      </c>
      <c r="T8" s="78">
        <f>SUM(S8+70000)+585</f>
        <v>70585</v>
      </c>
      <c r="U8" s="78">
        <f>10000+40000</f>
        <v>50000</v>
      </c>
      <c r="V8" s="78" t="s">
        <v>8</v>
      </c>
      <c r="W8" s="83"/>
      <c r="X8" s="77"/>
      <c r="Y8" s="83"/>
      <c r="Z8" s="83"/>
      <c r="AA8" s="83"/>
      <c r="AB8" s="84"/>
      <c r="AC8" s="85"/>
      <c r="AD8" s="63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</row>
    <row r="9" spans="1:68" ht="42.75" customHeight="1" x14ac:dyDescent="0.25">
      <c r="A9" s="73">
        <v>7</v>
      </c>
      <c r="B9" s="73">
        <v>94</v>
      </c>
      <c r="C9" s="73" t="s">
        <v>295</v>
      </c>
      <c r="D9" s="86" t="s">
        <v>296</v>
      </c>
      <c r="E9" s="77">
        <v>0</v>
      </c>
      <c r="F9" s="77">
        <v>9789098169</v>
      </c>
      <c r="G9" s="77"/>
      <c r="H9" s="77">
        <v>250</v>
      </c>
      <c r="I9" s="78">
        <v>15000</v>
      </c>
      <c r="J9" s="79">
        <v>10000</v>
      </c>
      <c r="K9" s="98"/>
      <c r="L9" s="81">
        <v>167500</v>
      </c>
      <c r="M9" s="82">
        <f>33500+33500+67000+33500</f>
        <v>167500</v>
      </c>
      <c r="N9" s="77" t="s">
        <v>267</v>
      </c>
      <c r="O9" s="78">
        <f t="shared" si="0"/>
        <v>0</v>
      </c>
      <c r="P9" s="78">
        <f>SUM(O9+33500*5+585)</f>
        <v>168085</v>
      </c>
      <c r="Q9" s="78">
        <f>34085+67000+33500+33500</f>
        <v>168085</v>
      </c>
      <c r="R9" s="78" t="s">
        <v>288</v>
      </c>
      <c r="S9" s="78">
        <f t="shared" si="2"/>
        <v>0</v>
      </c>
      <c r="T9" s="78">
        <f>SUM(S9+71000)+585</f>
        <v>71585</v>
      </c>
      <c r="U9" s="78">
        <f>36085+35500</f>
        <v>71585</v>
      </c>
      <c r="V9" s="78" t="s">
        <v>268</v>
      </c>
      <c r="W9" s="83"/>
      <c r="X9" s="77" t="s">
        <v>297</v>
      </c>
      <c r="Y9" s="83"/>
      <c r="Z9" s="83"/>
      <c r="AA9" s="83"/>
      <c r="AB9" s="84"/>
      <c r="AC9" s="85"/>
      <c r="AD9" s="87" t="s">
        <v>298</v>
      </c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</row>
    <row r="10" spans="1:68" s="72" customFormat="1" ht="51.75" customHeight="1" x14ac:dyDescent="0.25">
      <c r="A10" s="73">
        <v>8</v>
      </c>
      <c r="B10" s="73">
        <v>96</v>
      </c>
      <c r="C10" s="73" t="s">
        <v>299</v>
      </c>
      <c r="D10" s="86" t="s">
        <v>300</v>
      </c>
      <c r="E10" s="77" t="s">
        <v>292</v>
      </c>
      <c r="F10" s="77">
        <v>9962625172</v>
      </c>
      <c r="G10" s="77"/>
      <c r="H10" s="99">
        <v>250</v>
      </c>
      <c r="I10" s="79">
        <v>15000</v>
      </c>
      <c r="J10" s="79">
        <v>10000</v>
      </c>
      <c r="K10" s="80" t="s">
        <v>301</v>
      </c>
      <c r="L10" s="81">
        <v>150000</v>
      </c>
      <c r="M10" s="82">
        <f>153250-3250</f>
        <v>150000</v>
      </c>
      <c r="N10" s="77" t="s">
        <v>267</v>
      </c>
      <c r="O10" s="78">
        <f t="shared" si="0"/>
        <v>0</v>
      </c>
      <c r="P10" s="78">
        <f t="shared" si="1"/>
        <v>150585</v>
      </c>
      <c r="Q10" s="78">
        <v>153500</v>
      </c>
      <c r="R10" s="78" t="s">
        <v>288</v>
      </c>
      <c r="S10" s="78">
        <v>0</v>
      </c>
      <c r="T10" s="78">
        <f>SUM(S10+70000)+1000</f>
        <v>71000</v>
      </c>
      <c r="U10" s="78">
        <f>10000+63500</f>
        <v>73500</v>
      </c>
      <c r="V10" s="78" t="s">
        <v>8</v>
      </c>
      <c r="W10" s="83"/>
      <c r="X10" s="77" t="s">
        <v>302</v>
      </c>
      <c r="Y10" s="83"/>
      <c r="Z10" s="83"/>
      <c r="AA10" s="83"/>
      <c r="AB10" s="84"/>
      <c r="AC10" s="100"/>
      <c r="AD10" s="63"/>
    </row>
    <row r="11" spans="1:68" s="72" customFormat="1" ht="63" customHeight="1" x14ac:dyDescent="0.25">
      <c r="A11" s="88">
        <v>9</v>
      </c>
      <c r="B11" s="101">
        <v>98</v>
      </c>
      <c r="C11" s="101" t="s">
        <v>303</v>
      </c>
      <c r="D11" s="89" t="s">
        <v>304</v>
      </c>
      <c r="E11" s="90">
        <v>0</v>
      </c>
      <c r="F11" s="90">
        <v>9597814602</v>
      </c>
      <c r="G11" s="90"/>
      <c r="H11" s="90">
        <v>250</v>
      </c>
      <c r="I11" s="91">
        <v>15000</v>
      </c>
      <c r="J11" s="91">
        <v>10000</v>
      </c>
      <c r="K11" s="102"/>
      <c r="L11" s="94">
        <v>150000</v>
      </c>
      <c r="M11" s="95">
        <v>150000</v>
      </c>
      <c r="N11" s="90" t="s">
        <v>294</v>
      </c>
      <c r="O11" s="91">
        <f t="shared" si="0"/>
        <v>0</v>
      </c>
      <c r="P11" s="91">
        <f>SUM(O11+150000)</f>
        <v>150000</v>
      </c>
      <c r="Q11" s="91">
        <v>150000</v>
      </c>
      <c r="R11" s="91" t="s">
        <v>274</v>
      </c>
      <c r="S11" s="91">
        <f t="shared" si="2"/>
        <v>0</v>
      </c>
      <c r="T11" s="91">
        <f>SUM(S11+70000)</f>
        <v>70000</v>
      </c>
      <c r="U11" s="91">
        <v>70000</v>
      </c>
      <c r="V11" s="91" t="s">
        <v>274</v>
      </c>
      <c r="W11" s="68"/>
      <c r="X11" s="90"/>
      <c r="Y11" s="68"/>
      <c r="Z11" s="68"/>
      <c r="AA11" s="68"/>
      <c r="AB11" s="96"/>
      <c r="AC11" s="97"/>
      <c r="AD11" s="63"/>
    </row>
    <row r="12" spans="1:68" s="72" customFormat="1" ht="30" customHeight="1" x14ac:dyDescent="0.25">
      <c r="A12" s="73">
        <v>10</v>
      </c>
      <c r="B12" s="73">
        <v>136</v>
      </c>
      <c r="C12" s="73" t="s">
        <v>305</v>
      </c>
      <c r="D12" s="86" t="s">
        <v>306</v>
      </c>
      <c r="E12" s="77">
        <v>0</v>
      </c>
      <c r="F12" s="77">
        <v>9961538831</v>
      </c>
      <c r="G12" s="77"/>
      <c r="H12" s="99">
        <v>250</v>
      </c>
      <c r="I12" s="78">
        <v>15000</v>
      </c>
      <c r="J12" s="79">
        <v>10000</v>
      </c>
      <c r="K12" s="98"/>
      <c r="L12" s="81">
        <v>150000</v>
      </c>
      <c r="M12" s="82">
        <f>15000+10000+60000+65000</f>
        <v>150000</v>
      </c>
      <c r="N12" s="77" t="s">
        <v>274</v>
      </c>
      <c r="O12" s="78">
        <f t="shared" si="0"/>
        <v>0</v>
      </c>
      <c r="P12" s="78">
        <f t="shared" si="1"/>
        <v>150585</v>
      </c>
      <c r="Q12" s="78">
        <f>150000+585</f>
        <v>150585</v>
      </c>
      <c r="R12" s="78" t="s">
        <v>307</v>
      </c>
      <c r="S12" s="78">
        <f t="shared" si="2"/>
        <v>0</v>
      </c>
      <c r="T12" s="78">
        <f>SUM(S12+70000)+5000</f>
        <v>75000</v>
      </c>
      <c r="U12" s="78">
        <f>20000+55000</f>
        <v>75000</v>
      </c>
      <c r="V12" s="78" t="s">
        <v>274</v>
      </c>
      <c r="W12" s="83"/>
      <c r="X12" s="77"/>
      <c r="Y12" s="83"/>
      <c r="Z12" s="83"/>
      <c r="AA12" s="83"/>
      <c r="AB12" s="84"/>
      <c r="AC12" s="77"/>
      <c r="AD12" s="63"/>
    </row>
    <row r="13" spans="1:68" s="72" customFormat="1" ht="30" customHeight="1" x14ac:dyDescent="0.25">
      <c r="A13" s="73">
        <v>11</v>
      </c>
      <c r="B13" s="73">
        <v>100</v>
      </c>
      <c r="C13" s="73" t="s">
        <v>308</v>
      </c>
      <c r="D13" s="86" t="s">
        <v>309</v>
      </c>
      <c r="E13" s="77">
        <v>0</v>
      </c>
      <c r="F13" s="77">
        <v>9976579603</v>
      </c>
      <c r="G13" s="77"/>
      <c r="H13" s="99">
        <v>250</v>
      </c>
      <c r="I13" s="78">
        <v>15000</v>
      </c>
      <c r="J13" s="78">
        <v>10000</v>
      </c>
      <c r="K13" s="80" t="s">
        <v>310</v>
      </c>
      <c r="L13" s="81">
        <v>150000</v>
      </c>
      <c r="M13" s="82">
        <f>30000+60000+60000</f>
        <v>150000</v>
      </c>
      <c r="N13" s="77" t="s">
        <v>294</v>
      </c>
      <c r="O13" s="78">
        <f t="shared" si="0"/>
        <v>0</v>
      </c>
      <c r="P13" s="78">
        <f>SUM(O13+150000+1000)</f>
        <v>151000</v>
      </c>
      <c r="Q13" s="78">
        <f>50000+50000+51000</f>
        <v>151000</v>
      </c>
      <c r="R13" s="78" t="s">
        <v>274</v>
      </c>
      <c r="S13" s="78">
        <f t="shared" si="2"/>
        <v>0</v>
      </c>
      <c r="T13" s="78">
        <f>SUM(S13+70000)+585+5000</f>
        <v>75585</v>
      </c>
      <c r="U13" s="78">
        <f>15000+55000+5585</f>
        <v>75585</v>
      </c>
      <c r="V13" s="78" t="s">
        <v>274</v>
      </c>
      <c r="W13" s="83"/>
      <c r="X13" s="77" t="s">
        <v>311</v>
      </c>
      <c r="Y13" s="83"/>
      <c r="Z13" s="83"/>
      <c r="AA13" s="83"/>
      <c r="AB13" s="84"/>
      <c r="AC13" s="77"/>
      <c r="AD13" s="63"/>
      <c r="AJ13" s="72" t="s">
        <v>312</v>
      </c>
    </row>
    <row r="14" spans="1:68" s="72" customFormat="1" ht="30" customHeight="1" x14ac:dyDescent="0.25">
      <c r="A14" s="73">
        <v>12</v>
      </c>
      <c r="B14" s="73">
        <v>102</v>
      </c>
      <c r="C14" s="73" t="s">
        <v>313</v>
      </c>
      <c r="D14" s="86" t="s">
        <v>314</v>
      </c>
      <c r="E14" s="77" t="s">
        <v>315</v>
      </c>
      <c r="F14" s="77">
        <v>9962405969</v>
      </c>
      <c r="G14" s="77"/>
      <c r="H14" s="77">
        <v>250</v>
      </c>
      <c r="I14" s="78">
        <v>15000</v>
      </c>
      <c r="J14" s="79">
        <v>10000</v>
      </c>
      <c r="K14" s="80" t="s">
        <v>316</v>
      </c>
      <c r="L14" s="81">
        <v>150500</v>
      </c>
      <c r="M14" s="82">
        <f>125500+25000</f>
        <v>150500</v>
      </c>
      <c r="N14" s="77" t="s">
        <v>267</v>
      </c>
      <c r="O14" s="78">
        <f t="shared" si="0"/>
        <v>0</v>
      </c>
      <c r="P14" s="78">
        <f>SUM(O14+150000-25000)</f>
        <v>125000</v>
      </c>
      <c r="Q14" s="78">
        <v>125000</v>
      </c>
      <c r="R14" s="78" t="s">
        <v>288</v>
      </c>
      <c r="S14" s="78">
        <f t="shared" si="2"/>
        <v>0</v>
      </c>
      <c r="T14" s="78">
        <f>SUM(S14+70000)-25000</f>
        <v>45000</v>
      </c>
      <c r="U14" s="78">
        <v>45000</v>
      </c>
      <c r="V14" s="78" t="s">
        <v>288</v>
      </c>
      <c r="W14" s="83"/>
      <c r="X14" s="77"/>
      <c r="Y14" s="83"/>
      <c r="Z14" s="83"/>
      <c r="AA14" s="83"/>
      <c r="AB14" s="84"/>
      <c r="AC14" s="73"/>
      <c r="AD14" s="63"/>
    </row>
    <row r="15" spans="1:68" s="72" customFormat="1" ht="62.25" customHeight="1" x14ac:dyDescent="0.25">
      <c r="A15" s="73">
        <v>13</v>
      </c>
      <c r="B15" s="73">
        <v>104</v>
      </c>
      <c r="C15" s="73" t="s">
        <v>317</v>
      </c>
      <c r="D15" s="86" t="s">
        <v>318</v>
      </c>
      <c r="E15" s="77">
        <v>0</v>
      </c>
      <c r="F15" s="77">
        <v>8939114369</v>
      </c>
      <c r="G15" s="77"/>
      <c r="H15" s="77">
        <v>250</v>
      </c>
      <c r="I15" s="78">
        <v>15000</v>
      </c>
      <c r="J15" s="78">
        <v>10000</v>
      </c>
      <c r="K15" s="80" t="s">
        <v>319</v>
      </c>
      <c r="L15" s="81">
        <v>60000</v>
      </c>
      <c r="M15" s="82">
        <f>40000+20000</f>
        <v>60000</v>
      </c>
      <c r="N15" s="77" t="s">
        <v>279</v>
      </c>
      <c r="O15" s="78">
        <f t="shared" si="0"/>
        <v>0</v>
      </c>
      <c r="P15" s="78">
        <f>SUM(O15+60000+1000)</f>
        <v>61000</v>
      </c>
      <c r="Q15" s="78">
        <v>61000</v>
      </c>
      <c r="R15" s="78" t="s">
        <v>268</v>
      </c>
      <c r="S15" s="78">
        <f t="shared" si="2"/>
        <v>0</v>
      </c>
      <c r="T15" s="78">
        <f>SUM(S15+70000)-10000</f>
        <v>60000</v>
      </c>
      <c r="U15" s="78">
        <v>60000</v>
      </c>
      <c r="V15" s="78" t="s">
        <v>268</v>
      </c>
      <c r="W15" s="83"/>
      <c r="X15" s="77" t="s">
        <v>320</v>
      </c>
      <c r="Y15" s="83"/>
      <c r="Z15" s="83"/>
      <c r="AA15" s="83"/>
      <c r="AB15" s="84"/>
      <c r="AC15" s="85"/>
      <c r="AD15" s="63"/>
    </row>
    <row r="16" spans="1:68" s="72" customFormat="1" ht="30" customHeight="1" x14ac:dyDescent="0.25">
      <c r="A16" s="59">
        <v>14</v>
      </c>
      <c r="B16" s="59">
        <v>106</v>
      </c>
      <c r="C16" s="59" t="s">
        <v>321</v>
      </c>
      <c r="D16" s="103" t="s">
        <v>322</v>
      </c>
      <c r="E16" s="71">
        <v>0</v>
      </c>
      <c r="F16" s="71">
        <v>7094246683</v>
      </c>
      <c r="G16" s="71"/>
      <c r="H16" s="104">
        <v>250</v>
      </c>
      <c r="I16" s="105">
        <v>15000</v>
      </c>
      <c r="J16" s="105">
        <v>10000</v>
      </c>
      <c r="K16" s="106" t="s">
        <v>323</v>
      </c>
      <c r="L16" s="107">
        <v>60000</v>
      </c>
      <c r="M16" s="108">
        <v>78000</v>
      </c>
      <c r="N16" s="71"/>
      <c r="O16" s="105">
        <f t="shared" si="0"/>
        <v>-18000</v>
      </c>
      <c r="P16" s="105">
        <f>SUM(O16+60000)</f>
        <v>42000</v>
      </c>
      <c r="Q16" s="105">
        <v>42000</v>
      </c>
      <c r="R16" s="105" t="s">
        <v>274</v>
      </c>
      <c r="S16" s="105">
        <f>SUM(P16-Q16)</f>
        <v>0</v>
      </c>
      <c r="T16" s="105">
        <f>SUM(S16+70000)-10000+1000</f>
        <v>61000</v>
      </c>
      <c r="U16" s="105">
        <v>0</v>
      </c>
      <c r="V16" s="105"/>
      <c r="W16" s="69"/>
      <c r="X16" s="71" t="s">
        <v>324</v>
      </c>
      <c r="Y16" s="69"/>
      <c r="Z16" s="69"/>
      <c r="AA16" s="69"/>
      <c r="AB16" s="69"/>
      <c r="AC16" s="109"/>
      <c r="AD16" s="63"/>
    </row>
    <row r="17" spans="1:68" s="72" customFormat="1" ht="30" customHeight="1" x14ac:dyDescent="0.25">
      <c r="A17" s="88">
        <v>15</v>
      </c>
      <c r="B17" s="88">
        <v>108</v>
      </c>
      <c r="C17" s="88" t="s">
        <v>325</v>
      </c>
      <c r="D17" s="89" t="s">
        <v>326</v>
      </c>
      <c r="E17" s="90">
        <v>0</v>
      </c>
      <c r="F17" s="90">
        <v>8754394407</v>
      </c>
      <c r="G17" s="90"/>
      <c r="H17" s="90">
        <v>250</v>
      </c>
      <c r="I17" s="91">
        <v>15000</v>
      </c>
      <c r="J17" s="91">
        <v>10000</v>
      </c>
      <c r="K17" s="93" t="s">
        <v>327</v>
      </c>
      <c r="L17" s="94">
        <v>165000</v>
      </c>
      <c r="M17" s="110">
        <v>390000</v>
      </c>
      <c r="N17" s="90" t="s">
        <v>274</v>
      </c>
      <c r="O17" s="91">
        <f t="shared" si="0"/>
        <v>-225000</v>
      </c>
      <c r="P17" s="91">
        <f t="shared" si="1"/>
        <v>-74415</v>
      </c>
      <c r="Q17" s="91">
        <v>165000</v>
      </c>
      <c r="R17" s="91" t="s">
        <v>274</v>
      </c>
      <c r="S17" s="91">
        <v>0</v>
      </c>
      <c r="T17" s="91">
        <v>0</v>
      </c>
      <c r="U17" s="91">
        <v>0</v>
      </c>
      <c r="V17" s="91"/>
      <c r="W17" s="68"/>
      <c r="X17" s="90" t="s">
        <v>328</v>
      </c>
      <c r="Y17" s="68"/>
      <c r="Z17" s="68"/>
      <c r="AA17" s="68"/>
      <c r="AB17" s="96"/>
      <c r="AC17" s="90"/>
      <c r="AD17" s="63"/>
    </row>
    <row r="18" spans="1:68" s="72" customFormat="1" ht="30" customHeight="1" x14ac:dyDescent="0.25">
      <c r="A18" s="73">
        <v>16</v>
      </c>
      <c r="B18" s="73">
        <v>110</v>
      </c>
      <c r="C18" s="73" t="s">
        <v>329</v>
      </c>
      <c r="D18" s="86" t="s">
        <v>330</v>
      </c>
      <c r="E18" s="77">
        <v>0</v>
      </c>
      <c r="F18" s="77">
        <v>7708756960</v>
      </c>
      <c r="G18" s="77"/>
      <c r="H18" s="77">
        <v>250</v>
      </c>
      <c r="I18" s="78">
        <v>15000</v>
      </c>
      <c r="J18" s="78">
        <v>10000</v>
      </c>
      <c r="K18" s="80" t="s">
        <v>331</v>
      </c>
      <c r="L18" s="81">
        <v>165000</v>
      </c>
      <c r="M18" s="111">
        <v>445000</v>
      </c>
      <c r="N18" s="77" t="s">
        <v>332</v>
      </c>
      <c r="O18" s="78">
        <f t="shared" si="0"/>
        <v>-280000</v>
      </c>
      <c r="P18" s="78">
        <f t="shared" si="1"/>
        <v>-129415</v>
      </c>
      <c r="Q18" s="78">
        <v>165000</v>
      </c>
      <c r="R18" s="78" t="s">
        <v>268</v>
      </c>
      <c r="S18" s="78">
        <v>0</v>
      </c>
      <c r="T18" s="78">
        <v>0</v>
      </c>
      <c r="U18" s="78">
        <v>0</v>
      </c>
      <c r="V18" s="78"/>
      <c r="W18" s="83"/>
      <c r="X18" s="77" t="s">
        <v>328</v>
      </c>
      <c r="Y18" s="83"/>
      <c r="Z18" s="83"/>
      <c r="AA18" s="83"/>
      <c r="AB18" s="84"/>
      <c r="AC18" s="85"/>
      <c r="AD18" s="63"/>
    </row>
    <row r="19" spans="1:68" s="72" customFormat="1" ht="78.75" x14ac:dyDescent="0.25">
      <c r="A19" s="73">
        <v>17</v>
      </c>
      <c r="B19" s="73">
        <v>112</v>
      </c>
      <c r="C19" s="73" t="s">
        <v>333</v>
      </c>
      <c r="D19" s="86" t="s">
        <v>334</v>
      </c>
      <c r="E19" s="77" t="s">
        <v>292</v>
      </c>
      <c r="F19" s="77">
        <v>7358171261</v>
      </c>
      <c r="G19" s="77"/>
      <c r="H19" s="77">
        <v>250</v>
      </c>
      <c r="I19" s="78">
        <v>15000</v>
      </c>
      <c r="J19" s="78">
        <v>10000</v>
      </c>
      <c r="K19" s="80" t="s">
        <v>335</v>
      </c>
      <c r="L19" s="81">
        <v>150000</v>
      </c>
      <c r="M19" s="82">
        <f>30000+60000+60000</f>
        <v>150000</v>
      </c>
      <c r="N19" s="77"/>
      <c r="O19" s="78">
        <f t="shared" si="0"/>
        <v>0</v>
      </c>
      <c r="P19" s="78">
        <f t="shared" si="1"/>
        <v>150585</v>
      </c>
      <c r="Q19" s="78">
        <f>150000+585</f>
        <v>150585</v>
      </c>
      <c r="R19" s="78" t="s">
        <v>336</v>
      </c>
      <c r="S19" s="78">
        <f t="shared" si="2"/>
        <v>0</v>
      </c>
      <c r="T19" s="78">
        <f>SUM(S19+70000)+585+5000</f>
        <v>75585</v>
      </c>
      <c r="U19" s="78">
        <f>15000+5000+55585</f>
        <v>75585</v>
      </c>
      <c r="V19" s="78" t="s">
        <v>8</v>
      </c>
      <c r="W19" s="83"/>
      <c r="X19" s="77"/>
      <c r="Y19" s="83"/>
      <c r="Z19" s="83"/>
      <c r="AA19" s="83"/>
      <c r="AB19" s="84"/>
      <c r="AC19" s="77"/>
      <c r="AD19" s="63"/>
    </row>
    <row r="20" spans="1:68" s="72" customFormat="1" ht="75.75" customHeight="1" x14ac:dyDescent="0.25">
      <c r="A20" s="73">
        <v>18</v>
      </c>
      <c r="B20" s="73">
        <v>114</v>
      </c>
      <c r="C20" s="73" t="s">
        <v>337</v>
      </c>
      <c r="D20" s="86" t="s">
        <v>338</v>
      </c>
      <c r="E20" s="77">
        <v>0</v>
      </c>
      <c r="F20" s="77">
        <v>8883416129</v>
      </c>
      <c r="G20" s="77"/>
      <c r="H20" s="99">
        <v>250</v>
      </c>
      <c r="I20" s="78">
        <v>15000</v>
      </c>
      <c r="J20" s="78">
        <v>10000</v>
      </c>
      <c r="K20" s="80" t="s">
        <v>339</v>
      </c>
      <c r="L20" s="81">
        <f>150000+2850</f>
        <v>152850</v>
      </c>
      <c r="M20" s="79">
        <v>289980</v>
      </c>
      <c r="N20" s="77" t="s">
        <v>340</v>
      </c>
      <c r="O20" s="78">
        <f t="shared" si="0"/>
        <v>-137130</v>
      </c>
      <c r="P20" s="78">
        <v>150000</v>
      </c>
      <c r="Q20" s="78">
        <v>2870</v>
      </c>
      <c r="R20" s="78" t="s">
        <v>8</v>
      </c>
      <c r="S20" s="78">
        <f t="shared" si="2"/>
        <v>10000</v>
      </c>
      <c r="T20" s="78">
        <f>SUM(S20+70000)+1000</f>
        <v>81000</v>
      </c>
      <c r="U20" s="78">
        <v>100000</v>
      </c>
      <c r="V20" s="78" t="s">
        <v>288</v>
      </c>
      <c r="W20" s="83"/>
      <c r="X20" s="77"/>
      <c r="Y20" s="83"/>
      <c r="Z20" s="83"/>
      <c r="AA20" s="83"/>
      <c r="AB20" s="84"/>
      <c r="AC20" s="85"/>
      <c r="AD20" s="63"/>
    </row>
    <row r="21" spans="1:68" s="72" customFormat="1" ht="28.5" x14ac:dyDescent="0.25">
      <c r="A21" s="73">
        <v>19</v>
      </c>
      <c r="B21" s="112">
        <v>138</v>
      </c>
      <c r="C21" s="112" t="s">
        <v>341</v>
      </c>
      <c r="D21" s="113" t="s">
        <v>342</v>
      </c>
      <c r="E21" s="114">
        <v>0</v>
      </c>
      <c r="F21" s="114">
        <v>7397336889</v>
      </c>
      <c r="G21" s="114"/>
      <c r="H21" s="114">
        <v>250</v>
      </c>
      <c r="I21" s="115">
        <v>15000</v>
      </c>
      <c r="J21" s="78">
        <v>10000</v>
      </c>
      <c r="K21" s="116"/>
      <c r="L21" s="81">
        <v>150000</v>
      </c>
      <c r="M21" s="78">
        <f>10000+39000+21000+30000+40000+10000</f>
        <v>150000</v>
      </c>
      <c r="N21" s="114" t="s">
        <v>343</v>
      </c>
      <c r="O21" s="78">
        <f t="shared" si="0"/>
        <v>0</v>
      </c>
      <c r="P21" s="78">
        <f>SUM(O21+150000+1000)</f>
        <v>151000</v>
      </c>
      <c r="Q21" s="78">
        <f>40000+111000</f>
        <v>151000</v>
      </c>
      <c r="R21" s="78" t="s">
        <v>344</v>
      </c>
      <c r="S21" s="78">
        <f t="shared" si="2"/>
        <v>0</v>
      </c>
      <c r="T21" s="78">
        <f>SUM(S21+70000)+1000</f>
        <v>71000</v>
      </c>
      <c r="U21" s="78">
        <v>0</v>
      </c>
      <c r="V21" s="78"/>
      <c r="W21" s="83"/>
      <c r="X21" s="77"/>
      <c r="Y21" s="83"/>
      <c r="Z21" s="83"/>
      <c r="AA21" s="83"/>
      <c r="AB21" s="84"/>
      <c r="AC21" s="85"/>
      <c r="AD21" s="87" t="s">
        <v>345</v>
      </c>
    </row>
    <row r="22" spans="1:68" s="72" customFormat="1" ht="30" customHeight="1" x14ac:dyDescent="0.25">
      <c r="A22" s="73">
        <v>20</v>
      </c>
      <c r="B22" s="73">
        <v>148</v>
      </c>
      <c r="C22" s="73" t="s">
        <v>346</v>
      </c>
      <c r="D22" s="86" t="s">
        <v>347</v>
      </c>
      <c r="E22" s="77">
        <v>0</v>
      </c>
      <c r="F22" s="77">
        <v>9791090964</v>
      </c>
      <c r="G22" s="77">
        <v>9380444400</v>
      </c>
      <c r="H22" s="77">
        <v>250</v>
      </c>
      <c r="I22" s="78">
        <v>15000</v>
      </c>
      <c r="J22" s="78">
        <v>10000</v>
      </c>
      <c r="K22" s="78"/>
      <c r="L22" s="83">
        <v>150000</v>
      </c>
      <c r="M22" s="78">
        <f>50000+100000</f>
        <v>150000</v>
      </c>
      <c r="N22" s="77" t="s">
        <v>348</v>
      </c>
      <c r="O22" s="78">
        <f t="shared" si="0"/>
        <v>0</v>
      </c>
      <c r="P22" s="78">
        <f t="shared" si="1"/>
        <v>150585</v>
      </c>
      <c r="Q22" s="78">
        <f>30000+60585+60000</f>
        <v>150585</v>
      </c>
      <c r="R22" s="78"/>
      <c r="S22" s="78">
        <f t="shared" si="2"/>
        <v>0</v>
      </c>
      <c r="T22" s="78">
        <f>SUM(S22+70000)+5000</f>
        <v>75000</v>
      </c>
      <c r="U22" s="78">
        <v>75000</v>
      </c>
      <c r="V22" s="78"/>
      <c r="W22" s="83"/>
      <c r="X22" s="77"/>
      <c r="Y22" s="83"/>
      <c r="Z22" s="83"/>
      <c r="AA22" s="83"/>
      <c r="AB22" s="84"/>
      <c r="AC22" s="77"/>
      <c r="AD22" s="63"/>
    </row>
    <row r="23" spans="1:68" ht="30" customHeight="1" x14ac:dyDescent="0.25">
      <c r="H23" s="46"/>
      <c r="N23" s="46"/>
      <c r="O23" s="121"/>
      <c r="P23" s="121"/>
      <c r="Q23" s="121"/>
      <c r="R23" s="121"/>
      <c r="S23" s="121"/>
      <c r="AA23" s="122"/>
      <c r="AB23" s="123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</row>
    <row r="24" spans="1:68" ht="30" customHeight="1" x14ac:dyDescent="0.2">
      <c r="A24" s="164" t="s">
        <v>349</v>
      </c>
      <c r="B24" s="164"/>
      <c r="C24" s="164"/>
      <c r="D24" s="164"/>
      <c r="E24" s="164"/>
      <c r="F24" s="164"/>
      <c r="G24" s="164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</row>
    <row r="25" spans="1:68" ht="30" customHeight="1" x14ac:dyDescent="0.25">
      <c r="A25" s="125" t="s">
        <v>236</v>
      </c>
      <c r="B25" s="126"/>
      <c r="C25" s="126" t="s">
        <v>238</v>
      </c>
      <c r="D25" s="126" t="s">
        <v>239</v>
      </c>
      <c r="E25" s="126" t="s">
        <v>240</v>
      </c>
      <c r="F25" s="126" t="s">
        <v>241</v>
      </c>
      <c r="G25" s="126" t="s">
        <v>242</v>
      </c>
      <c r="H25" s="126" t="s">
        <v>243</v>
      </c>
      <c r="I25" s="126" t="s">
        <v>244</v>
      </c>
      <c r="J25" s="126" t="s">
        <v>245</v>
      </c>
      <c r="K25" s="126" t="s">
        <v>246</v>
      </c>
      <c r="L25" s="127" t="s">
        <v>247</v>
      </c>
      <c r="M25" s="52" t="s">
        <v>248</v>
      </c>
      <c r="N25" s="126" t="s">
        <v>249</v>
      </c>
      <c r="O25" s="128" t="s">
        <v>250</v>
      </c>
      <c r="P25" s="53" t="s">
        <v>251</v>
      </c>
      <c r="Q25" s="128" t="s">
        <v>252</v>
      </c>
      <c r="R25" s="128" t="s">
        <v>249</v>
      </c>
      <c r="S25" s="128" t="s">
        <v>253</v>
      </c>
      <c r="T25" s="51" t="s">
        <v>254</v>
      </c>
      <c r="U25" s="128" t="s">
        <v>255</v>
      </c>
      <c r="V25" s="128" t="s">
        <v>249</v>
      </c>
      <c r="W25" s="129" t="s">
        <v>256</v>
      </c>
      <c r="X25" s="51" t="s">
        <v>350</v>
      </c>
      <c r="Y25" s="53"/>
      <c r="Z25" s="128"/>
      <c r="AA25" s="130"/>
      <c r="AB25" s="56"/>
      <c r="AC25" s="51"/>
      <c r="AD25" s="58" t="s">
        <v>263</v>
      </c>
    </row>
    <row r="26" spans="1:68" s="72" customFormat="1" ht="30" customHeight="1" x14ac:dyDescent="0.2">
      <c r="A26" s="73">
        <v>1</v>
      </c>
      <c r="B26" s="73">
        <v>116</v>
      </c>
      <c r="C26" s="73" t="s">
        <v>351</v>
      </c>
      <c r="D26" s="77" t="s">
        <v>352</v>
      </c>
      <c r="E26" s="77">
        <v>0</v>
      </c>
      <c r="F26" s="77">
        <v>7010778482</v>
      </c>
      <c r="G26" s="77">
        <v>9944095889</v>
      </c>
      <c r="H26" s="99">
        <v>250</v>
      </c>
      <c r="I26" s="78">
        <v>10000</v>
      </c>
      <c r="J26" s="78">
        <v>10000</v>
      </c>
      <c r="K26" s="131" t="s">
        <v>353</v>
      </c>
      <c r="L26" s="83">
        <v>60000</v>
      </c>
      <c r="M26" s="78">
        <f>14250+20750+25000</f>
        <v>60000</v>
      </c>
      <c r="N26" s="77" t="s">
        <v>8</v>
      </c>
      <c r="O26" s="78">
        <v>0</v>
      </c>
      <c r="P26" s="78">
        <v>60000</v>
      </c>
      <c r="Q26" s="78">
        <v>60000</v>
      </c>
      <c r="R26" s="78" t="s">
        <v>274</v>
      </c>
      <c r="S26" s="78">
        <f>SUM(O26+P26-Q26)</f>
        <v>0</v>
      </c>
      <c r="T26" s="78">
        <f>SUM(S26+60000)+1000</f>
        <v>61000</v>
      </c>
      <c r="U26" s="78">
        <f>31000+30000</f>
        <v>61000</v>
      </c>
      <c r="V26" s="78" t="s">
        <v>8</v>
      </c>
      <c r="W26" s="83">
        <f>SUM(T26-U26)</f>
        <v>0</v>
      </c>
      <c r="X26" s="77"/>
      <c r="Y26" s="83"/>
      <c r="Z26" s="83"/>
      <c r="AA26" s="132"/>
      <c r="AB26" s="133"/>
      <c r="AC26" s="85"/>
      <c r="AD26" s="63"/>
    </row>
    <row r="27" spans="1:68" s="72" customFormat="1" ht="30" customHeight="1" x14ac:dyDescent="0.25">
      <c r="A27" s="88">
        <v>2</v>
      </c>
      <c r="B27" s="88">
        <v>142</v>
      </c>
      <c r="C27" s="88" t="s">
        <v>354</v>
      </c>
      <c r="D27" s="134" t="s">
        <v>355</v>
      </c>
      <c r="E27" s="135">
        <v>0</v>
      </c>
      <c r="F27" s="135">
        <v>9790905102</v>
      </c>
      <c r="G27" s="136"/>
      <c r="H27" s="137">
        <v>250</v>
      </c>
      <c r="I27" s="91">
        <v>10000</v>
      </c>
      <c r="J27" s="91">
        <v>10000</v>
      </c>
      <c r="K27" s="138"/>
      <c r="L27" s="68">
        <v>61500</v>
      </c>
      <c r="M27" s="91">
        <f>20500+22000+9000+10000</f>
        <v>61500</v>
      </c>
      <c r="N27" s="90" t="s">
        <v>356</v>
      </c>
      <c r="O27" s="91">
        <v>0</v>
      </c>
      <c r="P27" s="91">
        <v>62500</v>
      </c>
      <c r="Q27" s="91">
        <f>12500+12500+12500+15000+10000</f>
        <v>62500</v>
      </c>
      <c r="R27" s="91" t="s">
        <v>274</v>
      </c>
      <c r="S27" s="91">
        <f t="shared" ref="S27:S37" si="3">SUM(O27+P27-Q27)</f>
        <v>0</v>
      </c>
      <c r="T27" s="91">
        <f>12500*5+2500</f>
        <v>65000</v>
      </c>
      <c r="U27" s="91">
        <f>12500+12500+12500+12500</f>
        <v>50000</v>
      </c>
      <c r="V27" s="91" t="s">
        <v>274</v>
      </c>
      <c r="W27" s="68">
        <f t="shared" ref="W27:W37" si="4">SUM(T27-U27)</f>
        <v>15000</v>
      </c>
      <c r="X27" s="90" t="s">
        <v>357</v>
      </c>
      <c r="Y27" s="68"/>
      <c r="Z27" s="68"/>
      <c r="AA27" s="68"/>
      <c r="AB27" s="68"/>
      <c r="AC27" s="97"/>
      <c r="AD27" s="63"/>
    </row>
    <row r="28" spans="1:68" s="72" customFormat="1" ht="30" customHeight="1" x14ac:dyDescent="0.25">
      <c r="A28" s="73">
        <v>3</v>
      </c>
      <c r="B28" s="73">
        <v>128</v>
      </c>
      <c r="C28" s="73" t="s">
        <v>358</v>
      </c>
      <c r="D28" s="77" t="s">
        <v>359</v>
      </c>
      <c r="E28" s="77">
        <v>0</v>
      </c>
      <c r="F28" s="77">
        <v>9600010123</v>
      </c>
      <c r="G28" s="77"/>
      <c r="H28" s="99">
        <v>250</v>
      </c>
      <c r="I28" s="77">
        <v>15000</v>
      </c>
      <c r="J28" s="78">
        <v>10000</v>
      </c>
      <c r="K28" s="139"/>
      <c r="L28" s="83">
        <v>60000</v>
      </c>
      <c r="M28" s="78">
        <v>60000</v>
      </c>
      <c r="N28" s="77" t="s">
        <v>360</v>
      </c>
      <c r="O28" s="78">
        <v>0</v>
      </c>
      <c r="P28" s="78">
        <f>60000+1000</f>
        <v>61000</v>
      </c>
      <c r="Q28" s="78">
        <v>61000</v>
      </c>
      <c r="R28" s="78" t="s">
        <v>274</v>
      </c>
      <c r="S28" s="78">
        <f t="shared" si="3"/>
        <v>0</v>
      </c>
      <c r="T28" s="78">
        <f>SUM(S28+60000)+585</f>
        <v>60585</v>
      </c>
      <c r="U28" s="78">
        <v>60585</v>
      </c>
      <c r="V28" s="78" t="s">
        <v>274</v>
      </c>
      <c r="W28" s="83">
        <f t="shared" si="4"/>
        <v>0</v>
      </c>
      <c r="X28" s="77"/>
      <c r="Y28" s="83"/>
      <c r="Z28" s="83"/>
      <c r="AA28" s="83"/>
      <c r="AB28" s="84"/>
      <c r="AC28" s="85"/>
      <c r="AD28" s="63"/>
    </row>
    <row r="29" spans="1:68" s="72" customFormat="1" ht="15.75" x14ac:dyDescent="0.25">
      <c r="A29" s="73">
        <v>4</v>
      </c>
      <c r="B29" s="73">
        <v>130</v>
      </c>
      <c r="C29" s="73" t="s">
        <v>361</v>
      </c>
      <c r="D29" s="77" t="s">
        <v>362</v>
      </c>
      <c r="E29" s="77">
        <v>0</v>
      </c>
      <c r="F29" s="77">
        <v>9600010128</v>
      </c>
      <c r="G29" s="77"/>
      <c r="H29" s="99">
        <v>250</v>
      </c>
      <c r="I29" s="78">
        <v>10000</v>
      </c>
      <c r="J29" s="78">
        <v>10000</v>
      </c>
      <c r="K29" s="139"/>
      <c r="L29" s="83">
        <v>60000</v>
      </c>
      <c r="M29" s="78">
        <v>60000</v>
      </c>
      <c r="N29" s="77" t="s">
        <v>360</v>
      </c>
      <c r="O29" s="78">
        <v>0</v>
      </c>
      <c r="P29" s="78">
        <v>60000</v>
      </c>
      <c r="Q29" s="78">
        <v>60000</v>
      </c>
      <c r="R29" s="78" t="s">
        <v>274</v>
      </c>
      <c r="S29" s="78">
        <f t="shared" si="3"/>
        <v>0</v>
      </c>
      <c r="T29" s="78">
        <f>SUM(S29+60000)</f>
        <v>60000</v>
      </c>
      <c r="U29" s="78">
        <v>60000</v>
      </c>
      <c r="V29" s="78" t="s">
        <v>268</v>
      </c>
      <c r="W29" s="83">
        <f t="shared" si="4"/>
        <v>0</v>
      </c>
      <c r="X29" s="77"/>
      <c r="Y29" s="83"/>
      <c r="Z29" s="83"/>
      <c r="AA29" s="83"/>
      <c r="AB29" s="84"/>
      <c r="AC29" s="85"/>
      <c r="AD29" s="63"/>
    </row>
    <row r="30" spans="1:68" s="72" customFormat="1" ht="78.75" x14ac:dyDescent="0.25">
      <c r="A30" s="73">
        <v>5</v>
      </c>
      <c r="B30" s="73">
        <v>118</v>
      </c>
      <c r="C30" s="73" t="s">
        <v>363</v>
      </c>
      <c r="D30" s="77" t="s">
        <v>364</v>
      </c>
      <c r="E30" s="77">
        <v>0</v>
      </c>
      <c r="F30" s="77">
        <v>9944194995</v>
      </c>
      <c r="G30" s="77"/>
      <c r="H30" s="99">
        <v>250</v>
      </c>
      <c r="I30" s="78">
        <v>10000</v>
      </c>
      <c r="J30" s="78">
        <v>5000</v>
      </c>
      <c r="K30" s="80" t="s">
        <v>365</v>
      </c>
      <c r="L30" s="83">
        <v>62000</v>
      </c>
      <c r="M30" s="78">
        <f>15500+15500+15500+15500</f>
        <v>62000</v>
      </c>
      <c r="N30" s="77" t="s">
        <v>366</v>
      </c>
      <c r="O30" s="78">
        <f t="shared" ref="O30:O38" si="5">SUM(L30-M30)</f>
        <v>0</v>
      </c>
      <c r="P30" s="78">
        <v>60500</v>
      </c>
      <c r="Q30" s="78">
        <f>30500+20000+10000</f>
        <v>60500</v>
      </c>
      <c r="R30" s="78" t="s">
        <v>367</v>
      </c>
      <c r="S30" s="78">
        <f t="shared" si="3"/>
        <v>0</v>
      </c>
      <c r="T30" s="78">
        <f>SUM(S30+60000)+5000</f>
        <v>65000</v>
      </c>
      <c r="U30" s="78">
        <f>30000+35000</f>
        <v>65000</v>
      </c>
      <c r="V30" s="78"/>
      <c r="W30" s="83">
        <f t="shared" si="4"/>
        <v>0</v>
      </c>
      <c r="X30" s="77" t="s">
        <v>357</v>
      </c>
      <c r="Y30" s="83"/>
      <c r="Z30" s="83"/>
      <c r="AA30" s="83"/>
      <c r="AB30" s="84"/>
      <c r="AC30" s="77"/>
      <c r="AD30" s="63"/>
    </row>
    <row r="31" spans="1:68" s="72" customFormat="1" ht="37.5" customHeight="1" x14ac:dyDescent="0.25">
      <c r="A31" s="73">
        <v>6</v>
      </c>
      <c r="B31" s="73">
        <v>150</v>
      </c>
      <c r="C31" s="73" t="s">
        <v>368</v>
      </c>
      <c r="D31" s="140" t="s">
        <v>369</v>
      </c>
      <c r="E31" s="141">
        <v>0</v>
      </c>
      <c r="F31" s="141">
        <v>8190033341</v>
      </c>
      <c r="G31" s="142"/>
      <c r="H31" s="77">
        <v>250</v>
      </c>
      <c r="I31" s="78">
        <v>10000</v>
      </c>
      <c r="J31" s="78">
        <v>10000</v>
      </c>
      <c r="K31" s="139"/>
      <c r="L31" s="83">
        <v>61000</v>
      </c>
      <c r="M31" s="78">
        <f>30500+30500</f>
        <v>61000</v>
      </c>
      <c r="N31" s="77" t="s">
        <v>370</v>
      </c>
      <c r="O31" s="78">
        <f t="shared" si="5"/>
        <v>0</v>
      </c>
      <c r="P31" s="77">
        <f>60000+1500</f>
        <v>61500</v>
      </c>
      <c r="Q31" s="77">
        <f>20000+41500</f>
        <v>61500</v>
      </c>
      <c r="R31" s="77" t="s">
        <v>8</v>
      </c>
      <c r="S31" s="78">
        <f t="shared" si="3"/>
        <v>0</v>
      </c>
      <c r="T31" s="78">
        <f>SUM(S31+60000)+5000</f>
        <v>65000</v>
      </c>
      <c r="U31" s="78">
        <f>50000+15000</f>
        <v>65000</v>
      </c>
      <c r="V31" s="78"/>
      <c r="W31" s="83">
        <f t="shared" si="4"/>
        <v>0</v>
      </c>
      <c r="X31" s="77"/>
      <c r="Y31" s="83"/>
      <c r="Z31" s="83"/>
      <c r="AA31" s="83"/>
      <c r="AB31" s="84"/>
      <c r="AC31" s="85"/>
      <c r="AD31" s="63"/>
    </row>
    <row r="32" spans="1:68" s="72" customFormat="1" ht="60.75" customHeight="1" x14ac:dyDescent="0.25">
      <c r="A32" s="73">
        <v>7</v>
      </c>
      <c r="B32" s="73">
        <v>134</v>
      </c>
      <c r="C32" s="73" t="s">
        <v>371</v>
      </c>
      <c r="D32" s="77" t="s">
        <v>372</v>
      </c>
      <c r="E32" s="78">
        <v>10000</v>
      </c>
      <c r="F32" s="77">
        <v>8608247710</v>
      </c>
      <c r="G32" s="77"/>
      <c r="H32" s="99">
        <v>250</v>
      </c>
      <c r="I32" s="78">
        <v>10000</v>
      </c>
      <c r="J32" s="78">
        <v>10000</v>
      </c>
      <c r="K32" s="80" t="s">
        <v>373</v>
      </c>
      <c r="L32" s="83">
        <v>62850</v>
      </c>
      <c r="M32" s="78">
        <v>126980</v>
      </c>
      <c r="N32" s="77" t="s">
        <v>374</v>
      </c>
      <c r="O32" s="78">
        <f t="shared" si="5"/>
        <v>-64130</v>
      </c>
      <c r="P32" s="78" t="s">
        <v>375</v>
      </c>
      <c r="Q32" s="78">
        <v>60000</v>
      </c>
      <c r="R32" s="78" t="s">
        <v>288</v>
      </c>
      <c r="S32" s="78">
        <v>0</v>
      </c>
      <c r="T32" s="78">
        <f>SUM(S32+60000)+1000</f>
        <v>61000</v>
      </c>
      <c r="U32" s="78">
        <f>51000+10000</f>
        <v>61000</v>
      </c>
      <c r="V32" s="78"/>
      <c r="W32" s="83">
        <f t="shared" si="4"/>
        <v>0</v>
      </c>
      <c r="X32" s="77"/>
      <c r="Y32" s="83"/>
      <c r="Z32" s="83"/>
      <c r="AA32" s="83"/>
      <c r="AB32" s="84"/>
      <c r="AC32" s="85"/>
      <c r="AD32" s="63"/>
    </row>
    <row r="33" spans="1:65" s="72" customFormat="1" ht="78.75" x14ac:dyDescent="0.25">
      <c r="A33" s="73">
        <v>8</v>
      </c>
      <c r="B33" s="73">
        <v>144</v>
      </c>
      <c r="C33" s="73" t="s">
        <v>376</v>
      </c>
      <c r="D33" s="77" t="s">
        <v>377</v>
      </c>
      <c r="E33" s="77">
        <v>0</v>
      </c>
      <c r="F33" s="77">
        <v>9840262871</v>
      </c>
      <c r="G33" s="77"/>
      <c r="H33" s="99">
        <v>250</v>
      </c>
      <c r="I33" s="78">
        <v>10000</v>
      </c>
      <c r="J33" s="78">
        <v>10000</v>
      </c>
      <c r="K33" s="80" t="s">
        <v>378</v>
      </c>
      <c r="L33" s="83">
        <f>60000+2850</f>
        <v>62850</v>
      </c>
      <c r="M33" s="78">
        <v>124183</v>
      </c>
      <c r="N33" s="77" t="s">
        <v>374</v>
      </c>
      <c r="O33" s="78">
        <f t="shared" si="5"/>
        <v>-61333</v>
      </c>
      <c r="P33" s="77">
        <v>60000</v>
      </c>
      <c r="Q33" s="143">
        <v>60000</v>
      </c>
      <c r="R33" s="77" t="s">
        <v>288</v>
      </c>
      <c r="S33" s="78">
        <v>0</v>
      </c>
      <c r="T33" s="78">
        <f>60000+5000</f>
        <v>65000</v>
      </c>
      <c r="U33" s="78">
        <f>65000+100000-4900+1333</f>
        <v>161433</v>
      </c>
      <c r="V33" s="78"/>
      <c r="W33" s="83">
        <f t="shared" si="4"/>
        <v>-96433</v>
      </c>
      <c r="X33" s="77"/>
      <c r="Y33" s="83"/>
      <c r="Z33" s="83"/>
      <c r="AA33" s="83"/>
      <c r="AB33" s="84"/>
      <c r="AC33" s="85"/>
      <c r="AD33" s="63"/>
    </row>
    <row r="34" spans="1:65" s="72" customFormat="1" ht="63" x14ac:dyDescent="0.25">
      <c r="A34" s="73">
        <v>9</v>
      </c>
      <c r="B34" s="73">
        <v>120</v>
      </c>
      <c r="C34" s="73" t="s">
        <v>379</v>
      </c>
      <c r="D34" s="77" t="s">
        <v>380</v>
      </c>
      <c r="E34" s="77">
        <v>0</v>
      </c>
      <c r="F34" s="77">
        <v>8220180645</v>
      </c>
      <c r="G34" s="77"/>
      <c r="H34" s="99">
        <v>250</v>
      </c>
      <c r="I34" s="78">
        <v>10000</v>
      </c>
      <c r="J34" s="78">
        <v>10000</v>
      </c>
      <c r="K34" s="80" t="s">
        <v>381</v>
      </c>
      <c r="L34" s="83">
        <v>62500</v>
      </c>
      <c r="M34" s="78">
        <f>12500+12500+12500+12500+12500</f>
        <v>62500</v>
      </c>
      <c r="N34" s="77" t="s">
        <v>274</v>
      </c>
      <c r="O34" s="78">
        <f t="shared" si="5"/>
        <v>0</v>
      </c>
      <c r="P34" s="78">
        <v>62000</v>
      </c>
      <c r="Q34" s="78">
        <f>15500+15500+15500+15500</f>
        <v>62000</v>
      </c>
      <c r="R34" s="78" t="s">
        <v>268</v>
      </c>
      <c r="S34" s="78">
        <f t="shared" si="3"/>
        <v>0</v>
      </c>
      <c r="T34" s="78">
        <f>SUM(S34+62000)+575</f>
        <v>62575</v>
      </c>
      <c r="U34" s="78">
        <f>15500+15500+575+15500+15500</f>
        <v>62575</v>
      </c>
      <c r="V34" s="78" t="s">
        <v>268</v>
      </c>
      <c r="W34" s="83">
        <f t="shared" si="4"/>
        <v>0</v>
      </c>
      <c r="X34" s="77"/>
      <c r="Y34" s="83"/>
      <c r="Z34" s="83"/>
      <c r="AA34" s="83"/>
      <c r="AB34" s="84"/>
      <c r="AC34" s="85"/>
      <c r="AD34" s="63"/>
    </row>
    <row r="35" spans="1:65" s="72" customFormat="1" ht="15.75" x14ac:dyDescent="0.25">
      <c r="A35" s="59">
        <v>10</v>
      </c>
      <c r="B35" s="59">
        <v>146</v>
      </c>
      <c r="C35" s="59" t="s">
        <v>382</v>
      </c>
      <c r="D35" s="71" t="s">
        <v>383</v>
      </c>
      <c r="E35" s="71">
        <v>0</v>
      </c>
      <c r="F35" s="71">
        <v>9943120683</v>
      </c>
      <c r="G35" s="71">
        <v>9433946021</v>
      </c>
      <c r="H35" s="71">
        <v>250</v>
      </c>
      <c r="I35" s="105">
        <v>10000</v>
      </c>
      <c r="J35" s="105">
        <v>10000</v>
      </c>
      <c r="K35" s="144"/>
      <c r="L35" s="69">
        <v>60000</v>
      </c>
      <c r="M35" s="105">
        <v>60000</v>
      </c>
      <c r="N35" s="71" t="s">
        <v>384</v>
      </c>
      <c r="O35" s="105">
        <f t="shared" si="5"/>
        <v>0</v>
      </c>
      <c r="P35" s="71">
        <v>60000</v>
      </c>
      <c r="Q35" s="71">
        <v>60000</v>
      </c>
      <c r="R35" s="71" t="s">
        <v>274</v>
      </c>
      <c r="S35" s="105">
        <f t="shared" si="3"/>
        <v>0</v>
      </c>
      <c r="T35" s="105">
        <f>SUM(S35+60000)+5000</f>
        <v>65000</v>
      </c>
      <c r="U35" s="105">
        <v>0</v>
      </c>
      <c r="V35" s="105"/>
      <c r="W35" s="69">
        <f t="shared" si="4"/>
        <v>65000</v>
      </c>
      <c r="X35" s="71"/>
      <c r="Y35" s="69"/>
      <c r="Z35" s="69"/>
      <c r="AA35" s="69"/>
      <c r="AB35" s="69"/>
      <c r="AC35" s="71"/>
      <c r="AD35" s="63"/>
    </row>
    <row r="36" spans="1:65" s="72" customFormat="1" ht="31.5" x14ac:dyDescent="0.25">
      <c r="A36" s="73">
        <v>11</v>
      </c>
      <c r="B36" s="73">
        <v>124</v>
      </c>
      <c r="C36" s="73" t="s">
        <v>385</v>
      </c>
      <c r="D36" s="77" t="s">
        <v>386</v>
      </c>
      <c r="E36" s="77">
        <v>0</v>
      </c>
      <c r="F36" s="77">
        <v>9176944401</v>
      </c>
      <c r="G36" s="77"/>
      <c r="H36" s="99">
        <v>250</v>
      </c>
      <c r="I36" s="78">
        <v>10000</v>
      </c>
      <c r="J36" s="78">
        <v>10000</v>
      </c>
      <c r="K36" s="80" t="s">
        <v>387</v>
      </c>
      <c r="L36" s="83">
        <v>61000</v>
      </c>
      <c r="M36" s="78">
        <f>30500+30500</f>
        <v>61000</v>
      </c>
      <c r="N36" s="77" t="s">
        <v>388</v>
      </c>
      <c r="O36" s="78">
        <f t="shared" si="5"/>
        <v>0</v>
      </c>
      <c r="P36" s="78">
        <f>60000+1500</f>
        <v>61500</v>
      </c>
      <c r="Q36" s="78">
        <v>61000</v>
      </c>
      <c r="R36" s="78" t="s">
        <v>274</v>
      </c>
      <c r="S36" s="78"/>
      <c r="T36" s="78">
        <f>SUM(S36+60000)+585+5000</f>
        <v>65585</v>
      </c>
      <c r="U36" s="78"/>
      <c r="V36" s="78"/>
      <c r="W36" s="83">
        <f t="shared" si="4"/>
        <v>65585</v>
      </c>
      <c r="X36" s="77"/>
      <c r="Y36" s="83"/>
      <c r="Z36" s="83"/>
      <c r="AA36" s="83"/>
      <c r="AB36" s="84"/>
      <c r="AC36" s="85"/>
      <c r="AD36" s="63"/>
    </row>
    <row r="37" spans="1:65" s="72" customFormat="1" ht="15.75" x14ac:dyDescent="0.25">
      <c r="A37" s="73">
        <v>12</v>
      </c>
      <c r="B37" s="73">
        <v>132</v>
      </c>
      <c r="C37" s="73" t="s">
        <v>389</v>
      </c>
      <c r="D37" s="77" t="s">
        <v>390</v>
      </c>
      <c r="E37" s="77">
        <v>0</v>
      </c>
      <c r="F37" s="77">
        <v>7338853521</v>
      </c>
      <c r="G37" s="77"/>
      <c r="H37" s="99">
        <v>250</v>
      </c>
      <c r="I37" s="78">
        <v>10000</v>
      </c>
      <c r="J37" s="78">
        <v>10000</v>
      </c>
      <c r="K37" s="139"/>
      <c r="L37" s="83">
        <v>60000</v>
      </c>
      <c r="M37" s="78">
        <v>80000</v>
      </c>
      <c r="N37" s="77" t="s">
        <v>391</v>
      </c>
      <c r="O37" s="78">
        <f t="shared" si="5"/>
        <v>-20000</v>
      </c>
      <c r="P37" s="78">
        <v>60000</v>
      </c>
      <c r="Q37" s="78">
        <v>40000</v>
      </c>
      <c r="R37" s="77" t="s">
        <v>274</v>
      </c>
      <c r="S37" s="78">
        <f t="shared" si="3"/>
        <v>0</v>
      </c>
      <c r="T37" s="78">
        <f>SUM(S37+60000)+585</f>
        <v>60585</v>
      </c>
      <c r="U37" s="78">
        <v>60585</v>
      </c>
      <c r="V37" s="78" t="s">
        <v>274</v>
      </c>
      <c r="W37" s="83">
        <f t="shared" si="4"/>
        <v>0</v>
      </c>
      <c r="X37" s="77"/>
      <c r="Y37" s="83"/>
      <c r="Z37" s="83"/>
      <c r="AA37" s="83"/>
      <c r="AB37" s="84"/>
      <c r="AC37" s="85"/>
      <c r="AD37" s="63"/>
    </row>
    <row r="38" spans="1:65" s="72" customFormat="1" ht="63" x14ac:dyDescent="0.25">
      <c r="A38" s="73">
        <v>13</v>
      </c>
      <c r="B38" s="73">
        <v>126</v>
      </c>
      <c r="C38" s="73" t="s">
        <v>392</v>
      </c>
      <c r="D38" s="77" t="s">
        <v>393</v>
      </c>
      <c r="E38" s="77">
        <v>0</v>
      </c>
      <c r="F38" s="77">
        <v>7708183437</v>
      </c>
      <c r="G38" s="77">
        <v>9841648413</v>
      </c>
      <c r="H38" s="99">
        <v>250</v>
      </c>
      <c r="I38" s="78">
        <v>10000</v>
      </c>
      <c r="J38" s="78">
        <v>10000</v>
      </c>
      <c r="K38" s="80" t="s">
        <v>394</v>
      </c>
      <c r="L38" s="83">
        <v>60000</v>
      </c>
      <c r="M38" s="78">
        <v>120000</v>
      </c>
      <c r="N38" s="77" t="s">
        <v>395</v>
      </c>
      <c r="O38" s="78">
        <f t="shared" si="5"/>
        <v>-60000</v>
      </c>
      <c r="P38" s="78">
        <v>60000</v>
      </c>
      <c r="Q38" s="78">
        <v>60000</v>
      </c>
      <c r="R38" s="78" t="s">
        <v>288</v>
      </c>
      <c r="S38" s="78">
        <f>SUM(O38+P38)</f>
        <v>0</v>
      </c>
      <c r="T38" s="78">
        <f>SUM(S38+60000)</f>
        <v>60000</v>
      </c>
      <c r="U38" s="78">
        <v>120000</v>
      </c>
      <c r="V38" s="78" t="s">
        <v>288</v>
      </c>
      <c r="W38" s="83">
        <v>0</v>
      </c>
      <c r="X38" s="77" t="s">
        <v>396</v>
      </c>
      <c r="Y38" s="83"/>
      <c r="Z38" s="83"/>
      <c r="AA38" s="83"/>
      <c r="AB38" s="84"/>
      <c r="AC38" s="85"/>
      <c r="AD38" s="63"/>
    </row>
    <row r="39" spans="1:65" ht="18" x14ac:dyDescent="0.25">
      <c r="N39" s="145"/>
      <c r="O39" s="146"/>
      <c r="P39" s="146"/>
      <c r="Q39" s="146"/>
      <c r="R39" s="146"/>
      <c r="S39" s="146"/>
      <c r="AA39" s="122">
        <f>SUM(AA26:AA38)</f>
        <v>0</v>
      </c>
      <c r="AB39" s="123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</row>
    <row r="40" spans="1:65" s="72" customFormat="1" ht="18" x14ac:dyDescent="0.2">
      <c r="A40" s="117"/>
      <c r="C40" s="147" t="s">
        <v>397</v>
      </c>
      <c r="D40" s="148"/>
      <c r="E40" s="148"/>
      <c r="F40" s="148"/>
      <c r="G40" s="148"/>
      <c r="L40" s="149"/>
      <c r="N40" s="150"/>
      <c r="O40" s="151"/>
      <c r="P40" s="151"/>
      <c r="Q40" s="151"/>
      <c r="R40" s="151"/>
      <c r="S40" s="151"/>
      <c r="W40" s="149"/>
      <c r="X40" s="148"/>
      <c r="Y40" s="149"/>
      <c r="Z40" s="149"/>
      <c r="AA40" s="152"/>
      <c r="AB40" s="152"/>
    </row>
    <row r="41" spans="1:65" ht="15.75" x14ac:dyDescent="0.2">
      <c r="A41" s="153">
        <v>5</v>
      </c>
      <c r="B41" s="59">
        <v>140</v>
      </c>
      <c r="C41" s="59" t="s">
        <v>398</v>
      </c>
      <c r="D41" s="154" t="s">
        <v>399</v>
      </c>
      <c r="E41" s="155">
        <v>0</v>
      </c>
      <c r="F41" s="154"/>
      <c r="G41" s="154"/>
      <c r="H41" s="104">
        <v>250</v>
      </c>
      <c r="I41" s="105">
        <v>10000</v>
      </c>
      <c r="J41" s="71">
        <v>0</v>
      </c>
      <c r="K41" s="103"/>
      <c r="L41" s="69">
        <v>60000</v>
      </c>
      <c r="M41" s="105">
        <f>10000+10000+30000</f>
        <v>50000</v>
      </c>
      <c r="N41" s="71" t="s">
        <v>400</v>
      </c>
      <c r="O41" s="105">
        <f>SUM(L41-M41)</f>
        <v>10000</v>
      </c>
      <c r="P41" s="105">
        <f>60000+1000</f>
        <v>61000</v>
      </c>
      <c r="Q41" s="105">
        <v>0</v>
      </c>
      <c r="R41" s="105"/>
      <c r="S41" s="105">
        <f>SUM(O41+P41-Q41)</f>
        <v>71000</v>
      </c>
      <c r="T41" s="105"/>
      <c r="U41" s="105"/>
      <c r="V41" s="105"/>
      <c r="W41" s="69"/>
      <c r="X41" s="71" t="s">
        <v>401</v>
      </c>
      <c r="Y41" s="69"/>
      <c r="Z41" s="69"/>
      <c r="AA41" s="70"/>
      <c r="AB41" s="156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</row>
    <row r="42" spans="1:65" ht="18" x14ac:dyDescent="0.2">
      <c r="L42" s="157"/>
      <c r="M42" s="158"/>
      <c r="S42" s="120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</row>
    <row r="43" spans="1:65" ht="18" x14ac:dyDescent="0.2">
      <c r="J43" s="159"/>
      <c r="K43" s="159"/>
      <c r="L43" s="157"/>
      <c r="M43" s="158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</row>
    <row r="44" spans="1:65" ht="18" x14ac:dyDescent="0.2">
      <c r="L44" s="160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</row>
    <row r="45" spans="1:65" ht="15.75" x14ac:dyDescent="0.2">
      <c r="L45" s="161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</row>
    <row r="46" spans="1:65" ht="18" x14ac:dyDescent="0.2">
      <c r="L46" s="47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</row>
    <row r="47" spans="1:65" x14ac:dyDescent="0.2"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</row>
    <row r="48" spans="1:65" x14ac:dyDescent="0.2"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</row>
    <row r="49" spans="29:65" x14ac:dyDescent="0.2"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</row>
    <row r="50" spans="29:65" x14ac:dyDescent="0.2"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</row>
    <row r="51" spans="29:65" x14ac:dyDescent="0.2"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</row>
    <row r="52" spans="29:65" x14ac:dyDescent="0.2"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</row>
    <row r="53" spans="29:65" x14ac:dyDescent="0.2"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</row>
    <row r="54" spans="29:65" x14ac:dyDescent="0.2"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</row>
    <row r="55" spans="29:65" x14ac:dyDescent="0.2"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</row>
    <row r="56" spans="29:65" x14ac:dyDescent="0.2"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</row>
    <row r="57" spans="29:65" x14ac:dyDescent="0.2"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</row>
    <row r="58" spans="29:65" x14ac:dyDescent="0.2"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</row>
    <row r="59" spans="29:65" x14ac:dyDescent="0.2"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</row>
    <row r="60" spans="29:65" x14ac:dyDescent="0.2"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</row>
    <row r="61" spans="29:65" x14ac:dyDescent="0.2"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</row>
    <row r="62" spans="29:65" x14ac:dyDescent="0.2"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</row>
    <row r="63" spans="29:65" x14ac:dyDescent="0.2"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</row>
    <row r="64" spans="29:65" x14ac:dyDescent="0.2"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</row>
    <row r="65" spans="29:65" x14ac:dyDescent="0.2"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</row>
    <row r="66" spans="29:65" x14ac:dyDescent="0.2"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</row>
    <row r="67" spans="29:65" x14ac:dyDescent="0.2"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</row>
  </sheetData>
  <mergeCells count="1"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FEES COLLECTION</vt:lpstr>
      <vt:lpstr>DAILY REPORT</vt:lpstr>
      <vt:lpstr>FACULTY PAYMENT </vt:lpstr>
      <vt:lpstr>student fees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2019-12-20T06:57:38Z</dcterms:modified>
</cp:coreProperties>
</file>