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II SEM\applied business analytics\"/>
    </mc:Choice>
  </mc:AlternateContent>
  <xr:revisionPtr revIDLastSave="0" documentId="8_{251C8582-908A-4EEB-BE82-CF634745F846}" xr6:coauthVersionLast="47" xr6:coauthVersionMax="47" xr10:uidLastSave="{00000000-0000-0000-0000-000000000000}"/>
  <bookViews>
    <workbookView xWindow="-108" yWindow="-108" windowWidth="23256" windowHeight="12456" xr2:uid="{4FDE9836-A35E-4DED-8536-15648095A295}"/>
  </bookViews>
  <sheets>
    <sheet name="Sheet2" sheetId="2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P20" i="2"/>
  <c r="N20" i="2"/>
  <c r="O19" i="2"/>
  <c r="P19" i="2"/>
  <c r="N19" i="2"/>
  <c r="P9" i="2"/>
  <c r="O10" i="2"/>
  <c r="O9" i="2"/>
  <c r="O6" i="2"/>
  <c r="P8" i="2"/>
  <c r="D9" i="2"/>
  <c r="C10" i="2"/>
  <c r="C9" i="2"/>
  <c r="C6" i="2"/>
  <c r="C14" i="2" l="1"/>
  <c r="B16" i="2"/>
  <c r="H17" i="2"/>
  <c r="I17" i="2"/>
  <c r="J17" i="2"/>
  <c r="J11" i="2"/>
  <c r="J12" i="2"/>
  <c r="H11" i="2"/>
  <c r="N10" i="2"/>
  <c r="N6" i="2"/>
  <c r="C4" i="2"/>
  <c r="C7" i="2"/>
  <c r="C13" i="2"/>
  <c r="D13" i="2" s="1"/>
  <c r="N9" i="2"/>
  <c r="P6" i="2"/>
  <c r="P4" i="2"/>
  <c r="O4" i="2"/>
  <c r="N4" i="2"/>
  <c r="I14" i="2"/>
  <c r="J14" i="2" s="1"/>
  <c r="J5" i="2"/>
  <c r="J7" i="2" s="1"/>
  <c r="I5" i="2"/>
  <c r="I7" i="2" s="1"/>
  <c r="H5" i="2"/>
  <c r="H7" i="2" s="1"/>
  <c r="J4" i="2"/>
  <c r="I4" i="2"/>
  <c r="H4" i="2"/>
  <c r="B9" i="2"/>
  <c r="B6" i="2"/>
  <c r="B10" i="2" s="1"/>
  <c r="D6" i="2"/>
  <c r="D4" i="2"/>
  <c r="B4" i="2"/>
  <c r="N11" i="2" l="1"/>
  <c r="C11" i="2"/>
  <c r="C12" i="2" s="1"/>
  <c r="C16" i="2" s="1"/>
  <c r="D10" i="2"/>
  <c r="D11" i="2" s="1"/>
  <c r="D12" i="2" s="1"/>
  <c r="N16" i="2"/>
  <c r="N18" i="2" s="1"/>
  <c r="O11" i="2"/>
  <c r="N7" i="2"/>
  <c r="O7" i="2"/>
  <c r="P7" i="2"/>
  <c r="H8" i="2"/>
  <c r="H10" i="2"/>
  <c r="H15" i="2" s="1"/>
  <c r="I8" i="2"/>
  <c r="I10" i="2"/>
  <c r="I15" i="2" s="1"/>
  <c r="J10" i="2"/>
  <c r="J8" i="2"/>
  <c r="J15" i="2"/>
  <c r="B7" i="2"/>
  <c r="D7" i="2"/>
  <c r="N12" i="2" l="1"/>
  <c r="N17" i="2"/>
  <c r="C15" i="2"/>
  <c r="O12" i="2"/>
  <c r="O16" i="2"/>
  <c r="J13" i="2"/>
  <c r="J16" i="2" s="1"/>
  <c r="I12" i="2"/>
  <c r="I11" i="2"/>
  <c r="H12" i="2"/>
  <c r="H13" i="2" s="1"/>
  <c r="H16" i="2" s="1"/>
  <c r="I13" i="2"/>
  <c r="I16" i="2" s="1"/>
  <c r="D14" i="2"/>
  <c r="D15" i="2" s="1"/>
  <c r="B11" i="2"/>
  <c r="B12" i="2" s="1"/>
  <c r="B14" i="2"/>
  <c r="D16" i="2" l="1"/>
  <c r="O17" i="2"/>
  <c r="O18" i="2"/>
  <c r="B15" i="2"/>
  <c r="P10" i="2" l="1"/>
  <c r="P16" i="2" s="1"/>
  <c r="P17" i="2" l="1"/>
  <c r="P18" i="2"/>
  <c r="P11" i="2"/>
  <c r="P12" i="2" s="1"/>
</calcChain>
</file>

<file path=xl/sharedStrings.xml><?xml version="1.0" encoding="utf-8"?>
<sst xmlns="http://schemas.openxmlformats.org/spreadsheetml/2006/main" count="75" uniqueCount="37">
  <si>
    <t>Year 1</t>
  </si>
  <si>
    <t>Year 2</t>
  </si>
  <si>
    <t>Year 3</t>
  </si>
  <si>
    <t>Baseline ER Utilization</t>
  </si>
  <si>
    <t>Net Savings: Gross Savings - Added Costs</t>
  </si>
  <si>
    <t>Average member months</t>
  </si>
  <si>
    <t>Average Membership</t>
  </si>
  <si>
    <t>Baseline ER Utilization per 1000</t>
  </si>
  <si>
    <t>Total ER Visits Cost</t>
  </si>
  <si>
    <t xml:space="preserve">Reduced Ultization </t>
  </si>
  <si>
    <t>Reduced Utilization per 1000</t>
  </si>
  <si>
    <t>Reduced Utilization cost</t>
  </si>
  <si>
    <t>Gross Cost Saving From Reduced Utilization</t>
  </si>
  <si>
    <t>Salary</t>
  </si>
  <si>
    <t>Return on Investment</t>
  </si>
  <si>
    <t>Hiring Additional Practitioner</t>
  </si>
  <si>
    <t>Reduction ER %</t>
  </si>
  <si>
    <t>Accessible Members</t>
  </si>
  <si>
    <t xml:space="preserve">General Operating Cost </t>
  </si>
  <si>
    <t>Offsetting Cost</t>
  </si>
  <si>
    <t>Additional Urgent Care Space</t>
  </si>
  <si>
    <t xml:space="preserve">Reduced Utilization </t>
  </si>
  <si>
    <t>Marketing cost</t>
  </si>
  <si>
    <t>Set-up cost</t>
  </si>
  <si>
    <t>Avoided Visits</t>
  </si>
  <si>
    <t>New Phone Line</t>
  </si>
  <si>
    <t>Reduced Ultization  per 1000</t>
  </si>
  <si>
    <t>Primary care doctor visit cost</t>
  </si>
  <si>
    <t>Local urgent care center cost</t>
  </si>
  <si>
    <t xml:space="preserve"> </t>
  </si>
  <si>
    <t>Overhead cost</t>
  </si>
  <si>
    <t>ROI</t>
  </si>
  <si>
    <t>Year2</t>
  </si>
  <si>
    <t>Year3</t>
  </si>
  <si>
    <t>Year1</t>
  </si>
  <si>
    <t>Net Savings</t>
  </si>
  <si>
    <t>Reduced ER visit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</si>
</sst>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[$$-409]#,##0.00"/>
    <numFmt numFmtId="17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2" applyFont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9" fontId="0" fillId="0" borderId="8" xfId="0" applyNumberFormat="1" applyBorder="1"/>
    <xf numFmtId="0" fontId="0" fillId="3" borderId="9" xfId="0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9" fontId="0" fillId="0" borderId="12" xfId="0" applyNumberFormat="1" applyBorder="1"/>
    <xf numFmtId="0" fontId="0" fillId="0" borderId="8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9" xfId="0" applyFill="1" applyBorder="1"/>
    <xf numFmtId="10" fontId="0" fillId="2" borderId="10" xfId="2" applyNumberFormat="1" applyFont="1" applyFill="1" applyBorder="1"/>
    <xf numFmtId="165" fontId="0" fillId="0" borderId="8" xfId="0" applyNumberFormat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165" fontId="0" fillId="0" borderId="7" xfId="0" applyNumberFormat="1" applyBorder="1"/>
    <xf numFmtId="0" fontId="0" fillId="2" borderId="13" xfId="0" applyFill="1" applyBorder="1"/>
    <xf numFmtId="10" fontId="0" fillId="2" borderId="14" xfId="2" applyNumberFormat="1" applyFont="1" applyFill="1" applyBorder="1"/>
    <xf numFmtId="165" fontId="0" fillId="3" borderId="11" xfId="1" applyNumberFormat="1" applyFont="1" applyFill="1" applyBorder="1"/>
    <xf numFmtId="0" fontId="0" fillId="4" borderId="6" xfId="0" applyFill="1" applyBorder="1"/>
    <xf numFmtId="0" fontId="0" fillId="0" borderId="6" xfId="0" applyBorder="1"/>
    <xf numFmtId="176" fontId="0" fillId="0" borderId="7" xfId="0" applyNumberFormat="1" applyBorder="1"/>
    <xf numFmtId="176" fontId="0" fillId="3" borderId="10" xfId="0" applyNumberFormat="1" applyFill="1" applyBorder="1"/>
    <xf numFmtId="176" fontId="0" fillId="3" borderId="11" xfId="0" applyNumberFormat="1" applyFill="1" applyBorder="1"/>
    <xf numFmtId="176" fontId="0" fillId="0" borderId="8" xfId="0" applyNumberFormat="1" applyBorder="1"/>
    <xf numFmtId="176" fontId="0" fillId="0" borderId="5" xfId="0" applyNumberFormat="1" applyBorder="1"/>
    <xf numFmtId="176" fontId="0" fillId="0" borderId="12" xfId="0" applyNumberFormat="1" applyBorder="1"/>
    <xf numFmtId="176" fontId="0" fillId="3" borderId="9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6" xfId="0" applyBorder="1"/>
    <xf numFmtId="0" fontId="0" fillId="0" borderId="12" xfId="0" applyFill="1" applyBorder="1"/>
    <xf numFmtId="9" fontId="0" fillId="0" borderId="5" xfId="2" applyFont="1" applyBorder="1"/>
    <xf numFmtId="0" fontId="0" fillId="0" borderId="0" xfId="0" applyFill="1"/>
    <xf numFmtId="0" fontId="0" fillId="3" borderId="6" xfId="0" applyFill="1" applyBorder="1"/>
    <xf numFmtId="0" fontId="0" fillId="2" borderId="6" xfId="0" applyFill="1" applyBorder="1"/>
    <xf numFmtId="0" fontId="0" fillId="5" borderId="6" xfId="0" applyFill="1" applyBorder="1"/>
    <xf numFmtId="9" fontId="0" fillId="0" borderId="15" xfId="2" applyFont="1" applyBorder="1"/>
    <xf numFmtId="176" fontId="0" fillId="0" borderId="15" xfId="0" applyNumberFormat="1" applyBorder="1"/>
    <xf numFmtId="2" fontId="0" fillId="0" borderId="15" xfId="0" applyNumberFormat="1" applyBorder="1"/>
    <xf numFmtId="9" fontId="0" fillId="0" borderId="0" xfId="2" applyFont="1" applyBorder="1"/>
    <xf numFmtId="0" fontId="0" fillId="0" borderId="18" xfId="0" applyBorder="1"/>
    <xf numFmtId="0" fontId="0" fillId="0" borderId="19" xfId="0" applyFill="1" applyBorder="1"/>
    <xf numFmtId="176" fontId="0" fillId="0" borderId="17" xfId="0" applyNumberFormat="1" applyBorder="1"/>
    <xf numFmtId="9" fontId="0" fillId="0" borderId="20" xfId="2" applyFont="1" applyBorder="1"/>
    <xf numFmtId="176" fontId="0" fillId="0" borderId="2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539C-4AD6-4E15-AD75-EF3A437D0E4B}">
  <dimension ref="A1:P24"/>
  <sheetViews>
    <sheetView tabSelected="1" topLeftCell="E1" workbookViewId="0">
      <selection activeCell="M1" sqref="M1:P20"/>
    </sheetView>
  </sheetViews>
  <sheetFormatPr defaultRowHeight="14.4" x14ac:dyDescent="0.3"/>
  <cols>
    <col min="1" max="1" width="36.77734375" bestFit="1" customWidth="1"/>
    <col min="2" max="3" width="13.6640625" bestFit="1" customWidth="1"/>
    <col min="4" max="4" width="13.6640625" customWidth="1"/>
    <col min="7" max="7" width="36.77734375" bestFit="1" customWidth="1"/>
    <col min="8" max="10" width="13.6640625" bestFit="1" customWidth="1"/>
    <col min="13" max="13" width="36.77734375" bestFit="1" customWidth="1"/>
    <col min="14" max="16" width="13.6640625" bestFit="1" customWidth="1"/>
  </cols>
  <sheetData>
    <row r="1" spans="1:16" ht="15" thickBot="1" x14ac:dyDescent="0.35">
      <c r="A1" s="28" t="s">
        <v>15</v>
      </c>
      <c r="B1" s="3"/>
      <c r="C1" s="3"/>
      <c r="D1" s="4"/>
      <c r="G1" s="28" t="s">
        <v>20</v>
      </c>
      <c r="H1" s="3"/>
      <c r="I1" s="3"/>
      <c r="J1" s="4"/>
      <c r="M1" s="28" t="s">
        <v>25</v>
      </c>
      <c r="N1" s="3"/>
      <c r="O1" s="3"/>
      <c r="P1" s="4"/>
    </row>
    <row r="2" spans="1:16" ht="15" thickBot="1" x14ac:dyDescent="0.35">
      <c r="A2" s="1"/>
      <c r="B2" s="29" t="s">
        <v>0</v>
      </c>
      <c r="C2" s="29" t="s">
        <v>1</v>
      </c>
      <c r="D2" s="29" t="s">
        <v>2</v>
      </c>
      <c r="G2" s="1"/>
      <c r="H2" s="29" t="s">
        <v>0</v>
      </c>
      <c r="I2" s="29" t="s">
        <v>1</v>
      </c>
      <c r="J2" s="29" t="s">
        <v>2</v>
      </c>
      <c r="M2" s="1"/>
      <c r="N2" s="29" t="s">
        <v>0</v>
      </c>
      <c r="O2" s="29" t="s">
        <v>1</v>
      </c>
      <c r="P2" s="29" t="s">
        <v>2</v>
      </c>
    </row>
    <row r="3" spans="1:16" x14ac:dyDescent="0.3">
      <c r="A3" s="1" t="s">
        <v>6</v>
      </c>
      <c r="B3" s="15">
        <v>5000</v>
      </c>
      <c r="C3" s="15">
        <v>5500</v>
      </c>
      <c r="D3" s="15">
        <v>6000</v>
      </c>
      <c r="G3" s="1" t="s">
        <v>6</v>
      </c>
      <c r="H3" s="15">
        <v>5000</v>
      </c>
      <c r="I3" s="15">
        <v>5500</v>
      </c>
      <c r="J3" s="15">
        <v>6000</v>
      </c>
      <c r="M3" s="1" t="s">
        <v>6</v>
      </c>
      <c r="N3" s="15">
        <v>5000</v>
      </c>
      <c r="O3" s="15">
        <v>5500</v>
      </c>
      <c r="P3" s="15">
        <v>6000</v>
      </c>
    </row>
    <row r="4" spans="1:16" x14ac:dyDescent="0.3">
      <c r="A4" s="1" t="s">
        <v>5</v>
      </c>
      <c r="B4" s="7">
        <f>B3*12</f>
        <v>60000</v>
      </c>
      <c r="C4" s="7">
        <f t="shared" ref="C4:D4" si="0">C3*12</f>
        <v>66000</v>
      </c>
      <c r="D4" s="7">
        <f t="shared" si="0"/>
        <v>72000</v>
      </c>
      <c r="G4" s="1" t="s">
        <v>5</v>
      </c>
      <c r="H4" s="7">
        <f>H3*12</f>
        <v>60000</v>
      </c>
      <c r="I4" s="7">
        <f t="shared" ref="I4:J4" si="1">I3*12</f>
        <v>66000</v>
      </c>
      <c r="J4" s="7">
        <f t="shared" si="1"/>
        <v>72000</v>
      </c>
      <c r="M4" s="1" t="s">
        <v>5</v>
      </c>
      <c r="N4" s="7">
        <f>N3*12</f>
        <v>60000</v>
      </c>
      <c r="O4" s="7">
        <f t="shared" ref="O4:P4" si="2">O3*12</f>
        <v>66000</v>
      </c>
      <c r="P4" s="7">
        <f t="shared" si="2"/>
        <v>72000</v>
      </c>
    </row>
    <row r="5" spans="1:16" x14ac:dyDescent="0.3">
      <c r="A5" s="1" t="s">
        <v>7</v>
      </c>
      <c r="B5" s="7">
        <v>525</v>
      </c>
      <c r="C5" s="7">
        <v>525</v>
      </c>
      <c r="D5" s="7">
        <v>525</v>
      </c>
      <c r="G5" s="1" t="s">
        <v>17</v>
      </c>
      <c r="H5" s="7">
        <f>H3-H3*60%</f>
        <v>2000</v>
      </c>
      <c r="I5" s="7">
        <f t="shared" ref="I5:J5" si="3">I3-I3*60%</f>
        <v>2200</v>
      </c>
      <c r="J5" s="7">
        <f t="shared" si="3"/>
        <v>2400</v>
      </c>
      <c r="M5" s="1" t="s">
        <v>7</v>
      </c>
      <c r="N5" s="7">
        <v>525</v>
      </c>
      <c r="O5" s="7">
        <v>525</v>
      </c>
      <c r="P5" s="7">
        <v>525</v>
      </c>
    </row>
    <row r="6" spans="1:16" ht="15" thickBot="1" x14ac:dyDescent="0.35">
      <c r="A6" s="1" t="s">
        <v>3</v>
      </c>
      <c r="B6" s="9">
        <f>B3/1000*B5</f>
        <v>2625</v>
      </c>
      <c r="C6" s="9">
        <f>C5/12000*C4</f>
        <v>2887.5</v>
      </c>
      <c r="D6" s="9">
        <f>D3/1000*D5</f>
        <v>3150</v>
      </c>
      <c r="G6" s="1" t="s">
        <v>7</v>
      </c>
      <c r="H6" s="7">
        <v>525</v>
      </c>
      <c r="I6" s="7">
        <v>525</v>
      </c>
      <c r="J6" s="7">
        <v>525</v>
      </c>
      <c r="L6" t="s">
        <v>29</v>
      </c>
      <c r="M6" s="1" t="s">
        <v>3</v>
      </c>
      <c r="N6" s="9">
        <f>N3/1000*N5</f>
        <v>2625</v>
      </c>
      <c r="O6" s="9">
        <f>O5/12000*O4</f>
        <v>2887.5</v>
      </c>
      <c r="P6" s="9">
        <f t="shared" ref="O6:P6" si="4">P3/1000*P5</f>
        <v>3150</v>
      </c>
    </row>
    <row r="7" spans="1:16" ht="15" thickBot="1" x14ac:dyDescent="0.35">
      <c r="A7" s="11" t="s">
        <v>8</v>
      </c>
      <c r="B7" s="12">
        <f>B6*1200</f>
        <v>3150000</v>
      </c>
      <c r="C7" s="12">
        <f t="shared" ref="C7:D7" si="5">C6*1200</f>
        <v>3465000</v>
      </c>
      <c r="D7" s="13">
        <f t="shared" si="5"/>
        <v>3780000</v>
      </c>
      <c r="G7" s="1" t="s">
        <v>3</v>
      </c>
      <c r="H7" s="9">
        <f>H5/1000*H6</f>
        <v>1050</v>
      </c>
      <c r="I7" s="9">
        <f t="shared" ref="I7:J7" si="6">I5/1000*I6</f>
        <v>1155</v>
      </c>
      <c r="J7" s="9">
        <f t="shared" si="6"/>
        <v>1260</v>
      </c>
      <c r="M7" s="36" t="s">
        <v>8</v>
      </c>
      <c r="N7" s="31">
        <f>N6*1200</f>
        <v>3150000</v>
      </c>
      <c r="O7" s="31">
        <f t="shared" ref="O7:P7" si="7">O6*1200</f>
        <v>3465000</v>
      </c>
      <c r="P7" s="32">
        <f t="shared" si="7"/>
        <v>3780000</v>
      </c>
    </row>
    <row r="8" spans="1:16" ht="15" thickBot="1" x14ac:dyDescent="0.35">
      <c r="A8" s="1" t="s">
        <v>16</v>
      </c>
      <c r="B8" s="14">
        <v>0.1</v>
      </c>
      <c r="C8" s="14">
        <v>0.05</v>
      </c>
      <c r="D8" s="14">
        <v>0</v>
      </c>
      <c r="G8" s="11" t="s">
        <v>8</v>
      </c>
      <c r="H8" s="31">
        <f>(H7*1200)</f>
        <v>1260000</v>
      </c>
      <c r="I8" s="31">
        <f t="shared" ref="I8:J8" si="8">(I7*1200)</f>
        <v>1386000</v>
      </c>
      <c r="J8" s="32">
        <f t="shared" si="8"/>
        <v>1512000</v>
      </c>
      <c r="M8" s="1" t="s">
        <v>16</v>
      </c>
      <c r="N8" s="14">
        <v>0.1</v>
      </c>
      <c r="O8" s="14">
        <v>0.05</v>
      </c>
      <c r="P8" s="14">
        <f>0%</f>
        <v>0</v>
      </c>
    </row>
    <row r="9" spans="1:16" ht="15" thickBot="1" x14ac:dyDescent="0.35">
      <c r="A9" s="16" t="s">
        <v>10</v>
      </c>
      <c r="B9" s="17">
        <f>B5 - B8*B5</f>
        <v>472.5</v>
      </c>
      <c r="C9" s="17">
        <f>B9-B9*C8</f>
        <v>448.875</v>
      </c>
      <c r="D9" s="17">
        <f>C9-C9*D8</f>
        <v>448.875</v>
      </c>
      <c r="G9" s="1" t="s">
        <v>16</v>
      </c>
      <c r="H9" s="10">
        <v>0.15</v>
      </c>
      <c r="I9" s="10">
        <v>0.15</v>
      </c>
      <c r="J9" s="10">
        <v>0.15</v>
      </c>
      <c r="M9" s="16" t="s">
        <v>26</v>
      </c>
      <c r="N9" s="17">
        <f>N5 - N8*N5</f>
        <v>472.5</v>
      </c>
      <c r="O9" s="17">
        <f>N9-N9*O8</f>
        <v>448.875</v>
      </c>
      <c r="P9" s="17">
        <f>O9-O9*P8</f>
        <v>448.875</v>
      </c>
    </row>
    <row r="10" spans="1:16" ht="15" thickBot="1" x14ac:dyDescent="0.35">
      <c r="A10" s="1" t="s">
        <v>9</v>
      </c>
      <c r="B10" s="15">
        <f>B6-B6*B8</f>
        <v>2362.5</v>
      </c>
      <c r="C10" s="15">
        <f>C9/12000*C4</f>
        <v>2468.8125</v>
      </c>
      <c r="D10" s="15">
        <f>D9/12000*D4</f>
        <v>2693.25</v>
      </c>
      <c r="G10" s="1" t="s">
        <v>9</v>
      </c>
      <c r="H10" s="9">
        <f>H7-H7*H9</f>
        <v>892.5</v>
      </c>
      <c r="I10" s="9">
        <f>I7-I7*I9</f>
        <v>981.75</v>
      </c>
      <c r="J10" s="9">
        <f>J7-J7*J9</f>
        <v>1071</v>
      </c>
      <c r="M10" s="1" t="s">
        <v>21</v>
      </c>
      <c r="N10" s="15">
        <f>N6 - N6*N8</f>
        <v>2362.5</v>
      </c>
      <c r="O10" s="15">
        <f>O9/12000*O4</f>
        <v>2468.8125</v>
      </c>
      <c r="P10" s="15">
        <f>P9/12000*P4</f>
        <v>2693.25</v>
      </c>
    </row>
    <row r="11" spans="1:16" ht="15" thickBot="1" x14ac:dyDescent="0.35">
      <c r="A11" s="1" t="s">
        <v>11</v>
      </c>
      <c r="B11" s="30">
        <f>B10*1200</f>
        <v>2835000</v>
      </c>
      <c r="C11" s="30">
        <f t="shared" ref="C11:D11" si="9">C10*1200</f>
        <v>2962575</v>
      </c>
      <c r="D11" s="30">
        <f t="shared" si="9"/>
        <v>3231900</v>
      </c>
      <c r="G11" s="16" t="s">
        <v>10</v>
      </c>
      <c r="H11" s="17">
        <f>H10/H5*1000</f>
        <v>446.25</v>
      </c>
      <c r="I11" s="17">
        <f t="shared" ref="I11:J11" si="10">I10/I5*1000</f>
        <v>446.25</v>
      </c>
      <c r="J11" s="18">
        <f>J10/J5*1000</f>
        <v>446.25</v>
      </c>
      <c r="M11" s="1" t="s">
        <v>11</v>
      </c>
      <c r="N11" s="30">
        <f>N10*1200</f>
        <v>2835000</v>
      </c>
      <c r="O11" s="30">
        <f t="shared" ref="O11:P11" si="11">O10*1200</f>
        <v>2962575</v>
      </c>
      <c r="P11" s="30">
        <f t="shared" si="11"/>
        <v>3231900</v>
      </c>
    </row>
    <row r="12" spans="1:16" ht="15" thickBot="1" x14ac:dyDescent="0.35">
      <c r="A12" s="11" t="s">
        <v>12</v>
      </c>
      <c r="B12" s="31">
        <f>B7-B11</f>
        <v>315000</v>
      </c>
      <c r="C12" s="31">
        <f t="shared" ref="C12:D12" si="12">C7-C11</f>
        <v>502425</v>
      </c>
      <c r="D12" s="32">
        <f t="shared" si="12"/>
        <v>548100</v>
      </c>
      <c r="G12" s="1" t="s">
        <v>11</v>
      </c>
      <c r="H12" s="35">
        <f>H10*1200</f>
        <v>1071000</v>
      </c>
      <c r="I12" s="35">
        <f t="shared" ref="I12:J12" si="13">I10*1200</f>
        <v>1178100</v>
      </c>
      <c r="J12" s="35">
        <f>J10*1200</f>
        <v>1285200</v>
      </c>
      <c r="M12" s="11" t="s">
        <v>12</v>
      </c>
      <c r="N12" s="31">
        <f>N7-N11</f>
        <v>315000</v>
      </c>
      <c r="O12" s="31">
        <f t="shared" ref="O12:P12" si="14">O7-O11</f>
        <v>502425</v>
      </c>
      <c r="P12" s="32">
        <f t="shared" si="14"/>
        <v>548100</v>
      </c>
    </row>
    <row r="13" spans="1:16" ht="15" thickBot="1" x14ac:dyDescent="0.35">
      <c r="A13" s="1" t="s">
        <v>13</v>
      </c>
      <c r="B13" s="33">
        <v>90000</v>
      </c>
      <c r="C13" s="33">
        <f>B13 + (3/100)*B13</f>
        <v>92700</v>
      </c>
      <c r="D13" s="33">
        <f>C13 + (3/100)*C13</f>
        <v>95481</v>
      </c>
      <c r="G13" s="11" t="s">
        <v>12</v>
      </c>
      <c r="H13" s="22">
        <f>H8-H12</f>
        <v>189000</v>
      </c>
      <c r="I13" s="22">
        <f t="shared" ref="I13:J13" si="15">I8-I12</f>
        <v>207900</v>
      </c>
      <c r="J13" s="23">
        <f t="shared" si="15"/>
        <v>226800</v>
      </c>
      <c r="M13" s="39" t="s">
        <v>23</v>
      </c>
      <c r="N13" s="33">
        <v>10000</v>
      </c>
      <c r="O13" s="33">
        <v>0</v>
      </c>
      <c r="P13" s="33">
        <v>0</v>
      </c>
    </row>
    <row r="14" spans="1:16" ht="15" thickBot="1" x14ac:dyDescent="0.35">
      <c r="A14" s="2" t="s">
        <v>19</v>
      </c>
      <c r="B14" s="30">
        <f>(B6-B10)/2*75</f>
        <v>9843.75</v>
      </c>
      <c r="C14" s="30">
        <f t="shared" ref="C14:D14" si="16">(C6-C10)/2*75</f>
        <v>15700.78125</v>
      </c>
      <c r="D14" s="30">
        <f t="shared" si="16"/>
        <v>17128.125</v>
      </c>
      <c r="G14" s="1" t="s">
        <v>18</v>
      </c>
      <c r="H14" s="21">
        <v>115000</v>
      </c>
      <c r="I14" s="21">
        <f>H14+ H14*5%</f>
        <v>120750</v>
      </c>
      <c r="J14" s="21">
        <f>I14+ I14*5%</f>
        <v>126787.5</v>
      </c>
      <c r="M14" s="40" t="s">
        <v>30</v>
      </c>
      <c r="N14" s="7">
        <v>20000</v>
      </c>
      <c r="O14" s="7">
        <v>20000</v>
      </c>
      <c r="P14" s="7">
        <v>20000</v>
      </c>
    </row>
    <row r="15" spans="1:16" ht="15" thickBot="1" x14ac:dyDescent="0.35">
      <c r="A15" s="11" t="s">
        <v>4</v>
      </c>
      <c r="B15" s="31">
        <f>B12-B14-B13</f>
        <v>215156.25</v>
      </c>
      <c r="C15" s="31">
        <f t="shared" ref="C15:D15" si="17">C12-C14-C13</f>
        <v>394024.21875</v>
      </c>
      <c r="D15" s="32">
        <f t="shared" si="17"/>
        <v>435490.875</v>
      </c>
      <c r="G15" s="2" t="s">
        <v>19</v>
      </c>
      <c r="H15" s="24">
        <f>(H7-H10)*150</f>
        <v>23625</v>
      </c>
      <c r="I15" s="24">
        <f>(I7-I10)*150</f>
        <v>25987.5</v>
      </c>
      <c r="J15" s="24">
        <f>(J7-J10)*150</f>
        <v>28350</v>
      </c>
      <c r="M15" s="1" t="s">
        <v>22</v>
      </c>
      <c r="N15" s="34">
        <v>5000</v>
      </c>
      <c r="O15" s="34">
        <v>5000</v>
      </c>
      <c r="P15" s="34">
        <v>5000</v>
      </c>
    </row>
    <row r="16" spans="1:16" ht="15" thickBot="1" x14ac:dyDescent="0.35">
      <c r="A16" s="19" t="s">
        <v>14</v>
      </c>
      <c r="B16" s="20">
        <f>B12/(B13+B14)</f>
        <v>3.1549295774647885</v>
      </c>
      <c r="C16" s="20">
        <f t="shared" ref="C16:D16" si="18">C12/(C13+C14)</f>
        <v>4.6348835700849715</v>
      </c>
      <c r="D16" s="20">
        <f t="shared" si="18"/>
        <v>4.8672787396225665</v>
      </c>
      <c r="G16" s="11" t="s">
        <v>4</v>
      </c>
      <c r="H16" s="22">
        <f>H13-H14-H15</f>
        <v>50375</v>
      </c>
      <c r="I16" s="22">
        <f t="shared" ref="I16:J16" si="19">I13-I14-I15</f>
        <v>61162.5</v>
      </c>
      <c r="J16" s="27">
        <f t="shared" si="19"/>
        <v>71662.5</v>
      </c>
      <c r="M16" s="1" t="s">
        <v>24</v>
      </c>
      <c r="N16" s="34">
        <f>N6-N10</f>
        <v>262.5</v>
      </c>
      <c r="O16" s="34">
        <f>O6-O10</f>
        <v>418.6875</v>
      </c>
      <c r="P16" s="34">
        <f>P6-P10</f>
        <v>456.75</v>
      </c>
    </row>
    <row r="17" spans="2:16" ht="15" thickBot="1" x14ac:dyDescent="0.35">
      <c r="B17" s="6"/>
      <c r="G17" s="25" t="s">
        <v>14</v>
      </c>
      <c r="H17" s="26">
        <f t="shared" ref="H17:I17" si="20">H13/(H14+H15)</f>
        <v>1.3633904418394951</v>
      </c>
      <c r="I17" s="26">
        <f t="shared" si="20"/>
        <v>1.4168157423971377</v>
      </c>
      <c r="J17" s="26">
        <f>J13/(J14+J15)</f>
        <v>1.4619289340101522</v>
      </c>
      <c r="M17" s="1" t="s">
        <v>28</v>
      </c>
      <c r="N17" s="34">
        <f>(N16*30%)*150</f>
        <v>11812.5</v>
      </c>
      <c r="O17" s="34">
        <f t="shared" ref="O17:P17" si="21">(O16*30%)*150</f>
        <v>18840.9375</v>
      </c>
      <c r="P17" s="34">
        <f t="shared" si="21"/>
        <v>20553.75</v>
      </c>
    </row>
    <row r="18" spans="2:16" ht="15" thickBot="1" x14ac:dyDescent="0.35">
      <c r="M18" s="2" t="s">
        <v>27</v>
      </c>
      <c r="N18" s="30">
        <f>(N16*40%)*75</f>
        <v>7875</v>
      </c>
      <c r="O18" s="30">
        <f t="shared" ref="O18:P18" si="22">(O16*40%)*75</f>
        <v>12560.625000000002</v>
      </c>
      <c r="P18" s="30">
        <f t="shared" si="22"/>
        <v>13702.500000000002</v>
      </c>
    </row>
    <row r="19" spans="2:16" ht="15" thickBot="1" x14ac:dyDescent="0.35">
      <c r="M19" s="11" t="s">
        <v>4</v>
      </c>
      <c r="N19" s="31">
        <f>N12-N13-N15-N17-N18-N14</f>
        <v>260312.5</v>
      </c>
      <c r="O19" s="31">
        <f t="shared" ref="O19:P19" si="23">O12-O13-O15-O17-O18-O14</f>
        <v>446023.4375</v>
      </c>
      <c r="P19" s="31">
        <f t="shared" si="23"/>
        <v>488843.75</v>
      </c>
    </row>
    <row r="20" spans="2:16" ht="15" thickBot="1" x14ac:dyDescent="0.35">
      <c r="H20" s="37"/>
      <c r="M20" s="19" t="s">
        <v>14</v>
      </c>
      <c r="N20" s="20">
        <f>N12/(N13+N15+N17+N18+N14)</f>
        <v>5.76</v>
      </c>
      <c r="O20" s="20">
        <f t="shared" ref="O20:P20" si="24">O12/(O13+O15+O17+O18+O14)</f>
        <v>8.9079978945618752</v>
      </c>
      <c r="P20" s="20">
        <f t="shared" si="24"/>
        <v>9.2496572091551528</v>
      </c>
    </row>
    <row r="21" spans="2:16" x14ac:dyDescent="0.3">
      <c r="G21" s="37"/>
      <c r="H21" s="37"/>
    </row>
    <row r="22" spans="2:16" x14ac:dyDescent="0.3">
      <c r="G22" s="37"/>
      <c r="H22" s="37"/>
    </row>
    <row r="23" spans="2:16" x14ac:dyDescent="0.3">
      <c r="G23" s="37"/>
      <c r="H23" s="37"/>
    </row>
    <row r="24" spans="2:16" x14ac:dyDescent="0.3">
      <c r="G24" s="37"/>
      <c r="H24" s="37"/>
    </row>
  </sheetData>
  <phoneticPr fontId="2" type="noConversion"/>
  <pageMargins left="0.7" right="0.7" top="0.75" bottom="0.75" header="0.3" footer="0.3"/>
  <ignoredErrors>
    <ignoredError sqref="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AF81-D649-4E2C-88D4-A0A79BC4FBB0}">
  <dimension ref="A1:F16"/>
  <sheetViews>
    <sheetView workbookViewId="0">
      <selection sqref="A1:E13"/>
    </sheetView>
  </sheetViews>
  <sheetFormatPr defaultRowHeight="14.4" x14ac:dyDescent="0.3"/>
  <cols>
    <col min="1" max="1" width="22.109375" bestFit="1" customWidth="1"/>
    <col min="2" max="2" width="6.5546875" bestFit="1" customWidth="1"/>
    <col min="3" max="3" width="24.6640625" bestFit="1" customWidth="1"/>
    <col min="4" max="4" width="25" bestFit="1" customWidth="1"/>
    <col min="5" max="5" width="14.21875" bestFit="1" customWidth="1"/>
  </cols>
  <sheetData>
    <row r="1" spans="1:6" ht="15" thickBot="1" x14ac:dyDescent="0.35">
      <c r="A1" s="37"/>
      <c r="B1" s="5"/>
      <c r="C1" s="28" t="s">
        <v>15</v>
      </c>
      <c r="D1" s="28" t="s">
        <v>20</v>
      </c>
      <c r="E1" s="28" t="s">
        <v>25</v>
      </c>
    </row>
    <row r="2" spans="1:6" ht="15" thickBot="1" x14ac:dyDescent="0.35">
      <c r="A2" s="37"/>
      <c r="B2" s="37"/>
      <c r="C2" s="38"/>
      <c r="D2" s="38"/>
      <c r="E2" s="38"/>
    </row>
    <row r="3" spans="1:6" ht="15" thickBot="1" x14ac:dyDescent="0.35">
      <c r="A3" s="44" t="s">
        <v>31</v>
      </c>
      <c r="B3" s="28" t="s">
        <v>34</v>
      </c>
      <c r="C3" s="53">
        <v>3.1549295774647885</v>
      </c>
      <c r="D3" s="41">
        <v>1.3633904418394951</v>
      </c>
      <c r="E3" s="41">
        <v>5.76</v>
      </c>
    </row>
    <row r="4" spans="1:6" ht="15" thickBot="1" x14ac:dyDescent="0.35">
      <c r="B4" s="28" t="s">
        <v>32</v>
      </c>
      <c r="C4" s="46">
        <v>4.6348835700849715</v>
      </c>
      <c r="D4" s="41">
        <v>1.4168157423971377</v>
      </c>
      <c r="E4" s="41">
        <v>8.9079978945618752</v>
      </c>
    </row>
    <row r="5" spans="1:6" ht="15" thickBot="1" x14ac:dyDescent="0.35">
      <c r="B5" s="28" t="s">
        <v>33</v>
      </c>
      <c r="C5" s="53">
        <v>4.8672787396225665</v>
      </c>
      <c r="D5" s="41">
        <v>1.4619289340101522</v>
      </c>
      <c r="E5" s="41">
        <v>9.2496572091551528</v>
      </c>
    </row>
    <row r="6" spans="1:6" ht="15" thickBot="1" x14ac:dyDescent="0.35">
      <c r="A6" s="37"/>
      <c r="B6" s="38"/>
      <c r="C6" s="49"/>
      <c r="D6" s="49"/>
      <c r="E6" s="49"/>
      <c r="F6" s="37"/>
    </row>
    <row r="7" spans="1:6" ht="15" thickBot="1" x14ac:dyDescent="0.35">
      <c r="A7" s="43" t="s">
        <v>35</v>
      </c>
      <c r="B7" s="28" t="s">
        <v>34</v>
      </c>
      <c r="C7" s="54">
        <v>215156.25</v>
      </c>
      <c r="D7" s="34">
        <v>50375</v>
      </c>
      <c r="E7" s="34">
        <v>260312.5</v>
      </c>
    </row>
    <row r="8" spans="1:6" ht="15" thickBot="1" x14ac:dyDescent="0.35">
      <c r="B8" s="28" t="s">
        <v>32</v>
      </c>
      <c r="C8" s="47">
        <v>394024.21875</v>
      </c>
      <c r="D8" s="34">
        <v>61162.5</v>
      </c>
      <c r="E8" s="34">
        <v>446023.4375</v>
      </c>
    </row>
    <row r="9" spans="1:6" ht="15" thickBot="1" x14ac:dyDescent="0.35">
      <c r="B9" s="28" t="s">
        <v>33</v>
      </c>
      <c r="C9" s="47">
        <v>435490.875</v>
      </c>
      <c r="D9" s="34">
        <v>71662.5</v>
      </c>
      <c r="E9" s="34">
        <v>488843.75</v>
      </c>
    </row>
    <row r="10" spans="1:6" ht="15" thickBot="1" x14ac:dyDescent="0.35">
      <c r="A10" s="50"/>
      <c r="B10" s="51"/>
      <c r="C10" s="52"/>
      <c r="D10" s="52"/>
      <c r="E10" s="52"/>
    </row>
    <row r="11" spans="1:6" ht="15" thickBot="1" x14ac:dyDescent="0.35">
      <c r="A11" s="45" t="s">
        <v>36</v>
      </c>
      <c r="B11" s="28" t="s">
        <v>34</v>
      </c>
      <c r="C11" s="48">
        <v>472.5</v>
      </c>
      <c r="D11" s="8">
        <v>446.25</v>
      </c>
      <c r="E11" s="8">
        <v>472.5</v>
      </c>
    </row>
    <row r="12" spans="1:6" ht="15" thickBot="1" x14ac:dyDescent="0.35">
      <c r="B12" s="28" t="s">
        <v>32</v>
      </c>
      <c r="C12" s="48">
        <v>448.875</v>
      </c>
      <c r="D12" s="8">
        <v>446.25</v>
      </c>
      <c r="E12" s="8">
        <v>448.875</v>
      </c>
    </row>
    <row r="13" spans="1:6" ht="15" thickBot="1" x14ac:dyDescent="0.35">
      <c r="B13" s="28" t="s">
        <v>33</v>
      </c>
      <c r="C13" s="48">
        <v>448.875</v>
      </c>
      <c r="D13" s="8">
        <v>446.25</v>
      </c>
      <c r="E13" s="8">
        <v>448.875</v>
      </c>
    </row>
    <row r="14" spans="1:6" x14ac:dyDescent="0.3">
      <c r="B14" s="42"/>
    </row>
    <row r="16" spans="1:6" x14ac:dyDescent="0.3">
      <c r="C16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aa6f0e-8ccb-4523-b52d-007ff07eb0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7505B6DDECB742954AE2F1DCD5726D" ma:contentTypeVersion="13" ma:contentTypeDescription="Create a new document." ma:contentTypeScope="" ma:versionID="158c5a1247555b004eaca0d005370809">
  <xsd:schema xmlns:xsd="http://www.w3.org/2001/XMLSchema" xmlns:xs="http://www.w3.org/2001/XMLSchema" xmlns:p="http://schemas.microsoft.com/office/2006/metadata/properties" xmlns:ns3="2daa6f0e-8ccb-4523-b52d-007ff07eb045" xmlns:ns4="fdc7a329-5ae5-4f01-9325-95f916947a0c" targetNamespace="http://schemas.microsoft.com/office/2006/metadata/properties" ma:root="true" ma:fieldsID="195bd4b0417eea0e27d00e8107a2ca58" ns3:_="" ns4:_="">
    <xsd:import namespace="2daa6f0e-8ccb-4523-b52d-007ff07eb045"/>
    <xsd:import namespace="fdc7a329-5ae5-4f01-9325-95f916947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a6f0e-8ccb-4523-b52d-007ff07e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a329-5ae5-4f01-9325-95f916947a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9F01E-7272-4CF2-9F7C-104C2FAC4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C34C06-1DE6-458E-9673-50ECC7F74B2D}">
  <ds:schemaRefs>
    <ds:schemaRef ds:uri="http://schemas.microsoft.com/office/2006/documentManagement/types"/>
    <ds:schemaRef ds:uri="http://www.w3.org/XML/1998/namespace"/>
    <ds:schemaRef ds:uri="2daa6f0e-8ccb-4523-b52d-007ff07eb045"/>
    <ds:schemaRef ds:uri="http://schemas.microsoft.com/office/2006/metadata/properties"/>
    <ds:schemaRef ds:uri="http://purl.org/dc/terms/"/>
    <ds:schemaRef ds:uri="fdc7a329-5ae5-4f01-9325-95f916947a0c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8B9460-5D4D-441B-9011-73D71B0CEE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aa6f0e-8ccb-4523-b52d-007ff07eb045"/>
    <ds:schemaRef ds:uri="fdc7a329-5ae5-4f01-9325-95f916947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Veer</dc:creator>
  <cp:lastModifiedBy>Patel, Veer</cp:lastModifiedBy>
  <dcterms:created xsi:type="dcterms:W3CDTF">2023-11-03T22:06:55Z</dcterms:created>
  <dcterms:modified xsi:type="dcterms:W3CDTF">2023-11-09T18:09:38Z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0x010100727505B6DDECB742954AE2F1DCD5726D</vt:lpwstr>
  </property>
</Properties>
</file>