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FA8A5048-31C8-4FE3-A781-79C4311B4347}" xr6:coauthVersionLast="45" xr6:coauthVersionMax="45" xr10:uidLastSave="{00000000-0000-0000-0000-000000000000}"/>
  <bookViews>
    <workbookView xWindow="-110" yWindow="-110" windowWidth="19420" windowHeight="10420" tabRatio="702" firstSheet="1" activeTab="1" xr2:uid="{00000000-000D-0000-FFFF-FFFF00000000}"/>
  </bookViews>
  <sheets>
    <sheet name="_xltb_storage_" sheetId="5" state="veryHidden" r:id="rId1"/>
    <sheet name="Info" sheetId="13" r:id="rId2"/>
    <sheet name="Final-Peri" sheetId="1" r:id="rId3"/>
    <sheet name="PCA2-Peri" sheetId="2" r:id="rId4"/>
    <sheet name="MCA-Peri" sheetId="3" r:id="rId5"/>
    <sheet name="ACA2-Peri" sheetId="4" r:id="rId6"/>
    <sheet name="Final-Para" sheetId="11" r:id="rId7"/>
    <sheet name="PCA2-Para" sheetId="8" r:id="rId8"/>
    <sheet name="MCA-Para" sheetId="9" r:id="rId9"/>
    <sheet name="ACA2-Para" sheetId="10" r:id="rId10"/>
    <sheet name="Venou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4" i="13" l="1"/>
  <c r="BE4" i="13"/>
  <c r="B16" i="1" l="1"/>
  <c r="FN38" i="4" l="1"/>
  <c r="FH38" i="4"/>
  <c r="FB38" i="4"/>
  <c r="EV38" i="4"/>
  <c r="EP38" i="4"/>
  <c r="EJ38" i="4"/>
  <c r="ED38" i="4"/>
  <c r="DX38" i="4"/>
  <c r="DR38" i="4"/>
  <c r="DL38" i="4"/>
  <c r="DF38" i="4"/>
  <c r="CZ38" i="4"/>
  <c r="CT38" i="4"/>
  <c r="CN38" i="4"/>
  <c r="CH38" i="4"/>
  <c r="CB38" i="4"/>
  <c r="BV38" i="4"/>
  <c r="BP38" i="4"/>
  <c r="BJ38" i="4"/>
  <c r="BD38" i="4"/>
  <c r="AX38" i="4"/>
  <c r="AR38" i="4"/>
  <c r="AL38" i="4"/>
  <c r="AF38" i="4"/>
  <c r="Z38" i="4"/>
  <c r="T38" i="4"/>
  <c r="N38" i="4"/>
  <c r="H38" i="4"/>
  <c r="FT43" i="3"/>
  <c r="FZ43" i="3"/>
  <c r="FN43" i="3"/>
  <c r="FH43" i="3"/>
  <c r="FB43" i="3"/>
  <c r="EV43" i="3"/>
  <c r="EP43" i="3"/>
  <c r="EJ43" i="3"/>
  <c r="ED43" i="3"/>
  <c r="DR43" i="3"/>
  <c r="DX43" i="3"/>
  <c r="DL43" i="3"/>
  <c r="DF43" i="3"/>
  <c r="CZ43" i="3"/>
  <c r="CT43" i="3"/>
  <c r="CN43" i="3"/>
  <c r="CH43" i="3"/>
  <c r="CB43" i="3"/>
  <c r="BV43" i="3"/>
  <c r="BP43" i="3"/>
  <c r="BJ43" i="3"/>
  <c r="BD43" i="3"/>
  <c r="AX43" i="3"/>
  <c r="AR43" i="3"/>
  <c r="AL43" i="3"/>
  <c r="AF43" i="3"/>
  <c r="Z43" i="3"/>
  <c r="T43" i="3"/>
  <c r="N43" i="3"/>
  <c r="H43" i="3"/>
  <c r="FN38" i="2"/>
  <c r="FH38" i="2"/>
  <c r="FB38" i="2"/>
  <c r="EV38" i="2"/>
  <c r="EP38" i="2"/>
  <c r="ED38" i="2"/>
  <c r="DX38" i="2"/>
  <c r="DR38" i="2"/>
  <c r="DL38" i="2"/>
  <c r="DF38" i="2"/>
  <c r="CZ38" i="2"/>
  <c r="CT38" i="2"/>
  <c r="CN38" i="2"/>
  <c r="CH38" i="2"/>
  <c r="CB38" i="2"/>
  <c r="BV38" i="2"/>
  <c r="BP38" i="2"/>
  <c r="BJ38" i="2"/>
  <c r="BD38" i="2"/>
  <c r="AX38" i="2"/>
  <c r="AR38" i="2"/>
  <c r="AL38" i="2"/>
  <c r="AF38" i="2"/>
  <c r="Z38" i="2"/>
  <c r="T38" i="2"/>
  <c r="N38" i="2"/>
  <c r="H38" i="2"/>
  <c r="N1" i="8"/>
  <c r="N1" i="9"/>
  <c r="N1" i="10"/>
  <c r="C31" i="10"/>
  <c r="C33" i="9"/>
  <c r="C31" i="8"/>
  <c r="H26" i="4" l="1"/>
  <c r="H27" i="4"/>
  <c r="H28" i="4"/>
  <c r="H29" i="4"/>
  <c r="H30" i="4"/>
  <c r="H31" i="4"/>
  <c r="H32" i="4"/>
  <c r="H5" i="4"/>
  <c r="J1" i="4"/>
  <c r="D32" i="10" s="1"/>
  <c r="D31" i="10" s="1"/>
  <c r="D30" i="10" s="1"/>
  <c r="D29" i="10" s="1"/>
  <c r="D28" i="10" s="1"/>
  <c r="D27" i="10" s="1"/>
  <c r="D26" i="10" s="1"/>
  <c r="D25" i="10" s="1"/>
  <c r="D24" i="10" s="1"/>
  <c r="D23" i="10" s="1"/>
  <c r="D22" i="10" s="1"/>
  <c r="D21" i="10" s="1"/>
  <c r="H32" i="3"/>
  <c r="H33" i="3"/>
  <c r="H34" i="3"/>
  <c r="H5" i="3"/>
  <c r="J1" i="3"/>
  <c r="D34" i="9" s="1"/>
  <c r="D33" i="9" s="1"/>
  <c r="D32" i="9" s="1"/>
  <c r="D31" i="9" s="1"/>
  <c r="D30" i="9" s="1"/>
  <c r="D29" i="9" s="1"/>
  <c r="D28" i="9" s="1"/>
  <c r="D27" i="9" s="1"/>
  <c r="D26" i="9" s="1"/>
  <c r="D25" i="9" s="1"/>
  <c r="D24" i="9" s="1"/>
  <c r="D23" i="9" s="1"/>
  <c r="H5" i="2"/>
  <c r="H26" i="2"/>
  <c r="H27" i="2"/>
  <c r="H28" i="2"/>
  <c r="H29" i="2"/>
  <c r="H30" i="2"/>
  <c r="H31" i="2"/>
  <c r="H32" i="2"/>
  <c r="J1" i="2"/>
  <c r="D32" i="8" s="1"/>
  <c r="D31" i="8" s="1"/>
  <c r="D30" i="8" s="1"/>
  <c r="D29" i="8" s="1"/>
  <c r="D28" i="8" s="1"/>
  <c r="D27" i="8" s="1"/>
  <c r="D26" i="8" s="1"/>
  <c r="D25" i="8" s="1"/>
  <c r="D24" i="8" s="1"/>
  <c r="D23" i="8" s="1"/>
  <c r="D22" i="8" s="1"/>
  <c r="D21" i="8" s="1"/>
  <c r="E14" i="12" l="1"/>
  <c r="E13" i="12"/>
  <c r="E12" i="12"/>
  <c r="E11" i="12"/>
  <c r="E10" i="12"/>
  <c r="E9" i="12"/>
  <c r="E8" i="12"/>
  <c r="E7" i="12"/>
  <c r="E6" i="12"/>
  <c r="Q1" i="12"/>
  <c r="P2" i="12"/>
  <c r="B30" i="1" l="1"/>
  <c r="B31" i="1"/>
  <c r="B29" i="1"/>
  <c r="B28" i="1"/>
  <c r="B34" i="1" s="1"/>
  <c r="M1" i="12" s="1"/>
  <c r="B33" i="1" l="1"/>
  <c r="C29" i="10" l="1"/>
  <c r="C30" i="10"/>
  <c r="C31" i="9"/>
  <c r="C32" i="9"/>
  <c r="C29" i="8"/>
  <c r="C30" i="8"/>
  <c r="F1" i="12" l="1"/>
  <c r="F1" i="10"/>
  <c r="F1" i="9"/>
  <c r="F1" i="8"/>
  <c r="F1" i="4"/>
  <c r="F1" i="3"/>
  <c r="F1" i="2"/>
  <c r="E30" i="8" l="1"/>
  <c r="J30" i="8" s="1"/>
  <c r="L30" i="8" s="1"/>
  <c r="E31" i="8"/>
  <c r="J31" i="8" s="1"/>
  <c r="L31" i="8" s="1"/>
  <c r="E27" i="8"/>
  <c r="E4" i="8"/>
  <c r="E25" i="8"/>
  <c r="E26" i="8"/>
  <c r="E28" i="8"/>
  <c r="E5" i="8"/>
  <c r="E29" i="8"/>
  <c r="J29" i="8" s="1"/>
  <c r="L29" i="8" s="1"/>
  <c r="E28" i="9"/>
  <c r="E33" i="9"/>
  <c r="J33" i="9" s="1"/>
  <c r="L33" i="9" s="1"/>
  <c r="E5" i="9"/>
  <c r="E29" i="9"/>
  <c r="E30" i="9"/>
  <c r="E31" i="9"/>
  <c r="J31" i="9" s="1"/>
  <c r="L31" i="9" s="1"/>
  <c r="E32" i="9"/>
  <c r="J32" i="9" s="1"/>
  <c r="L32" i="9" s="1"/>
  <c r="E4" i="9"/>
  <c r="E27" i="9"/>
  <c r="E4" i="10"/>
  <c r="E5" i="10"/>
  <c r="E26" i="10"/>
  <c r="E27" i="10"/>
  <c r="E28" i="10"/>
  <c r="E30" i="10"/>
  <c r="J30" i="10" s="1"/>
  <c r="L30" i="10" s="1"/>
  <c r="E31" i="10"/>
  <c r="J31" i="10" s="1"/>
  <c r="L31" i="10" s="1"/>
  <c r="E29" i="10"/>
  <c r="J29" i="10" s="1"/>
  <c r="L29" i="10" s="1"/>
  <c r="AI8" i="13"/>
  <c r="AI9" i="13" s="1"/>
  <c r="AI10" i="13" s="1"/>
  <c r="AI11" i="13" s="1"/>
  <c r="V9" i="13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F29" i="13"/>
  <c r="F28" i="13"/>
  <c r="AI12" i="13" l="1"/>
  <c r="AI13" i="13" s="1"/>
  <c r="AI14" i="13" s="1"/>
  <c r="AN15" i="13" s="1"/>
  <c r="D30" i="13"/>
  <c r="AI15" i="13" l="1"/>
  <c r="AI16" i="13" s="1"/>
  <c r="AI17" i="13" s="1"/>
  <c r="AI18" i="13" s="1"/>
  <c r="AI19" i="13" s="1"/>
  <c r="AN19" i="13" s="1"/>
  <c r="R29" i="13"/>
  <c r="C1" i="12"/>
  <c r="E5" i="12" s="1"/>
  <c r="D6" i="12"/>
  <c r="D7" i="12"/>
  <c r="D8" i="12"/>
  <c r="D9" i="12"/>
  <c r="D10" i="12"/>
  <c r="D11" i="12"/>
  <c r="D12" i="12"/>
  <c r="D13" i="12"/>
  <c r="D14" i="12"/>
  <c r="M2" i="12"/>
  <c r="P1" i="12"/>
  <c r="L29" i="13"/>
  <c r="C26" i="9"/>
  <c r="C27" i="9"/>
  <c r="C28" i="9"/>
  <c r="C29" i="9"/>
  <c r="C30" i="9"/>
  <c r="C25" i="10"/>
  <c r="C26" i="10"/>
  <c r="C27" i="10"/>
  <c r="C28" i="10"/>
  <c r="C25" i="8"/>
  <c r="C26" i="8"/>
  <c r="C27" i="8"/>
  <c r="C28" i="8"/>
  <c r="AI20" i="13" l="1"/>
  <c r="AI21" i="13" s="1"/>
  <c r="AI22" i="13" s="1"/>
  <c r="AI23" i="13" s="1"/>
  <c r="AI24" i="13" s="1"/>
  <c r="AI25" i="13" s="1"/>
  <c r="AI26" i="13" s="1"/>
  <c r="AI27" i="13" s="1"/>
  <c r="AI28" i="13" s="1"/>
  <c r="AI29" i="13" s="1"/>
  <c r="AI30" i="13" s="1"/>
  <c r="AI31" i="13" s="1"/>
  <c r="AI32" i="13" s="1"/>
  <c r="AI33" i="13" s="1"/>
  <c r="AI34" i="13" s="1"/>
  <c r="DQ39" i="4"/>
  <c r="DQ40" i="4" s="1"/>
  <c r="DQ41" i="4" s="1"/>
  <c r="DQ42" i="4" s="1"/>
  <c r="DQ43" i="4" s="1"/>
  <c r="DQ44" i="4" s="1"/>
  <c r="DK39" i="4"/>
  <c r="DK40" i="4" s="1"/>
  <c r="DK41" i="4" s="1"/>
  <c r="DK42" i="4" s="1"/>
  <c r="DK43" i="4" s="1"/>
  <c r="DK44" i="4" s="1"/>
  <c r="DK45" i="4" s="1"/>
  <c r="DE39" i="4"/>
  <c r="DE40" i="4" s="1"/>
  <c r="DE41" i="4" s="1"/>
  <c r="DE42" i="4" s="1"/>
  <c r="DE43" i="4" s="1"/>
  <c r="DE44" i="4" s="1"/>
  <c r="DE45" i="4" s="1"/>
  <c r="DE46" i="4" s="1"/>
  <c r="CY39" i="4"/>
  <c r="CY40" i="4" s="1"/>
  <c r="CY41" i="4" s="1"/>
  <c r="CY42" i="4" s="1"/>
  <c r="CY43" i="4" s="1"/>
  <c r="CS39" i="4"/>
  <c r="CS40" i="4" s="1"/>
  <c r="CS41" i="4" s="1"/>
  <c r="CS42" i="4" s="1"/>
  <c r="CS43" i="4" s="1"/>
  <c r="CS44" i="4" s="1"/>
  <c r="CM39" i="4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G39" i="4"/>
  <c r="CG40" i="4" s="1"/>
  <c r="CG41" i="4" s="1"/>
  <c r="CA39" i="4"/>
  <c r="CA40" i="4" s="1"/>
  <c r="CA41" i="4" s="1"/>
  <c r="CA42" i="4" s="1"/>
  <c r="CA43" i="4" s="1"/>
  <c r="BU39" i="4"/>
  <c r="BU40" i="4" s="1"/>
  <c r="BU41" i="4" s="1"/>
  <c r="BO39" i="4"/>
  <c r="BO40" i="4" s="1"/>
  <c r="BO41" i="4" s="1"/>
  <c r="BI39" i="4"/>
  <c r="BI40" i="4" s="1"/>
  <c r="BI41" i="4" s="1"/>
  <c r="BI42" i="4" s="1"/>
  <c r="BI43" i="4" s="1"/>
  <c r="BC39" i="4"/>
  <c r="BC40" i="4" s="1"/>
  <c r="BC41" i="4" s="1"/>
  <c r="AW39" i="4"/>
  <c r="AW40" i="4" s="1"/>
  <c r="AW41" i="4" s="1"/>
  <c r="AQ39" i="4"/>
  <c r="AQ40" i="4" s="1"/>
  <c r="AQ41" i="4" s="1"/>
  <c r="AQ42" i="4" s="1"/>
  <c r="AK39" i="4"/>
  <c r="AK40" i="4" s="1"/>
  <c r="AK41" i="4" s="1"/>
  <c r="AE39" i="4"/>
  <c r="AE40" i="4" s="1"/>
  <c r="AE41" i="4" s="1"/>
  <c r="Y39" i="4"/>
  <c r="Y40" i="4" s="1"/>
  <c r="Y41" i="4" s="1"/>
  <c r="S39" i="4"/>
  <c r="S40" i="4" s="1"/>
  <c r="S41" i="4" s="1"/>
  <c r="M39" i="4"/>
  <c r="M40" i="4" s="1"/>
  <c r="M41" i="4" s="1"/>
  <c r="M42" i="4" s="1"/>
  <c r="M43" i="4" s="1"/>
  <c r="M44" i="4" s="1"/>
  <c r="G39" i="4"/>
  <c r="G40" i="4" s="1"/>
  <c r="G41" i="4" s="1"/>
  <c r="A39" i="4"/>
  <c r="A40" i="4" s="1"/>
  <c r="A41" i="4" s="1"/>
  <c r="A42" i="4" s="1"/>
  <c r="A43" i="4" s="1"/>
  <c r="B38" i="4"/>
  <c r="B43" i="3"/>
  <c r="DQ44" i="3"/>
  <c r="DQ45" i="3" s="1"/>
  <c r="DK44" i="3"/>
  <c r="DE44" i="3"/>
  <c r="DE45" i="3" s="1"/>
  <c r="CY44" i="3"/>
  <c r="CS44" i="3"/>
  <c r="CS45" i="3" s="1"/>
  <c r="CM44" i="3"/>
  <c r="CG44" i="3"/>
  <c r="CA44" i="3"/>
  <c r="BU44" i="3"/>
  <c r="BU45" i="3" s="1"/>
  <c r="BO44" i="3"/>
  <c r="BI44" i="3"/>
  <c r="BI45" i="3" s="1"/>
  <c r="BC44" i="3"/>
  <c r="AW44" i="3"/>
  <c r="AQ44" i="3"/>
  <c r="AK44" i="3"/>
  <c r="AK45" i="3" s="1"/>
  <c r="AE44" i="3"/>
  <c r="Y44" i="3"/>
  <c r="Y45" i="3" s="1"/>
  <c r="S44" i="3"/>
  <c r="M44" i="3"/>
  <c r="M45" i="3" s="1"/>
  <c r="G44" i="3"/>
  <c r="A44" i="3"/>
  <c r="A45" i="3" s="1"/>
  <c r="A46" i="3" s="1"/>
  <c r="A47" i="3" s="1"/>
  <c r="EJ38" i="2"/>
  <c r="CM50" i="4" l="1"/>
  <c r="DE47" i="4"/>
  <c r="DK46" i="4"/>
  <c r="DQ45" i="4"/>
  <c r="AE42" i="4"/>
  <c r="AE43" i="4" s="1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CA44" i="4"/>
  <c r="CA45" i="4" s="1"/>
  <c r="CA46" i="4" s="1"/>
  <c r="CA47" i="4" s="1"/>
  <c r="CA48" i="4" s="1"/>
  <c r="CA49" i="4" s="1"/>
  <c r="CA50" i="4" s="1"/>
  <c r="CA51" i="4" s="1"/>
  <c r="BI44" i="4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AK42" i="4"/>
  <c r="AK43" i="4" s="1"/>
  <c r="AK44" i="4" s="1"/>
  <c r="AK45" i="4" s="1"/>
  <c r="M45" i="4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CY44" i="4"/>
  <c r="CY45" i="4" s="1"/>
  <c r="CY46" i="4" s="1"/>
  <c r="CY47" i="4" s="1"/>
  <c r="BO42" i="4"/>
  <c r="AW42" i="4"/>
  <c r="AW43" i="4" s="1"/>
  <c r="CS45" i="4"/>
  <c r="CS46" i="4" s="1"/>
  <c r="CS47" i="4" s="1"/>
  <c r="CS48" i="4" s="1"/>
  <c r="Y42" i="4"/>
  <c r="Y43" i="4" s="1"/>
  <c r="Y44" i="4" s="1"/>
  <c r="Y45" i="4" s="1"/>
  <c r="AQ43" i="4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CG42" i="4"/>
  <c r="CG43" i="4" s="1"/>
  <c r="CG44" i="4" s="1"/>
  <c r="CG45" i="4" s="1"/>
  <c r="CG46" i="4" s="1"/>
  <c r="CG47" i="4" s="1"/>
  <c r="CG48" i="4" s="1"/>
  <c r="CG49" i="4" s="1"/>
  <c r="CG50" i="4" s="1"/>
  <c r="BU42" i="4"/>
  <c r="BU43" i="4" s="1"/>
  <c r="BU44" i="4" s="1"/>
  <c r="BC42" i="4"/>
  <c r="S42" i="4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G42" i="4"/>
  <c r="AW45" i="3"/>
  <c r="AW46" i="3" s="1"/>
  <c r="CG45" i="3"/>
  <c r="BI46" i="3"/>
  <c r="DE46" i="3"/>
  <c r="M46" i="3"/>
  <c r="Y46" i="3"/>
  <c r="CS46" i="3"/>
  <c r="A48" i="3"/>
  <c r="AK46" i="3"/>
  <c r="CG46" i="3"/>
  <c r="DQ46" i="3"/>
  <c r="BU46" i="3"/>
  <c r="G45" i="3"/>
  <c r="S45" i="3"/>
  <c r="AE45" i="3"/>
  <c r="AQ45" i="3"/>
  <c r="BC45" i="3"/>
  <c r="BO45" i="3"/>
  <c r="CA45" i="3"/>
  <c r="CM45" i="3"/>
  <c r="CY45" i="3"/>
  <c r="DK45" i="3"/>
  <c r="BI55" i="4" l="1"/>
  <c r="CA52" i="4"/>
  <c r="CG51" i="4"/>
  <c r="CS49" i="4"/>
  <c r="CY48" i="4"/>
  <c r="G43" i="4"/>
  <c r="AE44" i="4"/>
  <c r="Y46" i="4"/>
  <c r="BC43" i="4"/>
  <c r="BU45" i="4"/>
  <c r="AK46" i="4"/>
  <c r="BO43" i="4"/>
  <c r="AW44" i="4"/>
  <c r="CY46" i="3"/>
  <c r="G46" i="3"/>
  <c r="Y47" i="3"/>
  <c r="DE47" i="3"/>
  <c r="DK46" i="3"/>
  <c r="CS47" i="3"/>
  <c r="BU47" i="3"/>
  <c r="CA46" i="3"/>
  <c r="M47" i="3"/>
  <c r="BC46" i="3"/>
  <c r="S46" i="3"/>
  <c r="CM46" i="3"/>
  <c r="CG47" i="3"/>
  <c r="BO46" i="3"/>
  <c r="AW47" i="3"/>
  <c r="BI47" i="3"/>
  <c r="AQ46" i="3"/>
  <c r="DQ47" i="3"/>
  <c r="AK47" i="3"/>
  <c r="AE46" i="3"/>
  <c r="A49" i="3"/>
  <c r="BC44" i="4" l="1"/>
  <c r="AK47" i="4"/>
  <c r="AW45" i="4"/>
  <c r="Y47" i="4"/>
  <c r="BO44" i="4"/>
  <c r="G44" i="4"/>
  <c r="BU46" i="4"/>
  <c r="AE45" i="4"/>
  <c r="M48" i="3"/>
  <c r="DE48" i="3"/>
  <c r="S47" i="3"/>
  <c r="BI48" i="3"/>
  <c r="CS48" i="3"/>
  <c r="AW48" i="3"/>
  <c r="G47" i="3"/>
  <c r="CY47" i="3"/>
  <c r="AE47" i="3"/>
  <c r="AK48" i="3"/>
  <c r="BO47" i="3"/>
  <c r="BC47" i="3"/>
  <c r="CA47" i="3"/>
  <c r="DK47" i="3"/>
  <c r="DQ48" i="3"/>
  <c r="CG48" i="3"/>
  <c r="A50" i="3"/>
  <c r="AQ47" i="3"/>
  <c r="CM47" i="3"/>
  <c r="BU48" i="3"/>
  <c r="Y48" i="3"/>
  <c r="D5" i="12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4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4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4" i="8"/>
  <c r="AK48" i="4" l="1"/>
  <c r="BO45" i="4"/>
  <c r="AE46" i="4"/>
  <c r="Y48" i="4"/>
  <c r="AW46" i="4"/>
  <c r="G45" i="4"/>
  <c r="BU47" i="4"/>
  <c r="BC45" i="4"/>
  <c r="DQ49" i="3"/>
  <c r="BC48" i="3"/>
  <c r="M49" i="3"/>
  <c r="CY48" i="3"/>
  <c r="A51" i="3"/>
  <c r="CG49" i="3"/>
  <c r="BO48" i="3"/>
  <c r="CS49" i="3"/>
  <c r="BU49" i="3"/>
  <c r="CM48" i="3"/>
  <c r="AK49" i="3"/>
  <c r="G48" i="3"/>
  <c r="S48" i="3"/>
  <c r="Y49" i="3"/>
  <c r="DK48" i="3"/>
  <c r="AQ48" i="3"/>
  <c r="CA48" i="3"/>
  <c r="AW49" i="3"/>
  <c r="BI49" i="3"/>
  <c r="DE49" i="3"/>
  <c r="AE48" i="3"/>
  <c r="F11" i="12" l="1"/>
  <c r="H11" i="12" s="1"/>
  <c r="J11" i="12" s="1"/>
  <c r="F12" i="12"/>
  <c r="H12" i="12" s="1"/>
  <c r="J12" i="12" s="1"/>
  <c r="F13" i="12"/>
  <c r="H13" i="12" s="1"/>
  <c r="J13" i="12" s="1"/>
  <c r="F6" i="12"/>
  <c r="H6" i="12" s="1"/>
  <c r="J6" i="12" s="1"/>
  <c r="F14" i="12"/>
  <c r="H14" i="12" s="1"/>
  <c r="J14" i="12" s="1"/>
  <c r="F8" i="12"/>
  <c r="H8" i="12" s="1"/>
  <c r="J8" i="12" s="1"/>
  <c r="F7" i="12"/>
  <c r="H7" i="12" s="1"/>
  <c r="J7" i="12" s="1"/>
  <c r="F5" i="12"/>
  <c r="H5" i="12" s="1"/>
  <c r="J5" i="12" s="1"/>
  <c r="F9" i="12"/>
  <c r="H9" i="12" s="1"/>
  <c r="J9" i="12" s="1"/>
  <c r="F10" i="12"/>
  <c r="H10" i="12" s="1"/>
  <c r="J10" i="12" s="1"/>
  <c r="BU48" i="4"/>
  <c r="AE47" i="4"/>
  <c r="AK49" i="4"/>
  <c r="G46" i="4"/>
  <c r="BO46" i="4"/>
  <c r="Y49" i="4"/>
  <c r="BC46" i="4"/>
  <c r="AW47" i="4"/>
  <c r="DQ50" i="3"/>
  <c r="DQ51" i="3" s="1"/>
  <c r="AW50" i="3"/>
  <c r="M50" i="3"/>
  <c r="BO49" i="3"/>
  <c r="A52" i="3"/>
  <c r="CA49" i="3"/>
  <c r="CG50" i="3"/>
  <c r="BC49" i="3"/>
  <c r="AE49" i="3"/>
  <c r="DE50" i="3"/>
  <c r="G49" i="3"/>
  <c r="CS50" i="3"/>
  <c r="BI50" i="3"/>
  <c r="Y50" i="3"/>
  <c r="DK49" i="3"/>
  <c r="CM49" i="3"/>
  <c r="CY49" i="3"/>
  <c r="AK50" i="3"/>
  <c r="BU50" i="3"/>
  <c r="AQ49" i="3"/>
  <c r="S49" i="3"/>
  <c r="DQ52" i="3" l="1"/>
  <c r="M6" i="12"/>
  <c r="P9" i="13" s="1"/>
  <c r="P11" i="13"/>
  <c r="G47" i="4"/>
  <c r="AK50" i="4"/>
  <c r="BU49" i="4"/>
  <c r="AW48" i="4"/>
  <c r="BC47" i="4"/>
  <c r="BO47" i="4"/>
  <c r="Y50" i="4"/>
  <c r="AE48" i="4"/>
  <c r="DE51" i="3"/>
  <c r="DK50" i="3"/>
  <c r="AK51" i="3"/>
  <c r="CS51" i="3"/>
  <c r="Y51" i="3"/>
  <c r="AW51" i="3"/>
  <c r="BU51" i="3"/>
  <c r="BI51" i="3"/>
  <c r="G50" i="3"/>
  <c r="AE50" i="3"/>
  <c r="CG51" i="3"/>
  <c r="A53" i="3"/>
  <c r="CA50" i="3"/>
  <c r="BO50" i="3"/>
  <c r="CY50" i="3"/>
  <c r="M51" i="3"/>
  <c r="S50" i="3"/>
  <c r="AQ50" i="3"/>
  <c r="CM50" i="3"/>
  <c r="BC50" i="3"/>
  <c r="P30" i="13" l="1"/>
  <c r="R30" i="13" s="1"/>
  <c r="D37" i="13"/>
  <c r="Y51" i="4"/>
  <c r="AK51" i="4"/>
  <c r="BO48" i="4"/>
  <c r="AW49" i="4"/>
  <c r="G48" i="4"/>
  <c r="AE49" i="4"/>
  <c r="BC48" i="4"/>
  <c r="BU50" i="4"/>
  <c r="DK51" i="3"/>
  <c r="DK52" i="3" s="1"/>
  <c r="DE52" i="3"/>
  <c r="DE53" i="3" s="1"/>
  <c r="BU52" i="3"/>
  <c r="BI52" i="3"/>
  <c r="CY51" i="3"/>
  <c r="BO51" i="3"/>
  <c r="AK52" i="3"/>
  <c r="CG52" i="3"/>
  <c r="BC51" i="3"/>
  <c r="S51" i="3"/>
  <c r="CA51" i="3"/>
  <c r="A54" i="3"/>
  <c r="AE51" i="3"/>
  <c r="Y52" i="3"/>
  <c r="CM51" i="3"/>
  <c r="AQ51" i="3"/>
  <c r="G51" i="3"/>
  <c r="CS52" i="3"/>
  <c r="M52" i="3"/>
  <c r="AW52" i="3"/>
  <c r="DK53" i="3" l="1"/>
  <c r="DE54" i="3"/>
  <c r="BU51" i="4"/>
  <c r="BU52" i="4" s="1"/>
  <c r="BO49" i="4"/>
  <c r="Y52" i="4"/>
  <c r="AW50" i="4"/>
  <c r="BC49" i="4"/>
  <c r="AK52" i="4"/>
  <c r="AE50" i="4"/>
  <c r="G49" i="4"/>
  <c r="CY52" i="3"/>
  <c r="CS53" i="3"/>
  <c r="AW53" i="3"/>
  <c r="S52" i="3"/>
  <c r="BI53" i="3"/>
  <c r="AK53" i="3"/>
  <c r="G52" i="3"/>
  <c r="M53" i="3"/>
  <c r="AE52" i="3"/>
  <c r="CM52" i="3"/>
  <c r="A55" i="3"/>
  <c r="CG53" i="3"/>
  <c r="BU53" i="3"/>
  <c r="BO52" i="3"/>
  <c r="AQ52" i="3"/>
  <c r="Y53" i="3"/>
  <c r="CA52" i="3"/>
  <c r="BC52" i="3"/>
  <c r="H1" i="4"/>
  <c r="H1" i="3"/>
  <c r="H1" i="2"/>
  <c r="BU53" i="4" l="1"/>
  <c r="BO50" i="4"/>
  <c r="AW51" i="4"/>
  <c r="G50" i="4"/>
  <c r="Y53" i="4"/>
  <c r="AE51" i="4"/>
  <c r="BC50" i="4"/>
  <c r="AK53" i="4"/>
  <c r="CY53" i="3"/>
  <c r="CY54" i="3" s="1"/>
  <c r="CS54" i="3"/>
  <c r="CS55" i="3" s="1"/>
  <c r="AE53" i="3"/>
  <c r="CG54" i="3"/>
  <c r="S53" i="3"/>
  <c r="AQ53" i="3"/>
  <c r="A56" i="3"/>
  <c r="M54" i="3"/>
  <c r="BI54" i="3"/>
  <c r="BC53" i="3"/>
  <c r="CM53" i="3"/>
  <c r="AK54" i="3"/>
  <c r="Y54" i="3"/>
  <c r="BO53" i="3"/>
  <c r="BU54" i="3"/>
  <c r="AW54" i="3"/>
  <c r="CA53" i="3"/>
  <c r="G53" i="3"/>
  <c r="T49" i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U49" i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CS56" i="3" l="1"/>
  <c r="CY55" i="3"/>
  <c r="AE52" i="4"/>
  <c r="G51" i="4"/>
  <c r="BO51" i="4"/>
  <c r="Y54" i="4"/>
  <c r="AW52" i="4"/>
  <c r="AY51" i="4"/>
  <c r="BC51" i="4"/>
  <c r="AK54" i="4"/>
  <c r="AM53" i="4"/>
  <c r="CM54" i="3"/>
  <c r="CG55" i="3"/>
  <c r="AW55" i="3"/>
  <c r="AK55" i="3"/>
  <c r="BC54" i="3"/>
  <c r="AQ54" i="3"/>
  <c r="CA54" i="3"/>
  <c r="M55" i="3"/>
  <c r="BI55" i="3"/>
  <c r="BO54" i="3"/>
  <c r="BU55" i="3"/>
  <c r="Y55" i="3"/>
  <c r="S54" i="3"/>
  <c r="G54" i="3"/>
  <c r="A57" i="3"/>
  <c r="AE54" i="3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S76" i="1"/>
  <c r="S77" i="1" s="1"/>
  <c r="M76" i="1"/>
  <c r="M77" i="1" s="1"/>
  <c r="G76" i="1"/>
  <c r="G77" i="1" s="1"/>
  <c r="A76" i="1"/>
  <c r="A77" i="1" s="1"/>
  <c r="B44" i="1"/>
  <c r="H2" i="4"/>
  <c r="AA53" i="4" s="1"/>
  <c r="H2" i="3"/>
  <c r="CI54" i="3" s="1"/>
  <c r="CH55" i="3" s="1"/>
  <c r="H2" i="2"/>
  <c r="DQ39" i="2"/>
  <c r="DQ40" i="2" s="1"/>
  <c r="DK39" i="2"/>
  <c r="DK40" i="2" s="1"/>
  <c r="DK41" i="2" s="1"/>
  <c r="DE39" i="2"/>
  <c r="DE40" i="2" s="1"/>
  <c r="CY39" i="2"/>
  <c r="CY40" i="2" s="1"/>
  <c r="CS39" i="2"/>
  <c r="CS40" i="2" s="1"/>
  <c r="CS41" i="2" s="1"/>
  <c r="CM39" i="2"/>
  <c r="CM40" i="2" s="1"/>
  <c r="CG39" i="2"/>
  <c r="CG40" i="2" s="1"/>
  <c r="CA39" i="2"/>
  <c r="CA40" i="2" s="1"/>
  <c r="CC40" i="2" s="1"/>
  <c r="BU39" i="2"/>
  <c r="BU40" i="2" s="1"/>
  <c r="BU41" i="2" s="1"/>
  <c r="BO39" i="2"/>
  <c r="BO40" i="2" s="1"/>
  <c r="BI39" i="2"/>
  <c r="BI40" i="2" s="1"/>
  <c r="BI41" i="2" s="1"/>
  <c r="BC39" i="2"/>
  <c r="AW39" i="2"/>
  <c r="AW40" i="2" s="1"/>
  <c r="AQ39" i="2"/>
  <c r="AQ40" i="2" s="1"/>
  <c r="AK39" i="2"/>
  <c r="AK40" i="2" s="1"/>
  <c r="AE39" i="2"/>
  <c r="AE40" i="2" s="1"/>
  <c r="Y39" i="2"/>
  <c r="S39" i="2"/>
  <c r="S40" i="2" s="1"/>
  <c r="M39" i="2"/>
  <c r="M40" i="2" s="1"/>
  <c r="G39" i="2"/>
  <c r="G40" i="2" s="1"/>
  <c r="G41" i="2" s="1"/>
  <c r="B38" i="2"/>
  <c r="A39" i="2"/>
  <c r="A40" i="2" s="1"/>
  <c r="A41" i="2" s="1"/>
  <c r="A42" i="2" s="1"/>
  <c r="A43" i="2" s="1"/>
  <c r="A44" i="2" s="1"/>
  <c r="A45" i="2" s="1"/>
  <c r="A46" i="2" s="1"/>
  <c r="BW55" i="3" l="1"/>
  <c r="BQ50" i="4"/>
  <c r="AG51" i="4"/>
  <c r="CO51" i="2"/>
  <c r="EQ42" i="2"/>
  <c r="DS46" i="2"/>
  <c r="BW54" i="2"/>
  <c r="DY45" i="2"/>
  <c r="CU50" i="2"/>
  <c r="EW41" i="2"/>
  <c r="FC40" i="2"/>
  <c r="FI39" i="2"/>
  <c r="EE44" i="2"/>
  <c r="DA49" i="2"/>
  <c r="BE57" i="2"/>
  <c r="BK56" i="2"/>
  <c r="DG48" i="2"/>
  <c r="CI52" i="2"/>
  <c r="DM47" i="2"/>
  <c r="BQ55" i="2"/>
  <c r="FO38" i="2"/>
  <c r="FP38" i="2" s="1"/>
  <c r="FQ38" i="2" s="1"/>
  <c r="W7" i="13" s="1"/>
  <c r="X7" i="13" s="1"/>
  <c r="CC53" i="2"/>
  <c r="DY43" i="2"/>
  <c r="DX44" i="2" s="1"/>
  <c r="EW39" i="2"/>
  <c r="FI38" i="2"/>
  <c r="DY44" i="2"/>
  <c r="DX45" i="2" s="1"/>
  <c r="FC39" i="2"/>
  <c r="FB40" i="2" s="1"/>
  <c r="FD40" i="2" s="1"/>
  <c r="FC38" i="2"/>
  <c r="EW38" i="2"/>
  <c r="EV39" i="2" s="1"/>
  <c r="EW40" i="2"/>
  <c r="EV41" i="2" s="1"/>
  <c r="EE42" i="2"/>
  <c r="ED43" i="2" s="1"/>
  <c r="EQ40" i="2"/>
  <c r="EP41" i="2" s="1"/>
  <c r="EE43" i="2"/>
  <c r="ED44" i="2" s="1"/>
  <c r="EQ41" i="2"/>
  <c r="EK41" i="2"/>
  <c r="EK43" i="2"/>
  <c r="EK42" i="2"/>
  <c r="BE53" i="3"/>
  <c r="DA56" i="3"/>
  <c r="EE51" i="3"/>
  <c r="FC47" i="3"/>
  <c r="CC60" i="3"/>
  <c r="FO45" i="3"/>
  <c r="FI46" i="3"/>
  <c r="EW48" i="3"/>
  <c r="EQ49" i="3"/>
  <c r="FU44" i="3"/>
  <c r="CO58" i="3"/>
  <c r="GA43" i="3"/>
  <c r="GB43" i="3" s="1"/>
  <c r="GC43" i="3" s="1"/>
  <c r="AA7" i="13" s="1"/>
  <c r="AB7" i="13" s="1"/>
  <c r="AC7" i="13" s="1"/>
  <c r="EK50" i="3"/>
  <c r="DG55" i="3"/>
  <c r="BW61" i="3"/>
  <c r="DS53" i="3"/>
  <c r="CU57" i="3"/>
  <c r="CI59" i="3"/>
  <c r="BQ62" i="3"/>
  <c r="DM54" i="3"/>
  <c r="DY52" i="3"/>
  <c r="FI45" i="3"/>
  <c r="FH46" i="3" s="1"/>
  <c r="EK48" i="3"/>
  <c r="EJ49" i="3" s="1"/>
  <c r="FI44" i="3"/>
  <c r="FH45" i="3" s="1"/>
  <c r="EK49" i="3"/>
  <c r="EJ50" i="3" s="1"/>
  <c r="FC45" i="3"/>
  <c r="FB46" i="3" s="1"/>
  <c r="EE49" i="3"/>
  <c r="ED50" i="3" s="1"/>
  <c r="FC46" i="3"/>
  <c r="FB47" i="3" s="1"/>
  <c r="EE50" i="3"/>
  <c r="ED51" i="3" s="1"/>
  <c r="EW46" i="3"/>
  <c r="EV47" i="3" s="1"/>
  <c r="DY50" i="3"/>
  <c r="DX51" i="3" s="1"/>
  <c r="FU43" i="3"/>
  <c r="EW47" i="3"/>
  <c r="EV48" i="3" s="1"/>
  <c r="DY51" i="3"/>
  <c r="DX52" i="3" s="1"/>
  <c r="FO44" i="3"/>
  <c r="EQ47" i="3"/>
  <c r="EP48" i="3" s="1"/>
  <c r="FO43" i="3"/>
  <c r="EQ48" i="3"/>
  <c r="EP49" i="3" s="1"/>
  <c r="DS51" i="3"/>
  <c r="DR52" i="3" s="1"/>
  <c r="DS52" i="3"/>
  <c r="DR53" i="3" s="1"/>
  <c r="DM52" i="3"/>
  <c r="DL53" i="3" s="1"/>
  <c r="DG53" i="3"/>
  <c r="DF54" i="3" s="1"/>
  <c r="DG54" i="3"/>
  <c r="DF55" i="3" s="1"/>
  <c r="DM53" i="3"/>
  <c r="DA53" i="3"/>
  <c r="CZ54" i="3" s="1"/>
  <c r="DA55" i="3"/>
  <c r="CZ56" i="3" s="1"/>
  <c r="CU50" i="4"/>
  <c r="BQ55" i="4"/>
  <c r="EQ42" i="4"/>
  <c r="ER42" i="4" s="1"/>
  <c r="CO51" i="4"/>
  <c r="CC53" i="4"/>
  <c r="BK56" i="4"/>
  <c r="FC40" i="4"/>
  <c r="CI52" i="4"/>
  <c r="BE57" i="4"/>
  <c r="DY45" i="4"/>
  <c r="DS46" i="4"/>
  <c r="FI39" i="4"/>
  <c r="FO38" i="4"/>
  <c r="FP38" i="4" s="1"/>
  <c r="FQ38" i="4" s="1"/>
  <c r="AE7" i="13" s="1"/>
  <c r="AF7" i="13" s="1"/>
  <c r="AG7" i="13" s="1"/>
  <c r="EK43" i="4"/>
  <c r="BW54" i="4"/>
  <c r="DM47" i="4"/>
  <c r="DA49" i="4"/>
  <c r="EE44" i="4"/>
  <c r="DG48" i="4"/>
  <c r="EW41" i="4"/>
  <c r="FC38" i="4"/>
  <c r="EQ40" i="4"/>
  <c r="EP41" i="4" s="1"/>
  <c r="ER41" i="4" s="1"/>
  <c r="DY44" i="4"/>
  <c r="DX45" i="4" s="1"/>
  <c r="EK41" i="4"/>
  <c r="EJ42" i="4" s="1"/>
  <c r="EQ41" i="4"/>
  <c r="EP42" i="4" s="1"/>
  <c r="EK40" i="4"/>
  <c r="EJ41" i="4" s="1"/>
  <c r="EW40" i="4"/>
  <c r="EK42" i="4"/>
  <c r="EJ43" i="4" s="1"/>
  <c r="EE42" i="4"/>
  <c r="ED43" i="4" s="1"/>
  <c r="EW39" i="4"/>
  <c r="EV40" i="4" s="1"/>
  <c r="EE43" i="4"/>
  <c r="ED44" i="4" s="1"/>
  <c r="FI38" i="4"/>
  <c r="EW38" i="4"/>
  <c r="EV39" i="4" s="1"/>
  <c r="DY43" i="4"/>
  <c r="DX44" i="4" s="1"/>
  <c r="FC39" i="4"/>
  <c r="DS44" i="4"/>
  <c r="DR45" i="4" s="1"/>
  <c r="DG46" i="4"/>
  <c r="DF47" i="4" s="1"/>
  <c r="DM45" i="4"/>
  <c r="DL46" i="4" s="1"/>
  <c r="CO49" i="4"/>
  <c r="CN50" i="4" s="1"/>
  <c r="BK54" i="4"/>
  <c r="BJ55" i="4" s="1"/>
  <c r="CU48" i="4"/>
  <c r="CT49" i="4" s="1"/>
  <c r="DA47" i="4"/>
  <c r="CZ48" i="4" s="1"/>
  <c r="CI50" i="4"/>
  <c r="CH51" i="4" s="1"/>
  <c r="DS45" i="4"/>
  <c r="DR46" i="4" s="1"/>
  <c r="CC51" i="4"/>
  <c r="CB52" i="4" s="1"/>
  <c r="AS57" i="4"/>
  <c r="DM46" i="4"/>
  <c r="DL47" i="4" s="1"/>
  <c r="CO50" i="4"/>
  <c r="CN51" i="4" s="1"/>
  <c r="DG47" i="4"/>
  <c r="DF48" i="4" s="1"/>
  <c r="CI51" i="4"/>
  <c r="CH52" i="4" s="1"/>
  <c r="BK55" i="4"/>
  <c r="BJ56" i="4" s="1"/>
  <c r="DA48" i="4"/>
  <c r="CZ49" i="4" s="1"/>
  <c r="CU49" i="4"/>
  <c r="CT50" i="4" s="1"/>
  <c r="CC52" i="4"/>
  <c r="CB53" i="4" s="1"/>
  <c r="BW52" i="4"/>
  <c r="BV53" i="4" s="1"/>
  <c r="DA54" i="3"/>
  <c r="CZ55" i="3" s="1"/>
  <c r="CU56" i="3"/>
  <c r="CT57" i="3" s="1"/>
  <c r="CU55" i="3"/>
  <c r="CT56" i="3" s="1"/>
  <c r="AA55" i="3"/>
  <c r="BE50" i="4"/>
  <c r="BD51" i="4" s="1"/>
  <c r="I50" i="4"/>
  <c r="BW53" i="4"/>
  <c r="BV54" i="4" s="1"/>
  <c r="BQ54" i="3"/>
  <c r="AG53" i="3"/>
  <c r="C56" i="3"/>
  <c r="EE39" i="2"/>
  <c r="EE41" i="2"/>
  <c r="ED42" i="2" s="1"/>
  <c r="EK39" i="2"/>
  <c r="EJ40" i="2" s="1"/>
  <c r="EK40" i="2"/>
  <c r="EJ41" i="2" s="1"/>
  <c r="EE40" i="2"/>
  <c r="EK38" i="2"/>
  <c r="EQ39" i="2"/>
  <c r="EP40" i="2" s="1"/>
  <c r="ER40" i="2" s="1"/>
  <c r="EE38" i="2"/>
  <c r="EQ38" i="2"/>
  <c r="EP39" i="2" s="1"/>
  <c r="BK55" i="3"/>
  <c r="AA54" i="3"/>
  <c r="Z55" i="3" s="1"/>
  <c r="EK43" i="3"/>
  <c r="EJ44" i="3" s="1"/>
  <c r="EQ44" i="3"/>
  <c r="EP45" i="3" s="1"/>
  <c r="EK47" i="3"/>
  <c r="EJ48" i="3" s="1"/>
  <c r="EW43" i="3"/>
  <c r="EV44" i="3" s="1"/>
  <c r="FC43" i="3"/>
  <c r="EQ43" i="3"/>
  <c r="EW45" i="3"/>
  <c r="EV46" i="3" s="1"/>
  <c r="EW44" i="3"/>
  <c r="EV45" i="3" s="1"/>
  <c r="EK44" i="3"/>
  <c r="FI43" i="3"/>
  <c r="EK45" i="3"/>
  <c r="EJ46" i="3" s="1"/>
  <c r="EQ46" i="3"/>
  <c r="EP47" i="3" s="1"/>
  <c r="EQ45" i="3"/>
  <c r="EP46" i="3" s="1"/>
  <c r="FC44" i="3"/>
  <c r="EK46" i="3"/>
  <c r="EJ47" i="3" s="1"/>
  <c r="AG54" i="3"/>
  <c r="AS53" i="3"/>
  <c r="O38" i="4"/>
  <c r="N39" i="4" s="1"/>
  <c r="AM38" i="4"/>
  <c r="AL39" i="4" s="1"/>
  <c r="DY38" i="4"/>
  <c r="BE38" i="4"/>
  <c r="BD39" i="4" s="1"/>
  <c r="AG38" i="4"/>
  <c r="AG39" i="4"/>
  <c r="AF40" i="4" s="1"/>
  <c r="DS38" i="4"/>
  <c r="AY38" i="4"/>
  <c r="AX39" i="4" s="1"/>
  <c r="U39" i="4"/>
  <c r="T40" i="4" s="1"/>
  <c r="AG41" i="4"/>
  <c r="AF42" i="4" s="1"/>
  <c r="DA43" i="4"/>
  <c r="CZ44" i="4" s="1"/>
  <c r="CI41" i="4"/>
  <c r="CH42" i="4" s="1"/>
  <c r="C39" i="4"/>
  <c r="B40" i="4" s="1"/>
  <c r="AM39" i="4"/>
  <c r="AL40" i="4" s="1"/>
  <c r="CU42" i="4"/>
  <c r="CT43" i="4" s="1"/>
  <c r="DY39" i="4"/>
  <c r="DX40" i="4" s="1"/>
  <c r="DG43" i="4"/>
  <c r="DF44" i="4" s="1"/>
  <c r="DM42" i="4"/>
  <c r="DL43" i="4" s="1"/>
  <c r="DA40" i="4"/>
  <c r="CZ41" i="4" s="1"/>
  <c r="I40" i="4"/>
  <c r="H41" i="4" s="1"/>
  <c r="AG40" i="4"/>
  <c r="AF41" i="4" s="1"/>
  <c r="BE40" i="4"/>
  <c r="BD41" i="4" s="1"/>
  <c r="CO47" i="4"/>
  <c r="CN48" i="4" s="1"/>
  <c r="BQ40" i="4"/>
  <c r="BP41" i="4" s="1"/>
  <c r="BE39" i="4"/>
  <c r="BD40" i="4" s="1"/>
  <c r="C56" i="4"/>
  <c r="B57" i="4" s="1"/>
  <c r="CO45" i="4"/>
  <c r="CN46" i="4" s="1"/>
  <c r="DG41" i="4"/>
  <c r="DF42" i="4" s="1"/>
  <c r="AS45" i="4"/>
  <c r="AR46" i="4" s="1"/>
  <c r="DS39" i="4"/>
  <c r="DR40" i="4" s="1"/>
  <c r="O44" i="4"/>
  <c r="N45" i="4" s="1"/>
  <c r="O49" i="4"/>
  <c r="N50" i="4" s="1"/>
  <c r="AY42" i="4"/>
  <c r="AX43" i="4" s="1"/>
  <c r="CU46" i="4"/>
  <c r="CT47" i="4" s="1"/>
  <c r="AM43" i="4"/>
  <c r="AL44" i="4" s="1"/>
  <c r="CC39" i="4"/>
  <c r="CB40" i="4" s="1"/>
  <c r="CU38" i="4"/>
  <c r="CT39" i="4" s="1"/>
  <c r="BQ38" i="4"/>
  <c r="CC38" i="4"/>
  <c r="I38" i="4"/>
  <c r="BQ41" i="4"/>
  <c r="BP42" i="4" s="1"/>
  <c r="AA41" i="4"/>
  <c r="Z42" i="4" s="1"/>
  <c r="EE40" i="4"/>
  <c r="ED41" i="4" s="1"/>
  <c r="C55" i="4"/>
  <c r="B56" i="4" s="1"/>
  <c r="C45" i="4"/>
  <c r="B46" i="4" s="1"/>
  <c r="AM42" i="4"/>
  <c r="AL43" i="4" s="1"/>
  <c r="CI49" i="4"/>
  <c r="CH50" i="4" s="1"/>
  <c r="CU43" i="4"/>
  <c r="CT44" i="4" s="1"/>
  <c r="DG40" i="4"/>
  <c r="DF41" i="4" s="1"/>
  <c r="DM40" i="4"/>
  <c r="DL41" i="4" s="1"/>
  <c r="DA39" i="4"/>
  <c r="CZ40" i="4" s="1"/>
  <c r="CO46" i="4"/>
  <c r="CN47" i="4" s="1"/>
  <c r="DS42" i="4"/>
  <c r="DR43" i="4" s="1"/>
  <c r="C51" i="4"/>
  <c r="B52" i="4" s="1"/>
  <c r="CC49" i="4"/>
  <c r="CB50" i="4" s="1"/>
  <c r="C41" i="4"/>
  <c r="B42" i="4" s="1"/>
  <c r="C52" i="4"/>
  <c r="B53" i="4" s="1"/>
  <c r="CO42" i="4"/>
  <c r="CN43" i="4" s="1"/>
  <c r="AS44" i="4"/>
  <c r="AR45" i="4" s="1"/>
  <c r="EK38" i="4"/>
  <c r="EJ39" i="4" s="1"/>
  <c r="DG42" i="4"/>
  <c r="DF43" i="4" s="1"/>
  <c r="DA38" i="4"/>
  <c r="CZ39" i="4" s="1"/>
  <c r="AA38" i="4"/>
  <c r="Z39" i="4" s="1"/>
  <c r="I41" i="4"/>
  <c r="H42" i="4" s="1"/>
  <c r="U38" i="4"/>
  <c r="T39" i="4" s="1"/>
  <c r="EK39" i="4"/>
  <c r="EJ40" i="4" s="1"/>
  <c r="EL40" i="4" s="1"/>
  <c r="EQ39" i="4"/>
  <c r="EP40" i="4" s="1"/>
  <c r="C43" i="4"/>
  <c r="B44" i="4" s="1"/>
  <c r="BW41" i="4"/>
  <c r="BV42" i="4" s="1"/>
  <c r="C57" i="4"/>
  <c r="C54" i="4"/>
  <c r="B55" i="4" s="1"/>
  <c r="C42" i="4"/>
  <c r="B43" i="4" s="1"/>
  <c r="O40" i="4"/>
  <c r="N41" i="4" s="1"/>
  <c r="AM44" i="4"/>
  <c r="AL45" i="4" s="1"/>
  <c r="BK40" i="4"/>
  <c r="BJ41" i="4" s="1"/>
  <c r="CI44" i="4"/>
  <c r="CH45" i="4" s="1"/>
  <c r="CU40" i="4"/>
  <c r="CT41" i="4" s="1"/>
  <c r="O41" i="4"/>
  <c r="N42" i="4" s="1"/>
  <c r="DG39" i="4"/>
  <c r="DF40" i="4" s="1"/>
  <c r="DM39" i="4"/>
  <c r="DL40" i="4" s="1"/>
  <c r="DM38" i="4"/>
  <c r="DL39" i="4" s="1"/>
  <c r="BQ39" i="4"/>
  <c r="BP40" i="4" s="1"/>
  <c r="CO48" i="4"/>
  <c r="CN49" i="4" s="1"/>
  <c r="AS41" i="4"/>
  <c r="AR42" i="4" s="1"/>
  <c r="DS43" i="4"/>
  <c r="DR44" i="4" s="1"/>
  <c r="CI40" i="4"/>
  <c r="CH41" i="4" s="1"/>
  <c r="CO41" i="4"/>
  <c r="CN42" i="4" s="1"/>
  <c r="AS48" i="4"/>
  <c r="AR49" i="4" s="1"/>
  <c r="BK41" i="4"/>
  <c r="BJ42" i="4" s="1"/>
  <c r="DS40" i="4"/>
  <c r="DR41" i="4" s="1"/>
  <c r="CI39" i="4"/>
  <c r="CH40" i="4" s="1"/>
  <c r="AS50" i="4"/>
  <c r="AR51" i="4" s="1"/>
  <c r="DY40" i="4"/>
  <c r="DX41" i="4" s="1"/>
  <c r="AS39" i="4"/>
  <c r="AR40" i="4" s="1"/>
  <c r="DS41" i="4"/>
  <c r="DR42" i="4" s="1"/>
  <c r="C47" i="4"/>
  <c r="B48" i="4" s="1"/>
  <c r="BW43" i="4"/>
  <c r="BV44" i="4" s="1"/>
  <c r="DM41" i="4"/>
  <c r="DL42" i="4" s="1"/>
  <c r="AS47" i="4"/>
  <c r="AR48" i="4" s="1"/>
  <c r="CC42" i="4"/>
  <c r="CB43" i="4" s="1"/>
  <c r="C48" i="4"/>
  <c r="B49" i="4" s="1"/>
  <c r="O51" i="4"/>
  <c r="N52" i="4" s="1"/>
  <c r="BW39" i="4"/>
  <c r="BV40" i="4" s="1"/>
  <c r="DM43" i="4"/>
  <c r="DL44" i="4" s="1"/>
  <c r="U40" i="4"/>
  <c r="T41" i="4" s="1"/>
  <c r="AS40" i="4"/>
  <c r="AR41" i="4" s="1"/>
  <c r="U41" i="4"/>
  <c r="T42" i="4" s="1"/>
  <c r="CO43" i="4"/>
  <c r="CN44" i="4" s="1"/>
  <c r="CC41" i="4"/>
  <c r="CB42" i="4" s="1"/>
  <c r="AS42" i="4"/>
  <c r="AR43" i="4" s="1"/>
  <c r="O39" i="4"/>
  <c r="N40" i="4" s="1"/>
  <c r="AY40" i="4"/>
  <c r="AX41" i="4" s="1"/>
  <c r="BK39" i="4"/>
  <c r="BJ40" i="4" s="1"/>
  <c r="CU39" i="4"/>
  <c r="CT40" i="4" s="1"/>
  <c r="AS51" i="4"/>
  <c r="AR52" i="4" s="1"/>
  <c r="EE39" i="4"/>
  <c r="ED40" i="4" s="1"/>
  <c r="CC45" i="4"/>
  <c r="CB46" i="4" s="1"/>
  <c r="CO38" i="4"/>
  <c r="CN39" i="4" s="1"/>
  <c r="CO40" i="4"/>
  <c r="CN41" i="4" s="1"/>
  <c r="AM41" i="4"/>
  <c r="AL42" i="4" s="1"/>
  <c r="C40" i="4"/>
  <c r="B41" i="4" s="1"/>
  <c r="BK51" i="4"/>
  <c r="BJ52" i="4" s="1"/>
  <c r="DA44" i="4"/>
  <c r="CZ45" i="4" s="1"/>
  <c r="AS56" i="4"/>
  <c r="AR57" i="4" s="1"/>
  <c r="C44" i="4"/>
  <c r="B45" i="4" s="1"/>
  <c r="AS38" i="4"/>
  <c r="AR39" i="4" s="1"/>
  <c r="CI38" i="4"/>
  <c r="CH39" i="4" s="1"/>
  <c r="EE38" i="4"/>
  <c r="ED39" i="4" s="1"/>
  <c r="CC43" i="4"/>
  <c r="CB44" i="4" s="1"/>
  <c r="DG44" i="4"/>
  <c r="DF45" i="4" s="1"/>
  <c r="C53" i="4"/>
  <c r="B54" i="4" s="1"/>
  <c r="C50" i="4"/>
  <c r="B51" i="4" s="1"/>
  <c r="O57" i="4"/>
  <c r="O42" i="4"/>
  <c r="N43" i="4" s="1"/>
  <c r="AY39" i="4"/>
  <c r="AX40" i="4" s="1"/>
  <c r="BK42" i="4"/>
  <c r="BJ43" i="4" s="1"/>
  <c r="DG38" i="4"/>
  <c r="DF39" i="4" s="1"/>
  <c r="EE41" i="4"/>
  <c r="ED42" i="4" s="1"/>
  <c r="EF42" i="4" s="1"/>
  <c r="CO44" i="4"/>
  <c r="CN45" i="4" s="1"/>
  <c r="AA40" i="4"/>
  <c r="Z41" i="4" s="1"/>
  <c r="CU45" i="4"/>
  <c r="CT46" i="4" s="1"/>
  <c r="CU41" i="4"/>
  <c r="CT42" i="4" s="1"/>
  <c r="U44" i="4"/>
  <c r="T45" i="4" s="1"/>
  <c r="CC44" i="4"/>
  <c r="CB45" i="4" s="1"/>
  <c r="DA41" i="4"/>
  <c r="CZ42" i="4" s="1"/>
  <c r="CU44" i="4"/>
  <c r="CT45" i="4" s="1"/>
  <c r="AM40" i="4"/>
  <c r="AL41" i="4" s="1"/>
  <c r="BW38" i="4"/>
  <c r="BV39" i="4" s="1"/>
  <c r="BK38" i="4"/>
  <c r="BJ39" i="4" s="1"/>
  <c r="DY41" i="4"/>
  <c r="DX42" i="4" s="1"/>
  <c r="I39" i="4"/>
  <c r="H40" i="4" s="1"/>
  <c r="EQ38" i="4"/>
  <c r="EP39" i="4" s="1"/>
  <c r="BK43" i="4"/>
  <c r="BJ44" i="4" s="1"/>
  <c r="AY41" i="4"/>
  <c r="AX42" i="4" s="1"/>
  <c r="BE41" i="4"/>
  <c r="BD42" i="4" s="1"/>
  <c r="C49" i="4"/>
  <c r="B50" i="4" s="1"/>
  <c r="C46" i="4"/>
  <c r="B47" i="4" s="1"/>
  <c r="AA39" i="4"/>
  <c r="Z40" i="4" s="1"/>
  <c r="BW40" i="4"/>
  <c r="BV41" i="4" s="1"/>
  <c r="CU47" i="4"/>
  <c r="CT48" i="4" s="1"/>
  <c r="DG45" i="4"/>
  <c r="DF46" i="4" s="1"/>
  <c r="DM44" i="4"/>
  <c r="DL45" i="4" s="1"/>
  <c r="O43" i="4"/>
  <c r="N44" i="4" s="1"/>
  <c r="AS43" i="4"/>
  <c r="AR44" i="4" s="1"/>
  <c r="CC40" i="4"/>
  <c r="CB41" i="4" s="1"/>
  <c r="CO39" i="4"/>
  <c r="CN40" i="4" s="1"/>
  <c r="DA42" i="4"/>
  <c r="CZ43" i="4" s="1"/>
  <c r="DY42" i="4"/>
  <c r="DX43" i="4" s="1"/>
  <c r="C38" i="4"/>
  <c r="B39" i="4" s="1"/>
  <c r="AS46" i="4"/>
  <c r="AR47" i="4" s="1"/>
  <c r="CC50" i="4"/>
  <c r="CB51" i="4" s="1"/>
  <c r="BK47" i="4"/>
  <c r="BJ48" i="4" s="1"/>
  <c r="U50" i="4"/>
  <c r="T51" i="4" s="1"/>
  <c r="O53" i="4"/>
  <c r="N54" i="4" s="1"/>
  <c r="U47" i="4"/>
  <c r="T48" i="4" s="1"/>
  <c r="O56" i="4"/>
  <c r="N57" i="4" s="1"/>
  <c r="AG42" i="4"/>
  <c r="AF43" i="4" s="1"/>
  <c r="U43" i="4"/>
  <c r="T44" i="4" s="1"/>
  <c r="U56" i="4"/>
  <c r="T57" i="4" s="1"/>
  <c r="O55" i="4"/>
  <c r="N56" i="4" s="1"/>
  <c r="U42" i="4"/>
  <c r="T43" i="4" s="1"/>
  <c r="U46" i="4"/>
  <c r="T47" i="4" s="1"/>
  <c r="CI42" i="4"/>
  <c r="CH43" i="4" s="1"/>
  <c r="AA42" i="4"/>
  <c r="Z43" i="4" s="1"/>
  <c r="CI45" i="4"/>
  <c r="CH46" i="4" s="1"/>
  <c r="CI48" i="4"/>
  <c r="CH49" i="4" s="1"/>
  <c r="AM45" i="4"/>
  <c r="AL46" i="4" s="1"/>
  <c r="AA44" i="4"/>
  <c r="Z45" i="4" s="1"/>
  <c r="U48" i="4"/>
  <c r="T49" i="4" s="1"/>
  <c r="O50" i="4"/>
  <c r="N51" i="4" s="1"/>
  <c r="DA45" i="4"/>
  <c r="CZ46" i="4" s="1"/>
  <c r="AS49" i="4"/>
  <c r="AR50" i="4" s="1"/>
  <c r="AS55" i="4"/>
  <c r="AR56" i="4" s="1"/>
  <c r="O46" i="4"/>
  <c r="N47" i="4" s="1"/>
  <c r="AG43" i="4"/>
  <c r="AF44" i="4" s="1"/>
  <c r="BK46" i="4"/>
  <c r="BJ47" i="4" s="1"/>
  <c r="AA45" i="4"/>
  <c r="Z46" i="4" s="1"/>
  <c r="BW42" i="4"/>
  <c r="BV43" i="4" s="1"/>
  <c r="CC48" i="4"/>
  <c r="CB49" i="4" s="1"/>
  <c r="U53" i="4"/>
  <c r="T54" i="4" s="1"/>
  <c r="BK48" i="4"/>
  <c r="BJ49" i="4" s="1"/>
  <c r="AS54" i="4"/>
  <c r="AR55" i="4" s="1"/>
  <c r="BK44" i="4"/>
  <c r="BJ45" i="4" s="1"/>
  <c r="CI43" i="4"/>
  <c r="CH44" i="4" s="1"/>
  <c r="BK45" i="4"/>
  <c r="BJ46" i="4" s="1"/>
  <c r="CC46" i="4"/>
  <c r="CB47" i="4" s="1"/>
  <c r="O52" i="4"/>
  <c r="N53" i="4" s="1"/>
  <c r="CC47" i="4"/>
  <c r="CB48" i="4" s="1"/>
  <c r="AY43" i="4"/>
  <c r="AX44" i="4" s="1"/>
  <c r="BQ42" i="4"/>
  <c r="BP43" i="4" s="1"/>
  <c r="I42" i="4"/>
  <c r="H43" i="4" s="1"/>
  <c r="CI46" i="4"/>
  <c r="CH47" i="4" s="1"/>
  <c r="O54" i="4"/>
  <c r="N55" i="4" s="1"/>
  <c r="U57" i="4"/>
  <c r="AS53" i="4"/>
  <c r="AR54" i="4" s="1"/>
  <c r="O48" i="4"/>
  <c r="N49" i="4" s="1"/>
  <c r="CI47" i="4"/>
  <c r="CH48" i="4" s="1"/>
  <c r="BK52" i="4"/>
  <c r="BJ53" i="4" s="1"/>
  <c r="BE42" i="4"/>
  <c r="BD43" i="4" s="1"/>
  <c r="DA46" i="4"/>
  <c r="CZ47" i="4" s="1"/>
  <c r="U51" i="4"/>
  <c r="T52" i="4" s="1"/>
  <c r="U45" i="4"/>
  <c r="T46" i="4" s="1"/>
  <c r="AS52" i="4"/>
  <c r="AR53" i="4" s="1"/>
  <c r="BK50" i="4"/>
  <c r="BJ51" i="4" s="1"/>
  <c r="AA43" i="4"/>
  <c r="Z44" i="4" s="1"/>
  <c r="U52" i="4"/>
  <c r="T53" i="4" s="1"/>
  <c r="U54" i="4"/>
  <c r="T55" i="4" s="1"/>
  <c r="O45" i="4"/>
  <c r="N46" i="4" s="1"/>
  <c r="BW44" i="4"/>
  <c r="BV45" i="4" s="1"/>
  <c r="BK53" i="4"/>
  <c r="BJ54" i="4" s="1"/>
  <c r="U55" i="4"/>
  <c r="T56" i="4" s="1"/>
  <c r="U49" i="4"/>
  <c r="T50" i="4" s="1"/>
  <c r="BK49" i="4"/>
  <c r="BJ50" i="4" s="1"/>
  <c r="O47" i="4"/>
  <c r="N48" i="4" s="1"/>
  <c r="BQ43" i="4"/>
  <c r="BP44" i="4" s="1"/>
  <c r="BE43" i="4"/>
  <c r="BD44" i="4" s="1"/>
  <c r="AY44" i="4"/>
  <c r="AX45" i="4" s="1"/>
  <c r="AG44" i="4"/>
  <c r="AF45" i="4" s="1"/>
  <c r="AA46" i="4"/>
  <c r="Z47" i="4" s="1"/>
  <c r="AM46" i="4"/>
  <c r="AL47" i="4" s="1"/>
  <c r="BW45" i="4"/>
  <c r="BV46" i="4" s="1"/>
  <c r="I43" i="4"/>
  <c r="H44" i="4" s="1"/>
  <c r="BQ44" i="4"/>
  <c r="BP45" i="4" s="1"/>
  <c r="BW46" i="4"/>
  <c r="BV47" i="4" s="1"/>
  <c r="AY45" i="4"/>
  <c r="AX46" i="4" s="1"/>
  <c r="BE44" i="4"/>
  <c r="BD45" i="4" s="1"/>
  <c r="AA47" i="4"/>
  <c r="Z48" i="4" s="1"/>
  <c r="AG45" i="4"/>
  <c r="AF46" i="4" s="1"/>
  <c r="I44" i="4"/>
  <c r="H45" i="4" s="1"/>
  <c r="AM47" i="4"/>
  <c r="AL48" i="4" s="1"/>
  <c r="BW47" i="4"/>
  <c r="BV48" i="4" s="1"/>
  <c r="AY46" i="4"/>
  <c r="AX47" i="4" s="1"/>
  <c r="I45" i="4"/>
  <c r="H46" i="4" s="1"/>
  <c r="AM48" i="4"/>
  <c r="AL49" i="4" s="1"/>
  <c r="AG46" i="4"/>
  <c r="AF47" i="4" s="1"/>
  <c r="AA48" i="4"/>
  <c r="Z49" i="4" s="1"/>
  <c r="BQ45" i="4"/>
  <c r="BP46" i="4" s="1"/>
  <c r="BE45" i="4"/>
  <c r="BD46" i="4" s="1"/>
  <c r="AA49" i="4"/>
  <c r="Z50" i="4" s="1"/>
  <c r="BW48" i="4"/>
  <c r="BV49" i="4" s="1"/>
  <c r="BE46" i="4"/>
  <c r="BD47" i="4" s="1"/>
  <c r="AG47" i="4"/>
  <c r="AF48" i="4" s="1"/>
  <c r="I46" i="4"/>
  <c r="H47" i="4" s="1"/>
  <c r="AY47" i="4"/>
  <c r="AX48" i="4" s="1"/>
  <c r="BQ46" i="4"/>
  <c r="BP47" i="4" s="1"/>
  <c r="AM49" i="4"/>
  <c r="AL50" i="4" s="1"/>
  <c r="AA50" i="4"/>
  <c r="Z51" i="4" s="1"/>
  <c r="BE47" i="4"/>
  <c r="BD48" i="4" s="1"/>
  <c r="AM50" i="4"/>
  <c r="AL51" i="4" s="1"/>
  <c r="BQ47" i="4"/>
  <c r="BP48" i="4" s="1"/>
  <c r="BW49" i="4"/>
  <c r="BV50" i="4" s="1"/>
  <c r="AG48" i="4"/>
  <c r="AF49" i="4" s="1"/>
  <c r="AY48" i="4"/>
  <c r="AX49" i="4" s="1"/>
  <c r="I47" i="4"/>
  <c r="H48" i="4" s="1"/>
  <c r="BW50" i="4"/>
  <c r="BV51" i="4" s="1"/>
  <c r="AY49" i="4"/>
  <c r="AX50" i="4" s="1"/>
  <c r="BE48" i="4"/>
  <c r="BD49" i="4" s="1"/>
  <c r="I48" i="4"/>
  <c r="H49" i="4" s="1"/>
  <c r="BQ48" i="4"/>
  <c r="BP49" i="4" s="1"/>
  <c r="AM51" i="4"/>
  <c r="AL52" i="4" s="1"/>
  <c r="AG49" i="4"/>
  <c r="AF50" i="4" s="1"/>
  <c r="AA51" i="4"/>
  <c r="Z52" i="4" s="1"/>
  <c r="BQ49" i="4"/>
  <c r="BP50" i="4" s="1"/>
  <c r="BE49" i="4"/>
  <c r="BD50" i="4" s="1"/>
  <c r="AM52" i="4"/>
  <c r="AL53" i="4" s="1"/>
  <c r="AA52" i="4"/>
  <c r="Z53" i="4" s="1"/>
  <c r="AY50" i="4"/>
  <c r="AX51" i="4" s="1"/>
  <c r="AG50" i="4"/>
  <c r="AF51" i="4" s="1"/>
  <c r="BW51" i="4"/>
  <c r="BV52" i="4" s="1"/>
  <c r="I49" i="4"/>
  <c r="H50" i="4" s="1"/>
  <c r="C57" i="3"/>
  <c r="AM54" i="3"/>
  <c r="AL55" i="3" s="1"/>
  <c r="I54" i="3"/>
  <c r="AS54" i="3"/>
  <c r="AY54" i="3"/>
  <c r="AX55" i="3" s="1"/>
  <c r="AE53" i="4"/>
  <c r="AG52" i="4"/>
  <c r="BO52" i="4"/>
  <c r="BQ51" i="4"/>
  <c r="BP51" i="4"/>
  <c r="AL54" i="4"/>
  <c r="AX52" i="4"/>
  <c r="H51" i="4"/>
  <c r="Y55" i="4"/>
  <c r="AA54" i="4"/>
  <c r="BC52" i="4"/>
  <c r="BE51" i="4"/>
  <c r="AK55" i="4"/>
  <c r="AM54" i="4"/>
  <c r="AW53" i="4"/>
  <c r="AY52" i="4"/>
  <c r="G52" i="4"/>
  <c r="I51" i="4"/>
  <c r="Z54" i="4"/>
  <c r="AF52" i="4"/>
  <c r="I53" i="3"/>
  <c r="H54" i="3" s="1"/>
  <c r="CO53" i="3"/>
  <c r="CN54" i="3" s="1"/>
  <c r="CO54" i="3"/>
  <c r="CN55" i="3" s="1"/>
  <c r="CM55" i="3"/>
  <c r="U54" i="3"/>
  <c r="BE54" i="3"/>
  <c r="U53" i="3"/>
  <c r="CU54" i="3"/>
  <c r="CT55" i="3" s="1"/>
  <c r="EE44" i="3"/>
  <c r="ED45" i="3" s="1"/>
  <c r="DY43" i="3"/>
  <c r="DX44" i="3" s="1"/>
  <c r="CC43" i="3"/>
  <c r="CB44" i="3" s="1"/>
  <c r="AA45" i="3"/>
  <c r="Z46" i="3" s="1"/>
  <c r="EE45" i="3"/>
  <c r="ED46" i="3" s="1"/>
  <c r="EJ45" i="3"/>
  <c r="EE46" i="3"/>
  <c r="ED47" i="3" s="1"/>
  <c r="CU44" i="3"/>
  <c r="CT45" i="3" s="1"/>
  <c r="CI43" i="3"/>
  <c r="CH44" i="3" s="1"/>
  <c r="O43" i="3"/>
  <c r="EP44" i="3"/>
  <c r="DY49" i="3"/>
  <c r="DX50" i="3" s="1"/>
  <c r="EE47" i="3"/>
  <c r="ED48" i="3" s="1"/>
  <c r="CU43" i="3"/>
  <c r="CT44" i="3" s="1"/>
  <c r="U43" i="3"/>
  <c r="T44" i="3" s="1"/>
  <c r="EE43" i="3"/>
  <c r="ED44" i="3" s="1"/>
  <c r="BQ43" i="3"/>
  <c r="BK43" i="3"/>
  <c r="BJ44" i="3" s="1"/>
  <c r="AG43" i="3"/>
  <c r="DY47" i="3"/>
  <c r="DX48" i="3" s="1"/>
  <c r="C43" i="3"/>
  <c r="AM43" i="3"/>
  <c r="AL44" i="3" s="1"/>
  <c r="AA44" i="3"/>
  <c r="Z45" i="3" s="1"/>
  <c r="BW44" i="3"/>
  <c r="BV45" i="3" s="1"/>
  <c r="DG46" i="3"/>
  <c r="DF47" i="3" s="1"/>
  <c r="BE43" i="3"/>
  <c r="BD44" i="3" s="1"/>
  <c r="DY48" i="3"/>
  <c r="DX49" i="3" s="1"/>
  <c r="O44" i="3"/>
  <c r="N45" i="3" s="1"/>
  <c r="AM44" i="3"/>
  <c r="AL45" i="3" s="1"/>
  <c r="BK44" i="3"/>
  <c r="BJ45" i="3" s="1"/>
  <c r="C46" i="3"/>
  <c r="B47" i="3" s="1"/>
  <c r="DG45" i="3"/>
  <c r="DF46" i="3" s="1"/>
  <c r="DA44" i="3"/>
  <c r="CZ45" i="3" s="1"/>
  <c r="AS43" i="3"/>
  <c r="BW43" i="3"/>
  <c r="BV44" i="3" s="1"/>
  <c r="DY45" i="3"/>
  <c r="DX46" i="3" s="1"/>
  <c r="AY43" i="3"/>
  <c r="AY44" i="3"/>
  <c r="AX45" i="3" s="1"/>
  <c r="C48" i="3"/>
  <c r="B49" i="3" s="1"/>
  <c r="AM46" i="3"/>
  <c r="AL47" i="3" s="1"/>
  <c r="I44" i="3"/>
  <c r="H45" i="3" s="1"/>
  <c r="CO44" i="3"/>
  <c r="CN45" i="3" s="1"/>
  <c r="I43" i="3"/>
  <c r="DY44" i="3"/>
  <c r="DX45" i="3" s="1"/>
  <c r="O45" i="3"/>
  <c r="N46" i="3" s="1"/>
  <c r="BQ44" i="3"/>
  <c r="BP45" i="3" s="1"/>
  <c r="AM45" i="3"/>
  <c r="AL46" i="3" s="1"/>
  <c r="CI44" i="3"/>
  <c r="CH45" i="3" s="1"/>
  <c r="DG43" i="3"/>
  <c r="DF44" i="3" s="1"/>
  <c r="BW46" i="3"/>
  <c r="BV47" i="3" s="1"/>
  <c r="DG44" i="3"/>
  <c r="DF45" i="3" s="1"/>
  <c r="CO45" i="3"/>
  <c r="CN46" i="3" s="1"/>
  <c r="CU45" i="3"/>
  <c r="CT46" i="3" s="1"/>
  <c r="DS44" i="3"/>
  <c r="DR45" i="3" s="1"/>
  <c r="BE44" i="3"/>
  <c r="BD45" i="3" s="1"/>
  <c r="U44" i="3"/>
  <c r="T45" i="3" s="1"/>
  <c r="DM43" i="3"/>
  <c r="DL44" i="3" s="1"/>
  <c r="DM44" i="3"/>
  <c r="DL45" i="3" s="1"/>
  <c r="EE48" i="3"/>
  <c r="ED49" i="3" s="1"/>
  <c r="DS43" i="3"/>
  <c r="DR44" i="3" s="1"/>
  <c r="C47" i="3"/>
  <c r="B48" i="3" s="1"/>
  <c r="C45" i="3"/>
  <c r="B46" i="3" s="1"/>
  <c r="CC44" i="3"/>
  <c r="CB45" i="3" s="1"/>
  <c r="BW45" i="3"/>
  <c r="BV46" i="3" s="1"/>
  <c r="DA43" i="3"/>
  <c r="BK45" i="3"/>
  <c r="BJ46" i="3" s="1"/>
  <c r="DY46" i="3"/>
  <c r="DX47" i="3" s="1"/>
  <c r="C44" i="3"/>
  <c r="B45" i="3" s="1"/>
  <c r="AS45" i="3"/>
  <c r="AR46" i="3" s="1"/>
  <c r="CO43" i="3"/>
  <c r="CN44" i="3" s="1"/>
  <c r="AY45" i="3"/>
  <c r="AX46" i="3" s="1"/>
  <c r="AG44" i="3"/>
  <c r="AF45" i="3" s="1"/>
  <c r="AS44" i="3"/>
  <c r="AR45" i="3" s="1"/>
  <c r="AA43" i="3"/>
  <c r="Z44" i="3" s="1"/>
  <c r="DS45" i="3"/>
  <c r="DR46" i="3" s="1"/>
  <c r="U45" i="3"/>
  <c r="T46" i="3" s="1"/>
  <c r="CU46" i="3"/>
  <c r="CT47" i="3" s="1"/>
  <c r="AY46" i="3"/>
  <c r="AX47" i="3" s="1"/>
  <c r="CI45" i="3"/>
  <c r="CH46" i="3" s="1"/>
  <c r="DA45" i="3"/>
  <c r="CZ46" i="3" s="1"/>
  <c r="I45" i="3"/>
  <c r="H46" i="3" s="1"/>
  <c r="BQ45" i="3"/>
  <c r="BP46" i="3" s="1"/>
  <c r="DS46" i="3"/>
  <c r="DR47" i="3" s="1"/>
  <c r="CC45" i="3"/>
  <c r="CB46" i="3" s="1"/>
  <c r="CI46" i="3"/>
  <c r="CH47" i="3" s="1"/>
  <c r="AG45" i="3"/>
  <c r="AF46" i="3" s="1"/>
  <c r="O46" i="3"/>
  <c r="N47" i="3" s="1"/>
  <c r="BE45" i="3"/>
  <c r="BD46" i="3" s="1"/>
  <c r="AA46" i="3"/>
  <c r="Z47" i="3" s="1"/>
  <c r="BK46" i="3"/>
  <c r="BJ47" i="3" s="1"/>
  <c r="DM45" i="3"/>
  <c r="DL46" i="3" s="1"/>
  <c r="CO46" i="3"/>
  <c r="CN47" i="3" s="1"/>
  <c r="BW47" i="3"/>
  <c r="BV48" i="3" s="1"/>
  <c r="AS46" i="3"/>
  <c r="AR47" i="3" s="1"/>
  <c r="AM47" i="3"/>
  <c r="AL48" i="3" s="1"/>
  <c r="AA47" i="3"/>
  <c r="Z48" i="3" s="1"/>
  <c r="BE46" i="3"/>
  <c r="BD47" i="3" s="1"/>
  <c r="O47" i="3"/>
  <c r="N48" i="3" s="1"/>
  <c r="CC46" i="3"/>
  <c r="CB47" i="3" s="1"/>
  <c r="CU47" i="3"/>
  <c r="CT48" i="3" s="1"/>
  <c r="AY47" i="3"/>
  <c r="AX48" i="3" s="1"/>
  <c r="I46" i="3"/>
  <c r="H47" i="3" s="1"/>
  <c r="DS47" i="3"/>
  <c r="DR48" i="3" s="1"/>
  <c r="AG46" i="3"/>
  <c r="AF47" i="3" s="1"/>
  <c r="DM46" i="3"/>
  <c r="DL47" i="3" s="1"/>
  <c r="DG47" i="3"/>
  <c r="DF48" i="3" s="1"/>
  <c r="BK47" i="3"/>
  <c r="BJ48" i="3" s="1"/>
  <c r="U46" i="3"/>
  <c r="T47" i="3" s="1"/>
  <c r="BQ46" i="3"/>
  <c r="BP47" i="3" s="1"/>
  <c r="CI47" i="3"/>
  <c r="CH48" i="3" s="1"/>
  <c r="DA46" i="3"/>
  <c r="CZ47" i="3" s="1"/>
  <c r="C49" i="3"/>
  <c r="B50" i="3" s="1"/>
  <c r="I47" i="3"/>
  <c r="H48" i="3" s="1"/>
  <c r="BQ47" i="3"/>
  <c r="BP48" i="3" s="1"/>
  <c r="AM48" i="3"/>
  <c r="AL49" i="3" s="1"/>
  <c r="O48" i="3"/>
  <c r="N49" i="3" s="1"/>
  <c r="U47" i="3"/>
  <c r="T48" i="3" s="1"/>
  <c r="BK48" i="3"/>
  <c r="BJ49" i="3" s="1"/>
  <c r="CO47" i="3"/>
  <c r="CN48" i="3" s="1"/>
  <c r="DS48" i="3"/>
  <c r="DR49" i="3" s="1"/>
  <c r="BE47" i="3"/>
  <c r="BD48" i="3" s="1"/>
  <c r="AS47" i="3"/>
  <c r="AR48" i="3" s="1"/>
  <c r="AA48" i="3"/>
  <c r="Z49" i="3" s="1"/>
  <c r="DM47" i="3"/>
  <c r="DL48" i="3" s="1"/>
  <c r="AG47" i="3"/>
  <c r="AF48" i="3" s="1"/>
  <c r="BW48" i="3"/>
  <c r="BV49" i="3" s="1"/>
  <c r="CU48" i="3"/>
  <c r="CT49" i="3" s="1"/>
  <c r="CC47" i="3"/>
  <c r="CB48" i="3" s="1"/>
  <c r="DA47" i="3"/>
  <c r="CZ48" i="3" s="1"/>
  <c r="C50" i="3"/>
  <c r="B51" i="3" s="1"/>
  <c r="DG48" i="3"/>
  <c r="DF49" i="3" s="1"/>
  <c r="AY48" i="3"/>
  <c r="AX49" i="3" s="1"/>
  <c r="CI48" i="3"/>
  <c r="CH49" i="3" s="1"/>
  <c r="CU49" i="3"/>
  <c r="CT50" i="3" s="1"/>
  <c r="CI49" i="3"/>
  <c r="CH50" i="3" s="1"/>
  <c r="BK49" i="3"/>
  <c r="BJ50" i="3" s="1"/>
  <c r="CC48" i="3"/>
  <c r="CB49" i="3" s="1"/>
  <c r="AY49" i="3"/>
  <c r="AX50" i="3" s="1"/>
  <c r="DM48" i="3"/>
  <c r="DL49" i="3" s="1"/>
  <c r="AS48" i="3"/>
  <c r="AR49" i="3" s="1"/>
  <c r="C51" i="3"/>
  <c r="B52" i="3" s="1"/>
  <c r="BW49" i="3"/>
  <c r="BV50" i="3" s="1"/>
  <c r="DA48" i="3"/>
  <c r="CZ49" i="3" s="1"/>
  <c r="AA49" i="3"/>
  <c r="Z50" i="3" s="1"/>
  <c r="AG48" i="3"/>
  <c r="AF49" i="3" s="1"/>
  <c r="U48" i="3"/>
  <c r="T49" i="3" s="1"/>
  <c r="O49" i="3"/>
  <c r="N50" i="3" s="1"/>
  <c r="BE48" i="3"/>
  <c r="BD49" i="3" s="1"/>
  <c r="DS49" i="3"/>
  <c r="DR50" i="3" s="1"/>
  <c r="I48" i="3"/>
  <c r="H49" i="3" s="1"/>
  <c r="DG49" i="3"/>
  <c r="DF50" i="3" s="1"/>
  <c r="AM49" i="3"/>
  <c r="AL50" i="3" s="1"/>
  <c r="CO48" i="3"/>
  <c r="CN49" i="3" s="1"/>
  <c r="BQ48" i="3"/>
  <c r="BP49" i="3" s="1"/>
  <c r="C52" i="3"/>
  <c r="B53" i="3" s="1"/>
  <c r="AY50" i="3"/>
  <c r="AX51" i="3" s="1"/>
  <c r="CU50" i="3"/>
  <c r="CT51" i="3" s="1"/>
  <c r="BQ49" i="3"/>
  <c r="BP50" i="3" s="1"/>
  <c r="BK50" i="3"/>
  <c r="BJ51" i="3" s="1"/>
  <c r="DG50" i="3"/>
  <c r="DF51" i="3" s="1"/>
  <c r="BW50" i="3"/>
  <c r="BV51" i="3" s="1"/>
  <c r="AG49" i="3"/>
  <c r="AF50" i="3" s="1"/>
  <c r="O50" i="3"/>
  <c r="N51" i="3" s="1"/>
  <c r="DS50" i="3"/>
  <c r="DR51" i="3" s="1"/>
  <c r="AS49" i="3"/>
  <c r="AR50" i="3" s="1"/>
  <c r="DM49" i="3"/>
  <c r="DL50" i="3" s="1"/>
  <c r="BE49" i="3"/>
  <c r="BD50" i="3" s="1"/>
  <c r="CO49" i="3"/>
  <c r="CN50" i="3" s="1"/>
  <c r="AM50" i="3"/>
  <c r="AL51" i="3" s="1"/>
  <c r="I49" i="3"/>
  <c r="H50" i="3" s="1"/>
  <c r="CI50" i="3"/>
  <c r="CH51" i="3" s="1"/>
  <c r="AA50" i="3"/>
  <c r="Z51" i="3" s="1"/>
  <c r="U49" i="3"/>
  <c r="T50" i="3" s="1"/>
  <c r="DA49" i="3"/>
  <c r="CZ50" i="3" s="1"/>
  <c r="CC49" i="3"/>
  <c r="CB50" i="3" s="1"/>
  <c r="C53" i="3"/>
  <c r="B54" i="3" s="1"/>
  <c r="AG50" i="3"/>
  <c r="AF51" i="3" s="1"/>
  <c r="AY51" i="3"/>
  <c r="AX52" i="3" s="1"/>
  <c r="AS50" i="3"/>
  <c r="AR51" i="3" s="1"/>
  <c r="BQ50" i="3"/>
  <c r="BP51" i="3" s="1"/>
  <c r="DG51" i="3"/>
  <c r="DF52" i="3" s="1"/>
  <c r="CC50" i="3"/>
  <c r="CB51" i="3" s="1"/>
  <c r="DM50" i="3"/>
  <c r="DL51" i="3" s="1"/>
  <c r="I50" i="3"/>
  <c r="H51" i="3" s="1"/>
  <c r="BE50" i="3"/>
  <c r="BD51" i="3" s="1"/>
  <c r="BW51" i="3"/>
  <c r="BV52" i="3" s="1"/>
  <c r="AA51" i="3"/>
  <c r="Z52" i="3" s="1"/>
  <c r="BK51" i="3"/>
  <c r="BJ52" i="3" s="1"/>
  <c r="U50" i="3"/>
  <c r="T51" i="3" s="1"/>
  <c r="CO50" i="3"/>
  <c r="CN51" i="3" s="1"/>
  <c r="CU51" i="3"/>
  <c r="CT52" i="3" s="1"/>
  <c r="CI51" i="3"/>
  <c r="CH52" i="3" s="1"/>
  <c r="AM51" i="3"/>
  <c r="AL52" i="3" s="1"/>
  <c r="O51" i="3"/>
  <c r="N52" i="3" s="1"/>
  <c r="DA50" i="3"/>
  <c r="CZ51" i="3" s="1"/>
  <c r="AA52" i="3"/>
  <c r="Z53" i="3" s="1"/>
  <c r="AS51" i="3"/>
  <c r="AR52" i="3" s="1"/>
  <c r="CI52" i="3"/>
  <c r="CH53" i="3" s="1"/>
  <c r="O52" i="3"/>
  <c r="N53" i="3" s="1"/>
  <c r="BQ51" i="3"/>
  <c r="BP52" i="3" s="1"/>
  <c r="CC51" i="3"/>
  <c r="CB52" i="3" s="1"/>
  <c r="CO51" i="3"/>
  <c r="CN52" i="3" s="1"/>
  <c r="BW52" i="3"/>
  <c r="BV53" i="3" s="1"/>
  <c r="CU52" i="3"/>
  <c r="CT53" i="3" s="1"/>
  <c r="BK52" i="3"/>
  <c r="BJ53" i="3" s="1"/>
  <c r="AG51" i="3"/>
  <c r="AF52" i="3" s="1"/>
  <c r="C54" i="3"/>
  <c r="B55" i="3" s="1"/>
  <c r="DG52" i="3"/>
  <c r="DF53" i="3" s="1"/>
  <c r="I51" i="3"/>
  <c r="H52" i="3" s="1"/>
  <c r="AM52" i="3"/>
  <c r="AL53" i="3" s="1"/>
  <c r="BE51" i="3"/>
  <c r="BD52" i="3" s="1"/>
  <c r="AY52" i="3"/>
  <c r="AX53" i="3" s="1"/>
  <c r="DM51" i="3"/>
  <c r="DL52" i="3" s="1"/>
  <c r="DA51" i="3"/>
  <c r="CZ52" i="3" s="1"/>
  <c r="U51" i="3"/>
  <c r="T52" i="3" s="1"/>
  <c r="AG52" i="3"/>
  <c r="AF53" i="3" s="1"/>
  <c r="C55" i="3"/>
  <c r="B56" i="3" s="1"/>
  <c r="AA53" i="3"/>
  <c r="Z54" i="3" s="1"/>
  <c r="DA52" i="3"/>
  <c r="CZ53" i="3" s="1"/>
  <c r="O53" i="3"/>
  <c r="N54" i="3" s="1"/>
  <c r="AM53" i="3"/>
  <c r="AL54" i="3" s="1"/>
  <c r="U52" i="3"/>
  <c r="T53" i="3" s="1"/>
  <c r="I52" i="3"/>
  <c r="H53" i="3" s="1"/>
  <c r="CC52" i="3"/>
  <c r="CB53" i="3" s="1"/>
  <c r="CU53" i="3"/>
  <c r="CT54" i="3" s="1"/>
  <c r="CO52" i="3"/>
  <c r="CN53" i="3" s="1"/>
  <c r="AY53" i="3"/>
  <c r="AX54" i="3" s="1"/>
  <c r="BK53" i="3"/>
  <c r="BJ54" i="3" s="1"/>
  <c r="AS52" i="3"/>
  <c r="AR53" i="3" s="1"/>
  <c r="BE52" i="3"/>
  <c r="BD53" i="3" s="1"/>
  <c r="BQ52" i="3"/>
  <c r="BP53" i="3" s="1"/>
  <c r="CI53" i="3"/>
  <c r="CH54" i="3" s="1"/>
  <c r="BW53" i="3"/>
  <c r="BV54" i="3" s="1"/>
  <c r="O55" i="3"/>
  <c r="AM55" i="3"/>
  <c r="BK54" i="3"/>
  <c r="BJ55" i="3" s="1"/>
  <c r="BW54" i="3"/>
  <c r="BV55" i="3" s="1"/>
  <c r="CC53" i="3"/>
  <c r="CB54" i="3" s="1"/>
  <c r="CC54" i="3"/>
  <c r="AY55" i="3"/>
  <c r="BQ53" i="3"/>
  <c r="BP54" i="3" s="1"/>
  <c r="CI55" i="3"/>
  <c r="CH56" i="3" s="1"/>
  <c r="CG56" i="3"/>
  <c r="O54" i="3"/>
  <c r="N55" i="3" s="1"/>
  <c r="G55" i="3"/>
  <c r="I55" i="3" s="1"/>
  <c r="BU56" i="3"/>
  <c r="AK56" i="3"/>
  <c r="AM56" i="3" s="1"/>
  <c r="B57" i="3"/>
  <c r="T54" i="3"/>
  <c r="A58" i="3"/>
  <c r="C58" i="3" s="1"/>
  <c r="S55" i="3"/>
  <c r="U55" i="3" s="1"/>
  <c r="M56" i="3"/>
  <c r="O56" i="3" s="1"/>
  <c r="BO55" i="3"/>
  <c r="BQ55" i="3" s="1"/>
  <c r="AR54" i="3"/>
  <c r="AW56" i="3"/>
  <c r="AY56" i="3" s="1"/>
  <c r="AF54" i="3"/>
  <c r="AQ55" i="3"/>
  <c r="AS55" i="3" s="1"/>
  <c r="AE55" i="3"/>
  <c r="AG55" i="3" s="1"/>
  <c r="BI56" i="3"/>
  <c r="BK56" i="3" s="1"/>
  <c r="BD54" i="3"/>
  <c r="Y56" i="3"/>
  <c r="AA56" i="3" s="1"/>
  <c r="CA55" i="3"/>
  <c r="BC55" i="3"/>
  <c r="BE55" i="3" s="1"/>
  <c r="DQ41" i="2"/>
  <c r="DS40" i="2"/>
  <c r="DR41" i="2" s="1"/>
  <c r="ED39" i="2"/>
  <c r="DY42" i="2"/>
  <c r="DX43" i="2" s="1"/>
  <c r="DY40" i="2"/>
  <c r="DX41" i="2" s="1"/>
  <c r="ED41" i="2"/>
  <c r="DY41" i="2"/>
  <c r="DX42" i="2" s="1"/>
  <c r="DY39" i="2"/>
  <c r="DX40" i="2" s="1"/>
  <c r="ED40" i="2"/>
  <c r="DK42" i="2"/>
  <c r="DM41" i="2"/>
  <c r="DL42" i="2" s="1"/>
  <c r="DM38" i="2"/>
  <c r="DL39" i="2" s="1"/>
  <c r="U39" i="2"/>
  <c r="T40" i="2" s="1"/>
  <c r="DS38" i="2"/>
  <c r="DR39" i="2" s="1"/>
  <c r="CU38" i="2"/>
  <c r="CT39" i="2" s="1"/>
  <c r="CI38" i="2"/>
  <c r="CH39" i="2" s="1"/>
  <c r="CU39" i="2"/>
  <c r="CT40" i="2" s="1"/>
  <c r="BW40" i="2"/>
  <c r="BV41" i="2" s="1"/>
  <c r="AK41" i="2"/>
  <c r="AM41" i="2" s="1"/>
  <c r="AM40" i="2"/>
  <c r="BW39" i="2"/>
  <c r="BV40" i="2" s="1"/>
  <c r="BQ38" i="2"/>
  <c r="BP39" i="2" s="1"/>
  <c r="U38" i="2"/>
  <c r="T39" i="2" s="1"/>
  <c r="BQ40" i="2"/>
  <c r="U40" i="2"/>
  <c r="BQ39" i="2"/>
  <c r="AS38" i="2"/>
  <c r="AR39" i="2" s="1"/>
  <c r="CO39" i="2"/>
  <c r="CN40" i="2" s="1"/>
  <c r="CO40" i="2"/>
  <c r="CO38" i="2"/>
  <c r="CN39" i="2" s="1"/>
  <c r="I38" i="2"/>
  <c r="H39" i="2" s="1"/>
  <c r="AS39" i="2"/>
  <c r="AR40" i="2" s="1"/>
  <c r="O39" i="2"/>
  <c r="N40" i="2" s="1"/>
  <c r="O40" i="2"/>
  <c r="N41" i="2" s="1"/>
  <c r="BE39" i="2"/>
  <c r="BD40" i="2" s="1"/>
  <c r="I39" i="2"/>
  <c r="H40" i="2" s="1"/>
  <c r="I40" i="2"/>
  <c r="I41" i="2"/>
  <c r="O38" i="2"/>
  <c r="N39" i="2" s="1"/>
  <c r="AS40" i="2"/>
  <c r="AR41" i="2" s="1"/>
  <c r="BE38" i="2"/>
  <c r="BD39" i="2" s="1"/>
  <c r="CG41" i="2"/>
  <c r="CI41" i="2" s="1"/>
  <c r="CI40" i="2"/>
  <c r="CH41" i="2" s="1"/>
  <c r="DA39" i="2"/>
  <c r="DA40" i="2"/>
  <c r="AG38" i="2"/>
  <c r="AF39" i="2" s="1"/>
  <c r="AG39" i="2"/>
  <c r="AF40" i="2" s="1"/>
  <c r="AM39" i="2"/>
  <c r="AL40" i="2" s="1"/>
  <c r="BK39" i="2"/>
  <c r="BJ40" i="2" s="1"/>
  <c r="BK40" i="2"/>
  <c r="BJ41" i="2" s="1"/>
  <c r="BK41" i="2"/>
  <c r="DA38" i="2"/>
  <c r="CZ39" i="2" s="1"/>
  <c r="DM40" i="2"/>
  <c r="DL41" i="2" s="1"/>
  <c r="AG40" i="2"/>
  <c r="BK38" i="2"/>
  <c r="BJ39" i="2" s="1"/>
  <c r="BW41" i="2"/>
  <c r="CC39" i="2"/>
  <c r="CC38" i="2"/>
  <c r="CB39" i="2" s="1"/>
  <c r="DM39" i="2"/>
  <c r="C38" i="2"/>
  <c r="B39" i="2" s="1"/>
  <c r="AA38" i="2"/>
  <c r="Z39" i="2" s="1"/>
  <c r="AA39" i="2"/>
  <c r="Z40" i="2" s="1"/>
  <c r="AY38" i="2"/>
  <c r="AX39" i="2" s="1"/>
  <c r="AY40" i="2"/>
  <c r="BW38" i="2"/>
  <c r="BV39" i="2" s="1"/>
  <c r="DG39" i="2"/>
  <c r="DF40" i="2" s="1"/>
  <c r="DG40" i="2"/>
  <c r="C39" i="2"/>
  <c r="B40" i="2" s="1"/>
  <c r="AM38" i="2"/>
  <c r="AY39" i="2"/>
  <c r="CI39" i="2"/>
  <c r="CH40" i="2" s="1"/>
  <c r="CU40" i="2"/>
  <c r="CU41" i="2"/>
  <c r="DG38" i="2"/>
  <c r="DF39" i="2" s="1"/>
  <c r="DY38" i="2"/>
  <c r="DX39" i="2" s="1"/>
  <c r="DS39" i="2"/>
  <c r="DR40" i="2" s="1"/>
  <c r="A78" i="1"/>
  <c r="M78" i="1"/>
  <c r="S78" i="1"/>
  <c r="G78" i="1"/>
  <c r="DE41" i="2"/>
  <c r="CY41" i="2"/>
  <c r="DA41" i="2" s="1"/>
  <c r="CS42" i="2"/>
  <c r="CU42" i="2" s="1"/>
  <c r="CM41" i="2"/>
  <c r="CO41" i="2" s="1"/>
  <c r="CA41" i="2"/>
  <c r="CC41" i="2" s="1"/>
  <c r="BU42" i="2"/>
  <c r="BW42" i="2" s="1"/>
  <c r="BO41" i="2"/>
  <c r="BQ41" i="2" s="1"/>
  <c r="BI42" i="2"/>
  <c r="BK42" i="2" s="1"/>
  <c r="BC40" i="2"/>
  <c r="BE40" i="2" s="1"/>
  <c r="AW41" i="2"/>
  <c r="AY41" i="2" s="1"/>
  <c r="AQ41" i="2"/>
  <c r="AS41" i="2" s="1"/>
  <c r="AE41" i="2"/>
  <c r="AG41" i="2" s="1"/>
  <c r="Y40" i="2"/>
  <c r="AA40" i="2" s="1"/>
  <c r="S41" i="2"/>
  <c r="U41" i="2" s="1"/>
  <c r="M41" i="2"/>
  <c r="O41" i="2" s="1"/>
  <c r="G42" i="2"/>
  <c r="I42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C46" i="2"/>
  <c r="B47" i="2" s="1"/>
  <c r="C44" i="2"/>
  <c r="B45" i="2" s="1"/>
  <c r="C45" i="2"/>
  <c r="B46" i="2" s="1"/>
  <c r="C40" i="2"/>
  <c r="B41" i="2" s="1"/>
  <c r="C41" i="2"/>
  <c r="B42" i="2" s="1"/>
  <c r="C42" i="2"/>
  <c r="B43" i="2" s="1"/>
  <c r="C43" i="2"/>
  <c r="B44" i="2" s="1"/>
  <c r="EF43" i="4" l="1"/>
  <c r="EF42" i="2"/>
  <c r="ER40" i="4"/>
  <c r="EL42" i="4"/>
  <c r="EF44" i="4"/>
  <c r="FH39" i="4"/>
  <c r="FJ38" i="4"/>
  <c r="FK38" i="4" s="1"/>
  <c r="EJ42" i="2"/>
  <c r="EL41" i="2"/>
  <c r="BQ52" i="4"/>
  <c r="BP53" i="4" s="1"/>
  <c r="BO53" i="4"/>
  <c r="FN44" i="3"/>
  <c r="FP43" i="3"/>
  <c r="ER41" i="2"/>
  <c r="EP42" i="2"/>
  <c r="ER42" i="2" s="1"/>
  <c r="EX41" i="2"/>
  <c r="DL54" i="3"/>
  <c r="FH39" i="2"/>
  <c r="FJ39" i="2" s="1"/>
  <c r="FJ38" i="2"/>
  <c r="CO55" i="3"/>
  <c r="CN56" i="3" s="1"/>
  <c r="CM56" i="3"/>
  <c r="FB39" i="4"/>
  <c r="FD39" i="4" s="1"/>
  <c r="FD38" i="4"/>
  <c r="FP44" i="3"/>
  <c r="FN45" i="3"/>
  <c r="FP45" i="3" s="1"/>
  <c r="EX39" i="2"/>
  <c r="EV40" i="2"/>
  <c r="EX40" i="2" s="1"/>
  <c r="CI56" i="3"/>
  <c r="CH57" i="3" s="1"/>
  <c r="CG57" i="3"/>
  <c r="EL43" i="4"/>
  <c r="FJ39" i="4"/>
  <c r="EF43" i="2"/>
  <c r="FB40" i="4"/>
  <c r="FD40" i="4" s="1"/>
  <c r="EV41" i="4"/>
  <c r="EX41" i="4" s="1"/>
  <c r="EX40" i="4"/>
  <c r="EL41" i="4"/>
  <c r="FT44" i="3"/>
  <c r="FV44" i="3" s="1"/>
  <c r="FV43" i="3"/>
  <c r="EJ43" i="2"/>
  <c r="EL43" i="2" s="1"/>
  <c r="EL42" i="2"/>
  <c r="AJ7" i="13"/>
  <c r="AK7" i="13" s="1"/>
  <c r="Y7" i="13"/>
  <c r="EF44" i="2"/>
  <c r="EX39" i="4"/>
  <c r="FD38" i="2"/>
  <c r="FE38" i="2" s="1"/>
  <c r="FB39" i="2"/>
  <c r="FD39" i="2" s="1"/>
  <c r="FH44" i="3"/>
  <c r="FB45" i="3"/>
  <c r="FB44" i="3"/>
  <c r="DR39" i="4"/>
  <c r="AF39" i="4"/>
  <c r="H39" i="4"/>
  <c r="DX39" i="4"/>
  <c r="CB39" i="4"/>
  <c r="AK42" i="2"/>
  <c r="AM42" i="2" s="1"/>
  <c r="BP39" i="4"/>
  <c r="EJ39" i="2"/>
  <c r="BD52" i="4"/>
  <c r="BC53" i="4"/>
  <c r="BE52" i="4"/>
  <c r="AF53" i="4"/>
  <c r="H52" i="4"/>
  <c r="AE54" i="4"/>
  <c r="AG53" i="4"/>
  <c r="AK56" i="4"/>
  <c r="AM55" i="4"/>
  <c r="AX53" i="4"/>
  <c r="Z55" i="4"/>
  <c r="AW54" i="4"/>
  <c r="AY53" i="4"/>
  <c r="Y56" i="4"/>
  <c r="AA55" i="4"/>
  <c r="BP52" i="4"/>
  <c r="G53" i="4"/>
  <c r="I52" i="4"/>
  <c r="AL55" i="4"/>
  <c r="AF44" i="3"/>
  <c r="BU57" i="3"/>
  <c r="BW56" i="3"/>
  <c r="BV57" i="3" s="1"/>
  <c r="BP44" i="3"/>
  <c r="N44" i="3"/>
  <c r="CA56" i="3"/>
  <c r="CC55" i="3"/>
  <c r="CB56" i="3" s="1"/>
  <c r="AX44" i="3"/>
  <c r="CZ44" i="3"/>
  <c r="B44" i="3"/>
  <c r="H44" i="3"/>
  <c r="AR44" i="3"/>
  <c r="Y57" i="3"/>
  <c r="AA57" i="3" s="1"/>
  <c r="A59" i="3"/>
  <c r="C59" i="3" s="1"/>
  <c r="AK57" i="3"/>
  <c r="AM57" i="3" s="1"/>
  <c r="S56" i="3"/>
  <c r="U56" i="3" s="1"/>
  <c r="AL56" i="3"/>
  <c r="AF55" i="3"/>
  <c r="AX56" i="3"/>
  <c r="B58" i="3"/>
  <c r="BV56" i="3"/>
  <c r="AE56" i="3"/>
  <c r="AG56" i="3" s="1"/>
  <c r="AW57" i="3"/>
  <c r="AY57" i="3" s="1"/>
  <c r="N56" i="3"/>
  <c r="BD55" i="3"/>
  <c r="AR55" i="3"/>
  <c r="M57" i="3"/>
  <c r="O57" i="3" s="1"/>
  <c r="H55" i="3"/>
  <c r="Z56" i="3"/>
  <c r="BC56" i="3"/>
  <c r="BE56" i="3" s="1"/>
  <c r="AQ56" i="3"/>
  <c r="AS56" i="3" s="1"/>
  <c r="G56" i="3"/>
  <c r="I56" i="3" s="1"/>
  <c r="CB55" i="3"/>
  <c r="BJ56" i="3"/>
  <c r="BP55" i="3"/>
  <c r="BI57" i="3"/>
  <c r="BK57" i="3" s="1"/>
  <c r="BO56" i="3"/>
  <c r="BQ56" i="3" s="1"/>
  <c r="T55" i="3"/>
  <c r="DK43" i="2"/>
  <c r="DM42" i="2"/>
  <c r="DL43" i="2" s="1"/>
  <c r="DG41" i="2"/>
  <c r="DF42" i="2" s="1"/>
  <c r="DE42" i="2"/>
  <c r="DQ42" i="2"/>
  <c r="DS41" i="2"/>
  <c r="DR42" i="2" s="1"/>
  <c r="CG42" i="2"/>
  <c r="CI42" i="2" s="1"/>
  <c r="S79" i="1"/>
  <c r="M79" i="1"/>
  <c r="A79" i="1"/>
  <c r="G79" i="1"/>
  <c r="DL40" i="2"/>
  <c r="DF41" i="2"/>
  <c r="CZ40" i="2"/>
  <c r="CZ41" i="2"/>
  <c r="CY42" i="2"/>
  <c r="CS43" i="2"/>
  <c r="CT42" i="2"/>
  <c r="CT41" i="2"/>
  <c r="CM42" i="2"/>
  <c r="CO42" i="2" s="1"/>
  <c r="CN41" i="2"/>
  <c r="CH42" i="2"/>
  <c r="CA42" i="2"/>
  <c r="CC42" i="2" s="1"/>
  <c r="CB40" i="2"/>
  <c r="CB41" i="2"/>
  <c r="BU43" i="2"/>
  <c r="BW43" i="2" s="1"/>
  <c r="BV42" i="2"/>
  <c r="BO42" i="2"/>
  <c r="BQ42" i="2" s="1"/>
  <c r="BP40" i="2"/>
  <c r="BP41" i="2"/>
  <c r="BJ42" i="2"/>
  <c r="BI43" i="2"/>
  <c r="BK43" i="2" s="1"/>
  <c r="BC41" i="2"/>
  <c r="BE41" i="2" s="1"/>
  <c r="AX40" i="2"/>
  <c r="AW42" i="2"/>
  <c r="AY42" i="2" s="1"/>
  <c r="AX41" i="2"/>
  <c r="AQ42" i="2"/>
  <c r="AS42" i="2" s="1"/>
  <c r="AL42" i="2"/>
  <c r="AL41" i="2"/>
  <c r="AF41" i="2"/>
  <c r="AE42" i="2"/>
  <c r="AG42" i="2" s="1"/>
  <c r="Y41" i="2"/>
  <c r="AA41" i="2" s="1"/>
  <c r="S42" i="2"/>
  <c r="U42" i="2" s="1"/>
  <c r="T41" i="2"/>
  <c r="M42" i="2"/>
  <c r="O42" i="2" s="1"/>
  <c r="G43" i="2"/>
  <c r="I43" i="2" s="1"/>
  <c r="H41" i="2"/>
  <c r="H42" i="2"/>
  <c r="C52" i="2"/>
  <c r="B53" i="2" s="1"/>
  <c r="C47" i="2"/>
  <c r="B48" i="2" s="1"/>
  <c r="C56" i="2"/>
  <c r="B57" i="2" s="1"/>
  <c r="C50" i="2"/>
  <c r="B51" i="2" s="1"/>
  <c r="C55" i="2"/>
  <c r="B56" i="2" s="1"/>
  <c r="C49" i="2"/>
  <c r="B50" i="2" s="1"/>
  <c r="C48" i="2"/>
  <c r="B49" i="2" s="1"/>
  <c r="C51" i="2"/>
  <c r="B52" i="2" s="1"/>
  <c r="C57" i="2"/>
  <c r="C53" i="2"/>
  <c r="B54" i="2" s="1"/>
  <c r="C54" i="2"/>
  <c r="B55" i="2" s="1"/>
  <c r="L36" i="1"/>
  <c r="W9" i="13" l="1"/>
  <c r="X9" i="13" s="1"/>
  <c r="FK38" i="2"/>
  <c r="CI57" i="3"/>
  <c r="CH58" i="3" s="1"/>
  <c r="CG58" i="3"/>
  <c r="CI58" i="3" s="1"/>
  <c r="CH59" i="3" s="1"/>
  <c r="AE8" i="13"/>
  <c r="AF8" i="13" s="1"/>
  <c r="AG8" i="13" s="1"/>
  <c r="D19" i="13"/>
  <c r="L32" i="10"/>
  <c r="CM57" i="3"/>
  <c r="CO57" i="3" s="1"/>
  <c r="CN58" i="3" s="1"/>
  <c r="CO56" i="3"/>
  <c r="CN57" i="3" s="1"/>
  <c r="FE38" i="4"/>
  <c r="AE9" i="13" s="1"/>
  <c r="AF9" i="13" s="1"/>
  <c r="FW43" i="3"/>
  <c r="BO54" i="4"/>
  <c r="BQ54" i="4" s="1"/>
  <c r="BP55" i="4" s="1"/>
  <c r="BQ53" i="4"/>
  <c r="BP54" i="4" s="1"/>
  <c r="FQ43" i="3"/>
  <c r="AA9" i="13" s="1"/>
  <c r="AB9" i="13" s="1"/>
  <c r="AK43" i="2"/>
  <c r="AM43" i="2" s="1"/>
  <c r="Z56" i="4"/>
  <c r="Y57" i="4"/>
  <c r="AA56" i="4"/>
  <c r="BD53" i="4"/>
  <c r="AX54" i="4"/>
  <c r="AK57" i="4"/>
  <c r="AM57" i="4" s="1"/>
  <c r="AM56" i="4"/>
  <c r="BC54" i="4"/>
  <c r="BE53" i="4"/>
  <c r="AW55" i="4"/>
  <c r="AY54" i="4"/>
  <c r="AF54" i="4"/>
  <c r="AL56" i="4"/>
  <c r="H53" i="4"/>
  <c r="AE55" i="4"/>
  <c r="AG54" i="4"/>
  <c r="G54" i="4"/>
  <c r="I53" i="4"/>
  <c r="CA57" i="3"/>
  <c r="CC56" i="3"/>
  <c r="CB57" i="3" s="1"/>
  <c r="BU58" i="3"/>
  <c r="BW57" i="3"/>
  <c r="BV58" i="3" s="1"/>
  <c r="BO57" i="3"/>
  <c r="AW58" i="3"/>
  <c r="AY58" i="3" s="1"/>
  <c r="AK58" i="3"/>
  <c r="AM58" i="3" s="1"/>
  <c r="BP56" i="3"/>
  <c r="BD56" i="3"/>
  <c r="AE57" i="3"/>
  <c r="AG57" i="3" s="1"/>
  <c r="B59" i="3"/>
  <c r="BI58" i="3"/>
  <c r="G57" i="3"/>
  <c r="I57" i="3" s="1"/>
  <c r="BJ57" i="3"/>
  <c r="A60" i="3"/>
  <c r="C60" i="3" s="1"/>
  <c r="H56" i="3"/>
  <c r="Z57" i="3"/>
  <c r="S57" i="3"/>
  <c r="U57" i="3" s="1"/>
  <c r="Y58" i="3"/>
  <c r="AA58" i="3" s="1"/>
  <c r="AQ57" i="3"/>
  <c r="AS57" i="3" s="1"/>
  <c r="N57" i="3"/>
  <c r="T56" i="3"/>
  <c r="BC57" i="3"/>
  <c r="BE57" i="3" s="1"/>
  <c r="AF56" i="3"/>
  <c r="AR56" i="3"/>
  <c r="M58" i="3"/>
  <c r="O58" i="3" s="1"/>
  <c r="AX57" i="3"/>
  <c r="AL57" i="3"/>
  <c r="DE43" i="2"/>
  <c r="DG42" i="2"/>
  <c r="DF43" i="2" s="1"/>
  <c r="CU43" i="2"/>
  <c r="CT44" i="2" s="1"/>
  <c r="CS44" i="2"/>
  <c r="DA42" i="2"/>
  <c r="CZ43" i="2" s="1"/>
  <c r="CY43" i="2"/>
  <c r="DQ43" i="2"/>
  <c r="DS42" i="2"/>
  <c r="DR43" i="2" s="1"/>
  <c r="DK44" i="2"/>
  <c r="DM43" i="2"/>
  <c r="DL44" i="2" s="1"/>
  <c r="CG43" i="2"/>
  <c r="CI43" i="2" s="1"/>
  <c r="G80" i="1"/>
  <c r="M80" i="1"/>
  <c r="A80" i="1"/>
  <c r="S80" i="1"/>
  <c r="CZ42" i="2"/>
  <c r="CT43" i="2"/>
  <c r="CM43" i="2"/>
  <c r="CO43" i="2" s="1"/>
  <c r="CN42" i="2"/>
  <c r="CH43" i="2"/>
  <c r="CB42" i="2"/>
  <c r="CA43" i="2"/>
  <c r="CC43" i="2" s="1"/>
  <c r="BV43" i="2"/>
  <c r="BU44" i="2"/>
  <c r="BW44" i="2" s="1"/>
  <c r="BP42" i="2"/>
  <c r="BO43" i="2"/>
  <c r="BQ43" i="2" s="1"/>
  <c r="BJ43" i="2"/>
  <c r="BI44" i="2"/>
  <c r="BK44" i="2" s="1"/>
  <c r="BC42" i="2"/>
  <c r="BE42" i="2" s="1"/>
  <c r="BD41" i="2"/>
  <c r="AW43" i="2"/>
  <c r="AY43" i="2" s="1"/>
  <c r="AX42" i="2"/>
  <c r="AQ43" i="2"/>
  <c r="AS43" i="2" s="1"/>
  <c r="AR42" i="2"/>
  <c r="AL43" i="2"/>
  <c r="AE43" i="2"/>
  <c r="AG43" i="2" s="1"/>
  <c r="AF42" i="2"/>
  <c r="Y42" i="2"/>
  <c r="AA42" i="2" s="1"/>
  <c r="Z41" i="2"/>
  <c r="S43" i="2"/>
  <c r="U43" i="2" s="1"/>
  <c r="T42" i="2"/>
  <c r="M43" i="2"/>
  <c r="O43" i="2" s="1"/>
  <c r="N42" i="2"/>
  <c r="H43" i="2"/>
  <c r="G44" i="2"/>
  <c r="I44" i="2" s="1"/>
  <c r="Q32" i="11"/>
  <c r="AG9" i="13" l="1"/>
  <c r="AK44" i="2"/>
  <c r="AM44" i="2" s="1"/>
  <c r="BE54" i="4"/>
  <c r="BD55" i="4" s="1"/>
  <c r="BC55" i="4"/>
  <c r="DM44" i="2"/>
  <c r="DL45" i="2" s="1"/>
  <c r="DK45" i="2"/>
  <c r="AY55" i="4"/>
  <c r="AX56" i="4" s="1"/>
  <c r="AW56" i="4"/>
  <c r="BW58" i="3"/>
  <c r="BV59" i="3" s="1"/>
  <c r="BU59" i="3"/>
  <c r="L32" i="8"/>
  <c r="D17" i="13"/>
  <c r="W8" i="13"/>
  <c r="X8" i="13" s="1"/>
  <c r="DS43" i="2"/>
  <c r="DR44" i="2" s="1"/>
  <c r="DQ44" i="2"/>
  <c r="CC57" i="3"/>
  <c r="CB58" i="3" s="1"/>
  <c r="CA58" i="3"/>
  <c r="AA8" i="13"/>
  <c r="AB8" i="13" s="1"/>
  <c r="AC8" i="13" s="1"/>
  <c r="AC9" i="13" s="1"/>
  <c r="L34" i="9"/>
  <c r="D18" i="13"/>
  <c r="AJ9" i="13"/>
  <c r="AK9" i="13" s="1"/>
  <c r="AX55" i="4"/>
  <c r="Z57" i="4"/>
  <c r="AA57" i="4"/>
  <c r="H54" i="4"/>
  <c r="G55" i="4"/>
  <c r="I54" i="4"/>
  <c r="AE56" i="4"/>
  <c r="AG55" i="4"/>
  <c r="BD54" i="4"/>
  <c r="AL57" i="4"/>
  <c r="AF55" i="4"/>
  <c r="BK58" i="3"/>
  <c r="BJ59" i="3" s="1"/>
  <c r="BI59" i="3"/>
  <c r="BQ57" i="3"/>
  <c r="BP58" i="3" s="1"/>
  <c r="BO58" i="3"/>
  <c r="BJ58" i="3"/>
  <c r="B60" i="3"/>
  <c r="AK59" i="3"/>
  <c r="AM59" i="3" s="1"/>
  <c r="Z58" i="3"/>
  <c r="A61" i="3"/>
  <c r="C61" i="3" s="1"/>
  <c r="AL58" i="3"/>
  <c r="AQ58" i="3"/>
  <c r="AS58" i="3" s="1"/>
  <c r="M59" i="3"/>
  <c r="O59" i="3" s="1"/>
  <c r="T57" i="3"/>
  <c r="N58" i="3"/>
  <c r="S58" i="3"/>
  <c r="U58" i="3" s="1"/>
  <c r="AF57" i="3"/>
  <c r="AW59" i="3"/>
  <c r="AY59" i="3" s="1"/>
  <c r="BD57" i="3"/>
  <c r="Y59" i="3"/>
  <c r="AA59" i="3" s="1"/>
  <c r="AE58" i="3"/>
  <c r="AG58" i="3" s="1"/>
  <c r="AX58" i="3"/>
  <c r="BC58" i="3"/>
  <c r="BE58" i="3" s="1"/>
  <c r="AR57" i="3"/>
  <c r="H57" i="3"/>
  <c r="BP57" i="3"/>
  <c r="G58" i="3"/>
  <c r="I58" i="3" s="1"/>
  <c r="CY44" i="2"/>
  <c r="DA43" i="2"/>
  <c r="CZ44" i="2" s="1"/>
  <c r="CS45" i="2"/>
  <c r="CU44" i="2"/>
  <c r="CT45" i="2" s="1"/>
  <c r="DE44" i="2"/>
  <c r="DG43" i="2"/>
  <c r="DF44" i="2" s="1"/>
  <c r="CG44" i="2"/>
  <c r="CI44" i="2" s="1"/>
  <c r="S81" i="1"/>
  <c r="A81" i="1"/>
  <c r="M81" i="1"/>
  <c r="G81" i="1"/>
  <c r="CN43" i="2"/>
  <c r="CM44" i="2"/>
  <c r="CH44" i="2"/>
  <c r="CA44" i="2"/>
  <c r="CC44" i="2" s="1"/>
  <c r="CB43" i="2"/>
  <c r="BU45" i="2"/>
  <c r="BW45" i="2" s="1"/>
  <c r="BV44" i="2"/>
  <c r="BO44" i="2"/>
  <c r="BQ44" i="2" s="1"/>
  <c r="BP43" i="2"/>
  <c r="BI45" i="2"/>
  <c r="BK45" i="2" s="1"/>
  <c r="BJ44" i="2"/>
  <c r="BD42" i="2"/>
  <c r="BC43" i="2"/>
  <c r="BE43" i="2" s="1"/>
  <c r="AW44" i="2"/>
  <c r="AY44" i="2" s="1"/>
  <c r="AX43" i="2"/>
  <c r="AR43" i="2"/>
  <c r="AQ44" i="2"/>
  <c r="AS44" i="2" s="1"/>
  <c r="AL44" i="2"/>
  <c r="AK45" i="2"/>
  <c r="AM45" i="2" s="1"/>
  <c r="AE44" i="2"/>
  <c r="AG44" i="2" s="1"/>
  <c r="AF43" i="2"/>
  <c r="Z42" i="2"/>
  <c r="Y43" i="2"/>
  <c r="AA43" i="2" s="1"/>
  <c r="T43" i="2"/>
  <c r="S44" i="2"/>
  <c r="U44" i="2" s="1"/>
  <c r="N43" i="2"/>
  <c r="M44" i="2"/>
  <c r="O44" i="2" s="1"/>
  <c r="G45" i="2"/>
  <c r="I45" i="2" s="1"/>
  <c r="H44" i="2"/>
  <c r="Y8" i="13" l="1"/>
  <c r="Y9" i="13" s="1"/>
  <c r="AJ8" i="13"/>
  <c r="AK8" i="13" s="1"/>
  <c r="AY56" i="4"/>
  <c r="AX57" i="4" s="1"/>
  <c r="AW57" i="4"/>
  <c r="AY57" i="4" s="1"/>
  <c r="CC58" i="3"/>
  <c r="CB59" i="3" s="1"/>
  <c r="CA59" i="3"/>
  <c r="CC59" i="3" s="1"/>
  <c r="CB60" i="3" s="1"/>
  <c r="DK46" i="2"/>
  <c r="DM46" i="2" s="1"/>
  <c r="DL47" i="2" s="1"/>
  <c r="DM45" i="2"/>
  <c r="DL46" i="2" s="1"/>
  <c r="BU60" i="3"/>
  <c r="BW60" i="3" s="1"/>
  <c r="BV61" i="3" s="1"/>
  <c r="BW59" i="3"/>
  <c r="BV60" i="3" s="1"/>
  <c r="DQ45" i="2"/>
  <c r="DS45" i="2" s="1"/>
  <c r="DS44" i="2"/>
  <c r="DR45" i="2" s="1"/>
  <c r="BC56" i="4"/>
  <c r="BE56" i="4" s="1"/>
  <c r="BD57" i="4" s="1"/>
  <c r="BE55" i="4"/>
  <c r="BD56" i="4" s="1"/>
  <c r="AF56" i="4"/>
  <c r="AE57" i="4"/>
  <c r="AG56" i="4"/>
  <c r="G56" i="4"/>
  <c r="I55" i="4"/>
  <c r="H55" i="4"/>
  <c r="BO59" i="3"/>
  <c r="BQ58" i="3"/>
  <c r="BP59" i="3" s="1"/>
  <c r="BI60" i="3"/>
  <c r="BK59" i="3"/>
  <c r="BJ60" i="3" s="1"/>
  <c r="Z59" i="3"/>
  <c r="H58" i="3"/>
  <c r="BD58" i="3"/>
  <c r="Y60" i="3"/>
  <c r="AA60" i="3" s="1"/>
  <c r="T58" i="3"/>
  <c r="AR58" i="3"/>
  <c r="G59" i="3"/>
  <c r="I59" i="3" s="1"/>
  <c r="BC59" i="3"/>
  <c r="S59" i="3"/>
  <c r="U59" i="3" s="1"/>
  <c r="AQ59" i="3"/>
  <c r="AS59" i="3" s="1"/>
  <c r="AL59" i="3"/>
  <c r="M60" i="3"/>
  <c r="O60" i="3" s="1"/>
  <c r="AK60" i="3"/>
  <c r="AM60" i="3" s="1"/>
  <c r="AF58" i="3"/>
  <c r="B61" i="3"/>
  <c r="AX59" i="3"/>
  <c r="AE59" i="3"/>
  <c r="AG59" i="3" s="1"/>
  <c r="AW60" i="3"/>
  <c r="A62" i="3"/>
  <c r="C62" i="3" s="1"/>
  <c r="N59" i="3"/>
  <c r="CY45" i="2"/>
  <c r="DA44" i="2"/>
  <c r="CZ45" i="2" s="1"/>
  <c r="CO44" i="2"/>
  <c r="CN45" i="2" s="1"/>
  <c r="CM45" i="2"/>
  <c r="DE45" i="2"/>
  <c r="DG44" i="2"/>
  <c r="DF45" i="2" s="1"/>
  <c r="CS46" i="2"/>
  <c r="CU45" i="2"/>
  <c r="CT46" i="2" s="1"/>
  <c r="CG45" i="2"/>
  <c r="M82" i="1"/>
  <c r="A82" i="1"/>
  <c r="S82" i="1"/>
  <c r="G82" i="1"/>
  <c r="CN44" i="2"/>
  <c r="CH45" i="2"/>
  <c r="CA45" i="2"/>
  <c r="CC45" i="2" s="1"/>
  <c r="CB44" i="2"/>
  <c r="BV45" i="2"/>
  <c r="BU46" i="2"/>
  <c r="BW46" i="2" s="1"/>
  <c r="BP44" i="2"/>
  <c r="BO45" i="2"/>
  <c r="BQ45" i="2" s="1"/>
  <c r="BJ45" i="2"/>
  <c r="BI46" i="2"/>
  <c r="BK46" i="2" s="1"/>
  <c r="BC44" i="2"/>
  <c r="BE44" i="2" s="1"/>
  <c r="BD43" i="2"/>
  <c r="AX44" i="2"/>
  <c r="AW45" i="2"/>
  <c r="AY45" i="2" s="1"/>
  <c r="AQ45" i="2"/>
  <c r="AS45" i="2" s="1"/>
  <c r="AR44" i="2"/>
  <c r="AL45" i="2"/>
  <c r="AK46" i="2"/>
  <c r="AM46" i="2" s="1"/>
  <c r="AF44" i="2"/>
  <c r="AE45" i="2"/>
  <c r="AG45" i="2" s="1"/>
  <c r="Y44" i="2"/>
  <c r="AA44" i="2" s="1"/>
  <c r="Z43" i="2"/>
  <c r="S45" i="2"/>
  <c r="U45" i="2" s="1"/>
  <c r="T44" i="2"/>
  <c r="M45" i="2"/>
  <c r="O45" i="2" s="1"/>
  <c r="N44" i="2"/>
  <c r="H45" i="2"/>
  <c r="G46" i="2"/>
  <c r="I46" i="2" s="1"/>
  <c r="Q34" i="11"/>
  <c r="V28" i="1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H28" i="11"/>
  <c r="I28" i="11" s="1"/>
  <c r="P27" i="11"/>
  <c r="N27" i="11"/>
  <c r="H27" i="11"/>
  <c r="I27" i="11" s="1"/>
  <c r="N26" i="11"/>
  <c r="B19" i="11"/>
  <c r="B16" i="11"/>
  <c r="AD13" i="11"/>
  <c r="G13" i="11"/>
  <c r="E13" i="11"/>
  <c r="H13" i="11" s="1"/>
  <c r="G12" i="11"/>
  <c r="F12" i="11"/>
  <c r="E12" i="11"/>
  <c r="H12" i="11" s="1"/>
  <c r="G11" i="11"/>
  <c r="F11" i="11"/>
  <c r="G10" i="11"/>
  <c r="F10" i="11"/>
  <c r="E10" i="11"/>
  <c r="H10" i="11" s="1"/>
  <c r="G9" i="11"/>
  <c r="F9" i="11"/>
  <c r="G8" i="11"/>
  <c r="F8" i="11"/>
  <c r="G7" i="11"/>
  <c r="F7" i="11"/>
  <c r="E7" i="11"/>
  <c r="H7" i="11" s="1"/>
  <c r="AC6" i="11"/>
  <c r="G6" i="11"/>
  <c r="F6" i="11"/>
  <c r="E6" i="11"/>
  <c r="H6" i="11" s="1"/>
  <c r="Y5" i="11"/>
  <c r="AD5" i="11" s="1"/>
  <c r="V5" i="11"/>
  <c r="V7" i="11" s="1"/>
  <c r="G5" i="11"/>
  <c r="F5" i="11"/>
  <c r="E5" i="11"/>
  <c r="H5" i="11" s="1"/>
  <c r="AD4" i="11"/>
  <c r="AC4" i="11"/>
  <c r="G4" i="11"/>
  <c r="F4" i="11"/>
  <c r="E4" i="11"/>
  <c r="H4" i="11" s="1"/>
  <c r="B6" i="10"/>
  <c r="H1" i="10"/>
  <c r="B6" i="9"/>
  <c r="H1" i="9"/>
  <c r="B6" i="8"/>
  <c r="H1" i="8"/>
  <c r="Q4" i="11" l="1"/>
  <c r="Q10" i="11" s="1"/>
  <c r="B7" i="9"/>
  <c r="E7" i="9" s="1"/>
  <c r="E6" i="9"/>
  <c r="DG45" i="2"/>
  <c r="DF46" i="2" s="1"/>
  <c r="DE46" i="2"/>
  <c r="BK60" i="3"/>
  <c r="BJ61" i="3" s="1"/>
  <c r="BI61" i="3"/>
  <c r="DR46" i="2"/>
  <c r="B7" i="10"/>
  <c r="E7" i="10" s="1"/>
  <c r="E6" i="10"/>
  <c r="J6" i="10" s="1"/>
  <c r="Y45" i="11" s="1"/>
  <c r="BQ59" i="3"/>
  <c r="BP60" i="3" s="1"/>
  <c r="BO60" i="3"/>
  <c r="B7" i="8"/>
  <c r="E7" i="8" s="1"/>
  <c r="J7" i="8" s="1"/>
  <c r="E6" i="8"/>
  <c r="J25" i="8"/>
  <c r="L25" i="8" s="1"/>
  <c r="J27" i="8"/>
  <c r="L27" i="8" s="1"/>
  <c r="J26" i="8"/>
  <c r="L26" i="8" s="1"/>
  <c r="J28" i="8"/>
  <c r="L28" i="8" s="1"/>
  <c r="J5" i="8"/>
  <c r="J6" i="9"/>
  <c r="X46" i="11" s="1"/>
  <c r="J30" i="9"/>
  <c r="L30" i="9" s="1"/>
  <c r="J7" i="9"/>
  <c r="X45" i="11" s="1"/>
  <c r="J27" i="9"/>
  <c r="L27" i="9" s="1"/>
  <c r="J28" i="9"/>
  <c r="L28" i="9" s="1"/>
  <c r="J5" i="9"/>
  <c r="X47" i="11" s="1"/>
  <c r="J29" i="9"/>
  <c r="L29" i="9" s="1"/>
  <c r="J27" i="10"/>
  <c r="L27" i="10" s="1"/>
  <c r="J28" i="10"/>
  <c r="L28" i="10" s="1"/>
  <c r="J4" i="10"/>
  <c r="J26" i="10"/>
  <c r="L26" i="10" s="1"/>
  <c r="AF57" i="4"/>
  <c r="AG57" i="4"/>
  <c r="H56" i="4"/>
  <c r="G57" i="4"/>
  <c r="I56" i="4"/>
  <c r="BC60" i="3"/>
  <c r="BE59" i="3"/>
  <c r="BD60" i="3" s="1"/>
  <c r="AY60" i="3"/>
  <c r="AX61" i="3" s="1"/>
  <c r="AW61" i="3"/>
  <c r="N60" i="3"/>
  <c r="BD59" i="3"/>
  <c r="Z60" i="3"/>
  <c r="M61" i="3"/>
  <c r="O61" i="3" s="1"/>
  <c r="Y61" i="3"/>
  <c r="AA61" i="3" s="1"/>
  <c r="S60" i="3"/>
  <c r="U60" i="3" s="1"/>
  <c r="B62" i="3"/>
  <c r="H59" i="3"/>
  <c r="AK61" i="3"/>
  <c r="AM61" i="3" s="1"/>
  <c r="AX60" i="3"/>
  <c r="G60" i="3"/>
  <c r="I60" i="3" s="1"/>
  <c r="AR59" i="3"/>
  <c r="AF59" i="3"/>
  <c r="AQ60" i="3"/>
  <c r="AS60" i="3" s="1"/>
  <c r="AE60" i="3"/>
  <c r="AG60" i="3" s="1"/>
  <c r="AL60" i="3"/>
  <c r="T59" i="3"/>
  <c r="CS47" i="2"/>
  <c r="CU46" i="2"/>
  <c r="CT47" i="2" s="1"/>
  <c r="CM46" i="2"/>
  <c r="CO45" i="2"/>
  <c r="CN46" i="2" s="1"/>
  <c r="CI45" i="2"/>
  <c r="CH46" i="2" s="1"/>
  <c r="CG46" i="2"/>
  <c r="CY46" i="2"/>
  <c r="DA45" i="2"/>
  <c r="CZ46" i="2" s="1"/>
  <c r="I8" i="11"/>
  <c r="H8" i="11" s="1"/>
  <c r="AC5" i="11"/>
  <c r="M83" i="1"/>
  <c r="S83" i="1"/>
  <c r="G83" i="1"/>
  <c r="A83" i="1"/>
  <c r="CB45" i="2"/>
  <c r="CA46" i="2"/>
  <c r="BV46" i="2"/>
  <c r="BU47" i="2"/>
  <c r="BO46" i="2"/>
  <c r="BQ46" i="2" s="1"/>
  <c r="BP45" i="2"/>
  <c r="BI47" i="2"/>
  <c r="BK47" i="2" s="1"/>
  <c r="BJ46" i="2"/>
  <c r="BC45" i="2"/>
  <c r="BE45" i="2" s="1"/>
  <c r="BD44" i="2"/>
  <c r="AW46" i="2"/>
  <c r="AY46" i="2" s="1"/>
  <c r="AX45" i="2"/>
  <c r="AQ46" i="2"/>
  <c r="AS46" i="2" s="1"/>
  <c r="AR45" i="2"/>
  <c r="AK47" i="2"/>
  <c r="AM47" i="2" s="1"/>
  <c r="AL46" i="2"/>
  <c r="AF45" i="2"/>
  <c r="AE46" i="2"/>
  <c r="AG46" i="2" s="1"/>
  <c r="Y45" i="2"/>
  <c r="AA45" i="2" s="1"/>
  <c r="Z44" i="2"/>
  <c r="S46" i="2"/>
  <c r="U46" i="2" s="1"/>
  <c r="T45" i="2"/>
  <c r="N45" i="2"/>
  <c r="M46" i="2"/>
  <c r="O46" i="2" s="1"/>
  <c r="G47" i="2"/>
  <c r="I47" i="2" s="1"/>
  <c r="H46" i="2"/>
  <c r="J4" i="8"/>
  <c r="W47" i="11" s="1"/>
  <c r="J6" i="8"/>
  <c r="J4" i="9"/>
  <c r="X48" i="11" s="1"/>
  <c r="M36" i="11"/>
  <c r="M37" i="11" s="1"/>
  <c r="I11" i="11"/>
  <c r="H11" i="11" s="1"/>
  <c r="N7" i="11"/>
  <c r="O7" i="11" s="1"/>
  <c r="G17" i="11" s="1"/>
  <c r="N4" i="11"/>
  <c r="O4" i="11" s="1"/>
  <c r="N5" i="11"/>
  <c r="O5" i="11" s="1"/>
  <c r="N6" i="11"/>
  <c r="O6" i="11" s="1"/>
  <c r="G16" i="11" s="1"/>
  <c r="I29" i="11"/>
  <c r="L28" i="11"/>
  <c r="J7" i="10"/>
  <c r="Y44" i="11" s="1"/>
  <c r="J5" i="10"/>
  <c r="Y46" i="11" s="1"/>
  <c r="Q6" i="11"/>
  <c r="V8" i="11"/>
  <c r="AC7" i="11"/>
  <c r="Y6" i="11"/>
  <c r="Q5" i="11"/>
  <c r="Q13" i="11" s="1"/>
  <c r="I9" i="11"/>
  <c r="Q7" i="11"/>
  <c r="Q11" i="11" s="1"/>
  <c r="B8" i="8"/>
  <c r="E8" i="8" s="1"/>
  <c r="B8" i="10"/>
  <c r="E8" i="10" s="1"/>
  <c r="B8" i="9" l="1"/>
  <c r="E8" i="9" s="1"/>
  <c r="BI62" i="3"/>
  <c r="BK62" i="3" s="1"/>
  <c r="BK61" i="3"/>
  <c r="BJ62" i="3" s="1"/>
  <c r="BO61" i="3"/>
  <c r="BQ61" i="3" s="1"/>
  <c r="BP62" i="3" s="1"/>
  <c r="BQ60" i="3"/>
  <c r="BP61" i="3" s="1"/>
  <c r="CU47" i="2"/>
  <c r="CT48" i="2" s="1"/>
  <c r="CS48" i="2"/>
  <c r="DE47" i="2"/>
  <c r="DG47" i="2" s="1"/>
  <c r="DG46" i="2"/>
  <c r="DF47" i="2" s="1"/>
  <c r="DA46" i="2"/>
  <c r="CZ47" i="2" s="1"/>
  <c r="CY47" i="2"/>
  <c r="J8" i="10"/>
  <c r="Y43" i="11" s="1"/>
  <c r="J8" i="8"/>
  <c r="W43" i="11" s="1"/>
  <c r="J8" i="9"/>
  <c r="X44" i="11" s="1"/>
  <c r="H57" i="4"/>
  <c r="I57" i="4"/>
  <c r="AW62" i="3"/>
  <c r="AY62" i="3" s="1"/>
  <c r="AY61" i="3"/>
  <c r="AX62" i="3" s="1"/>
  <c r="BE60" i="3"/>
  <c r="BD61" i="3" s="1"/>
  <c r="BC61" i="3"/>
  <c r="M62" i="3"/>
  <c r="O62" i="3" s="1"/>
  <c r="AR60" i="3"/>
  <c r="H60" i="3"/>
  <c r="S61" i="3"/>
  <c r="U61" i="3" s="1"/>
  <c r="T60" i="3"/>
  <c r="AQ61" i="3"/>
  <c r="AL61" i="3"/>
  <c r="Z61" i="3"/>
  <c r="AK62" i="3"/>
  <c r="Y62" i="3"/>
  <c r="AA62" i="3" s="1"/>
  <c r="G61" i="3"/>
  <c r="I61" i="3" s="1"/>
  <c r="AE61" i="3"/>
  <c r="AG61" i="3" s="1"/>
  <c r="AF60" i="3"/>
  <c r="N61" i="3"/>
  <c r="CG47" i="2"/>
  <c r="CI46" i="2"/>
  <c r="CH47" i="2" s="1"/>
  <c r="CM47" i="2"/>
  <c r="CO46" i="2"/>
  <c r="CN47" i="2" s="1"/>
  <c r="CC46" i="2"/>
  <c r="CB47" i="2" s="1"/>
  <c r="CA47" i="2"/>
  <c r="BW47" i="2"/>
  <c r="BV48" i="2" s="1"/>
  <c r="BU48" i="2"/>
  <c r="Q12" i="11"/>
  <c r="L6" i="9"/>
  <c r="L4" i="8"/>
  <c r="L4" i="9"/>
  <c r="D8" i="11"/>
  <c r="E8" i="11" s="1"/>
  <c r="A84" i="1"/>
  <c r="S84" i="1"/>
  <c r="G84" i="1"/>
  <c r="M84" i="1"/>
  <c r="CB46" i="2"/>
  <c r="BV47" i="2"/>
  <c r="BP46" i="2"/>
  <c r="BO47" i="2"/>
  <c r="BQ47" i="2" s="1"/>
  <c r="BJ47" i="2"/>
  <c r="BI48" i="2"/>
  <c r="BK48" i="2" s="1"/>
  <c r="BD45" i="2"/>
  <c r="BC46" i="2"/>
  <c r="BE46" i="2" s="1"/>
  <c r="AX46" i="2"/>
  <c r="AW47" i="2"/>
  <c r="AY47" i="2" s="1"/>
  <c r="AR46" i="2"/>
  <c r="AQ47" i="2"/>
  <c r="AS47" i="2" s="1"/>
  <c r="AK48" i="2"/>
  <c r="AM48" i="2" s="1"/>
  <c r="AL47" i="2"/>
  <c r="AE47" i="2"/>
  <c r="AG47" i="2" s="1"/>
  <c r="AF46" i="2"/>
  <c r="Y46" i="2"/>
  <c r="AA46" i="2" s="1"/>
  <c r="Z45" i="2"/>
  <c r="S47" i="2"/>
  <c r="U47" i="2" s="1"/>
  <c r="T46" i="2"/>
  <c r="M47" i="2"/>
  <c r="O47" i="2" s="1"/>
  <c r="N46" i="2"/>
  <c r="G48" i="2"/>
  <c r="I48" i="2" s="1"/>
  <c r="H47" i="2"/>
  <c r="Y47" i="11"/>
  <c r="L4" i="10"/>
  <c r="L5" i="8"/>
  <c r="W46" i="11"/>
  <c r="L5" i="10"/>
  <c r="L6" i="10"/>
  <c r="Q14" i="11"/>
  <c r="R14" i="11" s="1"/>
  <c r="L5" i="9"/>
  <c r="D11" i="11"/>
  <c r="E11" i="11" s="1"/>
  <c r="L6" i="8"/>
  <c r="W45" i="11"/>
  <c r="W44" i="11"/>
  <c r="L7" i="8"/>
  <c r="G18" i="11"/>
  <c r="G19" i="11" s="1"/>
  <c r="G21" i="11"/>
  <c r="AD6" i="11"/>
  <c r="Y7" i="11"/>
  <c r="D9" i="11"/>
  <c r="E9" i="11" s="1"/>
  <c r="H9" i="11"/>
  <c r="V9" i="11"/>
  <c r="AC8" i="11"/>
  <c r="B9" i="9"/>
  <c r="E9" i="9" s="1"/>
  <c r="L7" i="10"/>
  <c r="L7" i="9"/>
  <c r="B9" i="10"/>
  <c r="E9" i="10" s="1"/>
  <c r="B9" i="8"/>
  <c r="E9" i="8" s="1"/>
  <c r="V28" i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Q34" i="1"/>
  <c r="M38" i="1" s="1"/>
  <c r="CS49" i="2" l="1"/>
  <c r="CU49" i="2" s="1"/>
  <c r="CT50" i="2" s="1"/>
  <c r="CU48" i="2"/>
  <c r="CT49" i="2" s="1"/>
  <c r="BE61" i="3"/>
  <c r="BD62" i="3" s="1"/>
  <c r="BC62" i="3"/>
  <c r="BE62" i="3" s="1"/>
  <c r="CY48" i="2"/>
  <c r="DA48" i="2" s="1"/>
  <c r="CZ49" i="2" s="1"/>
  <c r="DA47" i="2"/>
  <c r="CZ48" i="2" s="1"/>
  <c r="DF48" i="2"/>
  <c r="L8" i="8"/>
  <c r="J9" i="8"/>
  <c r="J9" i="10"/>
  <c r="Y42" i="11" s="1"/>
  <c r="J9" i="9"/>
  <c r="AQ62" i="3"/>
  <c r="AS61" i="3"/>
  <c r="AR62" i="3" s="1"/>
  <c r="AM62" i="3"/>
  <c r="S62" i="3"/>
  <c r="U62" i="3" s="1"/>
  <c r="N62" i="3"/>
  <c r="Z62" i="3"/>
  <c r="AR61" i="3"/>
  <c r="T61" i="3"/>
  <c r="AL62" i="3"/>
  <c r="H61" i="3"/>
  <c r="AF61" i="3"/>
  <c r="AE62" i="3"/>
  <c r="AG62" i="3" s="1"/>
  <c r="G62" i="3"/>
  <c r="I62" i="3" s="1"/>
  <c r="CA48" i="2"/>
  <c r="CC47" i="2"/>
  <c r="CB48" i="2" s="1"/>
  <c r="CM48" i="2"/>
  <c r="CO47" i="2"/>
  <c r="CN48" i="2" s="1"/>
  <c r="CG48" i="2"/>
  <c r="CI47" i="2"/>
  <c r="CH48" i="2" s="1"/>
  <c r="BU49" i="2"/>
  <c r="BW48" i="2"/>
  <c r="BV49" i="2" s="1"/>
  <c r="M85" i="1"/>
  <c r="G85" i="1"/>
  <c r="S85" i="1"/>
  <c r="A85" i="1"/>
  <c r="M39" i="1"/>
  <c r="BO48" i="2"/>
  <c r="BP47" i="2"/>
  <c r="BJ48" i="2"/>
  <c r="BI49" i="2"/>
  <c r="BD46" i="2"/>
  <c r="BC47" i="2"/>
  <c r="BE47" i="2" s="1"/>
  <c r="AW48" i="2"/>
  <c r="AY48" i="2" s="1"/>
  <c r="AX47" i="2"/>
  <c r="AR47" i="2"/>
  <c r="AQ48" i="2"/>
  <c r="AS48" i="2" s="1"/>
  <c r="AL48" i="2"/>
  <c r="AK49" i="2"/>
  <c r="AM49" i="2" s="1"/>
  <c r="AF47" i="2"/>
  <c r="AE48" i="2"/>
  <c r="AG48" i="2" s="1"/>
  <c r="Z46" i="2"/>
  <c r="Y47" i="2"/>
  <c r="AA47" i="2" s="1"/>
  <c r="S48" i="2"/>
  <c r="U48" i="2" s="1"/>
  <c r="T47" i="2"/>
  <c r="N47" i="2"/>
  <c r="M48" i="2"/>
  <c r="O48" i="2" s="1"/>
  <c r="G49" i="2"/>
  <c r="I49" i="2" s="1"/>
  <c r="H48" i="2"/>
  <c r="G23" i="11"/>
  <c r="H23" i="11" s="1"/>
  <c r="AC9" i="11"/>
  <c r="V10" i="11"/>
  <c r="Y8" i="11"/>
  <c r="AD7" i="11"/>
  <c r="B10" i="10"/>
  <c r="E10" i="10" s="1"/>
  <c r="B10" i="9"/>
  <c r="E10" i="9" s="1"/>
  <c r="B10" i="8"/>
  <c r="E10" i="8" s="1"/>
  <c r="L8" i="9"/>
  <c r="L8" i="10"/>
  <c r="P27" i="1"/>
  <c r="CO48" i="2" l="1"/>
  <c r="CN49" i="2" s="1"/>
  <c r="CM49" i="2"/>
  <c r="X43" i="11"/>
  <c r="L9" i="9"/>
  <c r="L9" i="8"/>
  <c r="W42" i="11"/>
  <c r="J10" i="8"/>
  <c r="J10" i="9"/>
  <c r="J10" i="10"/>
  <c r="Y41" i="11" s="1"/>
  <c r="AS62" i="3"/>
  <c r="H62" i="3"/>
  <c r="T62" i="3"/>
  <c r="AF62" i="3"/>
  <c r="CG49" i="2"/>
  <c r="CI48" i="2"/>
  <c r="CH49" i="2" s="1"/>
  <c r="BU50" i="2"/>
  <c r="BW49" i="2"/>
  <c r="BV50" i="2" s="1"/>
  <c r="CA49" i="2"/>
  <c r="CC48" i="2"/>
  <c r="CB49" i="2" s="1"/>
  <c r="BQ48" i="2"/>
  <c r="BP49" i="2" s="1"/>
  <c r="BO49" i="2"/>
  <c r="BK49" i="2"/>
  <c r="BJ50" i="2" s="1"/>
  <c r="BI50" i="2"/>
  <c r="S86" i="1"/>
  <c r="M86" i="1"/>
  <c r="A86" i="1"/>
  <c r="G86" i="1"/>
  <c r="BP48" i="2"/>
  <c r="BJ49" i="2"/>
  <c r="BD47" i="2"/>
  <c r="BC48" i="2"/>
  <c r="BE48" i="2" s="1"/>
  <c r="AW49" i="2"/>
  <c r="AY49" i="2" s="1"/>
  <c r="AX48" i="2"/>
  <c r="AQ49" i="2"/>
  <c r="AS49" i="2" s="1"/>
  <c r="AR48" i="2"/>
  <c r="AK50" i="2"/>
  <c r="AM50" i="2" s="1"/>
  <c r="AL49" i="2"/>
  <c r="AF48" i="2"/>
  <c r="AE49" i="2"/>
  <c r="AG49" i="2" s="1"/>
  <c r="Z47" i="2"/>
  <c r="Y48" i="2"/>
  <c r="AA48" i="2" s="1"/>
  <c r="T48" i="2"/>
  <c r="S49" i="2"/>
  <c r="U49" i="2" s="1"/>
  <c r="M49" i="2"/>
  <c r="O49" i="2" s="1"/>
  <c r="N48" i="2"/>
  <c r="H49" i="2"/>
  <c r="G50" i="2"/>
  <c r="I50" i="2" s="1"/>
  <c r="AC10" i="11"/>
  <c r="V11" i="11"/>
  <c r="AD8" i="11"/>
  <c r="Y9" i="11"/>
  <c r="B11" i="10"/>
  <c r="E11" i="10" s="1"/>
  <c r="L9" i="10"/>
  <c r="B11" i="8"/>
  <c r="E11" i="8" s="1"/>
  <c r="B11" i="9"/>
  <c r="E11" i="9" s="1"/>
  <c r="AD13" i="1"/>
  <c r="AD4" i="1"/>
  <c r="AC6" i="1"/>
  <c r="AC4" i="1"/>
  <c r="Y5" i="1"/>
  <c r="Y6" i="1" s="1"/>
  <c r="Y7" i="1" s="1"/>
  <c r="Y8" i="1" s="1"/>
  <c r="Y9" i="1" s="1"/>
  <c r="Y10" i="1" s="1"/>
  <c r="Y11" i="1" s="1"/>
  <c r="Y12" i="1" s="1"/>
  <c r="Y14" i="1" s="1"/>
  <c r="Y15" i="1" s="1"/>
  <c r="Y16" i="1" s="1"/>
  <c r="AD16" i="1" s="1"/>
  <c r="CM50" i="2" l="1"/>
  <c r="CO50" i="2" s="1"/>
  <c r="CO49" i="2"/>
  <c r="CN50" i="2" s="1"/>
  <c r="CI49" i="2"/>
  <c r="CH50" i="2" s="1"/>
  <c r="CG50" i="2"/>
  <c r="X42" i="11"/>
  <c r="L10" i="9"/>
  <c r="L10" i="8"/>
  <c r="W41" i="11"/>
  <c r="J11" i="8"/>
  <c r="L11" i="8" s="1"/>
  <c r="J11" i="10"/>
  <c r="Y40" i="11" s="1"/>
  <c r="J11" i="9"/>
  <c r="CA50" i="2"/>
  <c r="CC49" i="2"/>
  <c r="CB50" i="2" s="1"/>
  <c r="BU51" i="2"/>
  <c r="BW50" i="2"/>
  <c r="BV51" i="2" s="1"/>
  <c r="BI51" i="2"/>
  <c r="BK50" i="2"/>
  <c r="BJ51" i="2" s="1"/>
  <c r="BO50" i="2"/>
  <c r="BQ49" i="2"/>
  <c r="BP50" i="2" s="1"/>
  <c r="G87" i="1"/>
  <c r="A87" i="1"/>
  <c r="S87" i="1"/>
  <c r="M87" i="1"/>
  <c r="BC49" i="2"/>
  <c r="BE49" i="2" s="1"/>
  <c r="BD48" i="2"/>
  <c r="AW50" i="2"/>
  <c r="AY50" i="2" s="1"/>
  <c r="AX49" i="2"/>
  <c r="AQ50" i="2"/>
  <c r="AS50" i="2" s="1"/>
  <c r="AR49" i="2"/>
  <c r="AK51" i="2"/>
  <c r="AM51" i="2" s="1"/>
  <c r="AL50" i="2"/>
  <c r="AE50" i="2"/>
  <c r="AG50" i="2" s="1"/>
  <c r="AF49" i="2"/>
  <c r="Y49" i="2"/>
  <c r="AA49" i="2" s="1"/>
  <c r="Z48" i="2"/>
  <c r="T49" i="2"/>
  <c r="S50" i="2"/>
  <c r="U50" i="2" s="1"/>
  <c r="M50" i="2"/>
  <c r="O50" i="2" s="1"/>
  <c r="N49" i="2"/>
  <c r="H50" i="2"/>
  <c r="G51" i="2"/>
  <c r="I51" i="2" s="1"/>
  <c r="Y10" i="11"/>
  <c r="AD9" i="11"/>
  <c r="AC11" i="11"/>
  <c r="V12" i="11"/>
  <c r="B12" i="8"/>
  <c r="E12" i="8" s="1"/>
  <c r="B12" i="10"/>
  <c r="E12" i="10" s="1"/>
  <c r="L10" i="10"/>
  <c r="B12" i="9"/>
  <c r="E12" i="9" s="1"/>
  <c r="AD10" i="1"/>
  <c r="AD14" i="1"/>
  <c r="AD12" i="1"/>
  <c r="AD6" i="1"/>
  <c r="AD5" i="1"/>
  <c r="AD11" i="1"/>
  <c r="AD8" i="1"/>
  <c r="AD9" i="1"/>
  <c r="AD15" i="1"/>
  <c r="AD7" i="1"/>
  <c r="V5" i="1"/>
  <c r="AC5" i="1" s="1"/>
  <c r="BW51" i="2" l="1"/>
  <c r="BV52" i="2" s="1"/>
  <c r="BU52" i="2"/>
  <c r="CC50" i="2"/>
  <c r="CB51" i="2" s="1"/>
  <c r="CA51" i="2"/>
  <c r="CG51" i="2"/>
  <c r="CI51" i="2" s="1"/>
  <c r="CH52" i="2" s="1"/>
  <c r="CI50" i="2"/>
  <c r="CH51" i="2" s="1"/>
  <c r="CN51" i="2"/>
  <c r="X41" i="11"/>
  <c r="L11" i="9"/>
  <c r="W40" i="11"/>
  <c r="J12" i="10"/>
  <c r="Y39" i="11" s="1"/>
  <c r="J12" i="9"/>
  <c r="X40" i="11" s="1"/>
  <c r="J12" i="8"/>
  <c r="BI52" i="2"/>
  <c r="BK51" i="2"/>
  <c r="BJ52" i="2" s="1"/>
  <c r="BO51" i="2"/>
  <c r="BQ50" i="2"/>
  <c r="BP51" i="2" s="1"/>
  <c r="M88" i="1"/>
  <c r="A88" i="1"/>
  <c r="S88" i="1"/>
  <c r="G88" i="1"/>
  <c r="BC50" i="2"/>
  <c r="BD49" i="2"/>
  <c r="AX50" i="2"/>
  <c r="AW51" i="2"/>
  <c r="AQ51" i="2"/>
  <c r="AS51" i="2" s="1"/>
  <c r="AR50" i="2"/>
  <c r="AL51" i="2"/>
  <c r="AK52" i="2"/>
  <c r="AM52" i="2" s="1"/>
  <c r="AF50" i="2"/>
  <c r="AE51" i="2"/>
  <c r="AG51" i="2" s="1"/>
  <c r="Z49" i="2"/>
  <c r="Y50" i="2"/>
  <c r="AA50" i="2" s="1"/>
  <c r="T50" i="2"/>
  <c r="S51" i="2"/>
  <c r="U51" i="2" s="1"/>
  <c r="N50" i="2"/>
  <c r="M51" i="2"/>
  <c r="O51" i="2" s="1"/>
  <c r="H51" i="2"/>
  <c r="G52" i="2"/>
  <c r="I52" i="2" s="1"/>
  <c r="Y11" i="11"/>
  <c r="AD10" i="11"/>
  <c r="AC12" i="11"/>
  <c r="V13" i="11"/>
  <c r="B13" i="9"/>
  <c r="E13" i="9" s="1"/>
  <c r="B13" i="10"/>
  <c r="E13" i="10" s="1"/>
  <c r="L11" i="10"/>
  <c r="B13" i="8"/>
  <c r="E13" i="8" s="1"/>
  <c r="V7" i="1"/>
  <c r="N26" i="1"/>
  <c r="N27" i="1"/>
  <c r="CA52" i="2" l="1"/>
  <c r="CC52" i="2" s="1"/>
  <c r="CB53" i="2" s="1"/>
  <c r="CC51" i="2"/>
  <c r="CB52" i="2" s="1"/>
  <c r="BU53" i="2"/>
  <c r="BW53" i="2" s="1"/>
  <c r="BV54" i="2" s="1"/>
  <c r="BW52" i="2"/>
  <c r="BV53" i="2" s="1"/>
  <c r="L12" i="8"/>
  <c r="W39" i="11"/>
  <c r="J13" i="8"/>
  <c r="J13" i="10"/>
  <c r="Y38" i="11" s="1"/>
  <c r="J13" i="9"/>
  <c r="AY51" i="2"/>
  <c r="AX52" i="2" s="1"/>
  <c r="AW52" i="2"/>
  <c r="BI53" i="2"/>
  <c r="BK52" i="2"/>
  <c r="BJ53" i="2" s="1"/>
  <c r="BE50" i="2"/>
  <c r="BD51" i="2" s="1"/>
  <c r="BC51" i="2"/>
  <c r="BO52" i="2"/>
  <c r="BQ51" i="2"/>
  <c r="BP52" i="2" s="1"/>
  <c r="S89" i="1"/>
  <c r="M89" i="1"/>
  <c r="A89" i="1"/>
  <c r="G89" i="1"/>
  <c r="BD50" i="2"/>
  <c r="AX51" i="2"/>
  <c r="AR51" i="2"/>
  <c r="AQ52" i="2"/>
  <c r="AK53" i="2"/>
  <c r="AL52" i="2"/>
  <c r="AE52" i="2"/>
  <c r="AG52" i="2" s="1"/>
  <c r="AF51" i="2"/>
  <c r="Y51" i="2"/>
  <c r="AA51" i="2" s="1"/>
  <c r="Z50" i="2"/>
  <c r="T51" i="2"/>
  <c r="S52" i="2"/>
  <c r="U52" i="2" s="1"/>
  <c r="M52" i="2"/>
  <c r="O52" i="2" s="1"/>
  <c r="N51" i="2"/>
  <c r="G53" i="2"/>
  <c r="I53" i="2" s="1"/>
  <c r="H52" i="2"/>
  <c r="AD11" i="11"/>
  <c r="Y12" i="11"/>
  <c r="AC13" i="11"/>
  <c r="V14" i="11"/>
  <c r="B14" i="8"/>
  <c r="E14" i="8" s="1"/>
  <c r="B14" i="10"/>
  <c r="E14" i="10" s="1"/>
  <c r="B14" i="9"/>
  <c r="E14" i="9" s="1"/>
  <c r="L12" i="10"/>
  <c r="L12" i="9"/>
  <c r="V8" i="1"/>
  <c r="AC7" i="1"/>
  <c r="L28" i="1"/>
  <c r="P5" i="4"/>
  <c r="P4" i="4"/>
  <c r="P5" i="3"/>
  <c r="P5" i="2"/>
  <c r="BK53" i="2" l="1"/>
  <c r="BJ54" i="2" s="1"/>
  <c r="BI54" i="2"/>
  <c r="BQ52" i="2"/>
  <c r="BP53" i="2" s="1"/>
  <c r="BO53" i="2"/>
  <c r="X39" i="11"/>
  <c r="L13" i="9"/>
  <c r="W38" i="11"/>
  <c r="L13" i="8"/>
  <c r="J14" i="10"/>
  <c r="Y37" i="11" s="1"/>
  <c r="J14" i="9"/>
  <c r="J14" i="8"/>
  <c r="BC52" i="2"/>
  <c r="BE51" i="2"/>
  <c r="BD52" i="2" s="1"/>
  <c r="AS52" i="2"/>
  <c r="AR53" i="2" s="1"/>
  <c r="AQ53" i="2"/>
  <c r="AW53" i="2"/>
  <c r="AY52" i="2"/>
  <c r="AX53" i="2" s="1"/>
  <c r="AM53" i="2"/>
  <c r="AL54" i="2" s="1"/>
  <c r="AK54" i="2"/>
  <c r="Q4" i="2"/>
  <c r="R4" i="2" s="1"/>
  <c r="A90" i="1"/>
  <c r="S90" i="1"/>
  <c r="G90" i="1"/>
  <c r="M90" i="1"/>
  <c r="AR52" i="2"/>
  <c r="AL53" i="2"/>
  <c r="AF52" i="2"/>
  <c r="AE53" i="2"/>
  <c r="AG53" i="2" s="1"/>
  <c r="Y52" i="2"/>
  <c r="AA52" i="2" s="1"/>
  <c r="Z51" i="2"/>
  <c r="T52" i="2"/>
  <c r="S53" i="2"/>
  <c r="U53" i="2" s="1"/>
  <c r="N52" i="2"/>
  <c r="M53" i="2"/>
  <c r="O53" i="2" s="1"/>
  <c r="G54" i="2"/>
  <c r="I54" i="2" s="1"/>
  <c r="H53" i="2"/>
  <c r="Y14" i="11"/>
  <c r="AD12" i="11"/>
  <c r="V15" i="11"/>
  <c r="AC14" i="11"/>
  <c r="B15" i="10"/>
  <c r="E15" i="10" s="1"/>
  <c r="L13" i="10"/>
  <c r="B15" i="9"/>
  <c r="E15" i="9" s="1"/>
  <c r="B15" i="8"/>
  <c r="E15" i="8" s="1"/>
  <c r="V9" i="1"/>
  <c r="AC8" i="1"/>
  <c r="Q4" i="4"/>
  <c r="R4" i="4" s="1"/>
  <c r="Q4" i="3"/>
  <c r="R4" i="3" s="1"/>
  <c r="B19" i="1"/>
  <c r="BO54" i="2" l="1"/>
  <c r="BQ54" i="2" s="1"/>
  <c r="BQ53" i="2"/>
  <c r="BP54" i="2" s="1"/>
  <c r="BI55" i="2"/>
  <c r="BK55" i="2" s="1"/>
  <c r="BK54" i="2"/>
  <c r="BJ55" i="2" s="1"/>
  <c r="L14" i="8"/>
  <c r="W37" i="11"/>
  <c r="X38" i="11"/>
  <c r="L14" i="9"/>
  <c r="J15" i="8"/>
  <c r="J15" i="9"/>
  <c r="X37" i="11" s="1"/>
  <c r="J15" i="10"/>
  <c r="Y36" i="11" s="1"/>
  <c r="AW54" i="2"/>
  <c r="AY53" i="2"/>
  <c r="AX54" i="2" s="1"/>
  <c r="AK55" i="2"/>
  <c r="AM54" i="2"/>
  <c r="AL55" i="2" s="1"/>
  <c r="AQ54" i="2"/>
  <c r="AS53" i="2"/>
  <c r="AR54" i="2" s="1"/>
  <c r="BC53" i="2"/>
  <c r="BE52" i="2"/>
  <c r="BD53" i="2" s="1"/>
  <c r="M91" i="1"/>
  <c r="S91" i="1"/>
  <c r="G91" i="1"/>
  <c r="A91" i="1"/>
  <c r="AE54" i="2"/>
  <c r="AF53" i="2"/>
  <c r="Y53" i="2"/>
  <c r="AA53" i="2" s="1"/>
  <c r="Z52" i="2"/>
  <c r="S54" i="2"/>
  <c r="U54" i="2" s="1"/>
  <c r="T53" i="2"/>
  <c r="N53" i="2"/>
  <c r="M54" i="2"/>
  <c r="O54" i="2" s="1"/>
  <c r="G55" i="2"/>
  <c r="I55" i="2" s="1"/>
  <c r="H54" i="2"/>
  <c r="Y15" i="11"/>
  <c r="AD14" i="11"/>
  <c r="V16" i="11"/>
  <c r="AC15" i="11"/>
  <c r="B16" i="10"/>
  <c r="E16" i="10" s="1"/>
  <c r="B16" i="9"/>
  <c r="E16" i="9" s="1"/>
  <c r="B16" i="8"/>
  <c r="E16" i="8" s="1"/>
  <c r="L14" i="10"/>
  <c r="V10" i="1"/>
  <c r="AC9" i="1"/>
  <c r="BJ56" i="2" l="1"/>
  <c r="BP55" i="2"/>
  <c r="W36" i="11"/>
  <c r="L15" i="8"/>
  <c r="J16" i="8"/>
  <c r="J16" i="9"/>
  <c r="X36" i="11" s="1"/>
  <c r="J16" i="10"/>
  <c r="Y35" i="11" s="1"/>
  <c r="ER39" i="2"/>
  <c r="ER38" i="2"/>
  <c r="EX38" i="2"/>
  <c r="EY38" i="2" s="1"/>
  <c r="EF38" i="2"/>
  <c r="EL40" i="2"/>
  <c r="EL38" i="2"/>
  <c r="EF40" i="2"/>
  <c r="EL39" i="2"/>
  <c r="EF41" i="2"/>
  <c r="EF39" i="2"/>
  <c r="D38" i="4"/>
  <c r="EL38" i="4"/>
  <c r="EM38" i="4" s="1"/>
  <c r="J39" i="4"/>
  <c r="EX38" i="4"/>
  <c r="EY38" i="4" s="1"/>
  <c r="ER38" i="4"/>
  <c r="EL39" i="4"/>
  <c r="EF38" i="4"/>
  <c r="D55" i="4"/>
  <c r="D39" i="4"/>
  <c r="D50" i="4"/>
  <c r="J40" i="4"/>
  <c r="D46" i="4"/>
  <c r="D44" i="4"/>
  <c r="EF39" i="4"/>
  <c r="D41" i="4"/>
  <c r="D49" i="4"/>
  <c r="D45" i="4"/>
  <c r="D43" i="4"/>
  <c r="J42" i="4"/>
  <c r="J43" i="4"/>
  <c r="J44" i="4"/>
  <c r="J45" i="4"/>
  <c r="J46" i="4"/>
  <c r="J47" i="4"/>
  <c r="J48" i="4"/>
  <c r="J49" i="4"/>
  <c r="J50" i="4"/>
  <c r="ER39" i="4"/>
  <c r="D57" i="4"/>
  <c r="D52" i="4"/>
  <c r="J41" i="4"/>
  <c r="D42" i="4"/>
  <c r="D40" i="4"/>
  <c r="J38" i="4"/>
  <c r="J51" i="4"/>
  <c r="D54" i="4"/>
  <c r="EF40" i="4"/>
  <c r="D56" i="4"/>
  <c r="D48" i="4"/>
  <c r="D51" i="4"/>
  <c r="D53" i="4"/>
  <c r="EF41" i="4"/>
  <c r="D47" i="4"/>
  <c r="J52" i="4"/>
  <c r="J53" i="4"/>
  <c r="J54" i="4"/>
  <c r="J55" i="4"/>
  <c r="J56" i="4"/>
  <c r="J57" i="4"/>
  <c r="D45" i="3"/>
  <c r="D46" i="3"/>
  <c r="D48" i="3"/>
  <c r="D49" i="3"/>
  <c r="D50" i="3"/>
  <c r="D51" i="3"/>
  <c r="D52" i="3"/>
  <c r="D53" i="3"/>
  <c r="D54" i="3"/>
  <c r="D55" i="3"/>
  <c r="D56" i="3"/>
  <c r="D57" i="3"/>
  <c r="D43" i="3"/>
  <c r="D47" i="3"/>
  <c r="D58" i="3"/>
  <c r="D44" i="3"/>
  <c r="D59" i="3"/>
  <c r="D60" i="3"/>
  <c r="D61" i="3"/>
  <c r="D62" i="3"/>
  <c r="BC54" i="2"/>
  <c r="BE53" i="2"/>
  <c r="BD54" i="2" s="1"/>
  <c r="AK56" i="2"/>
  <c r="AM55" i="2"/>
  <c r="AL56" i="2" s="1"/>
  <c r="AG54" i="2"/>
  <c r="AF55" i="2" s="1"/>
  <c r="AE55" i="2"/>
  <c r="AQ55" i="2"/>
  <c r="AS54" i="2"/>
  <c r="AR55" i="2" s="1"/>
  <c r="AW55" i="2"/>
  <c r="AY54" i="2"/>
  <c r="AX55" i="2" s="1"/>
  <c r="D41" i="2"/>
  <c r="D49" i="2"/>
  <c r="D57" i="2"/>
  <c r="D50" i="2"/>
  <c r="D43" i="2"/>
  <c r="D44" i="2"/>
  <c r="D38" i="2"/>
  <c r="D53" i="2"/>
  <c r="D55" i="2"/>
  <c r="D56" i="2"/>
  <c r="D42" i="2"/>
  <c r="D51" i="2"/>
  <c r="D52" i="2"/>
  <c r="D54" i="2"/>
  <c r="D39" i="2"/>
  <c r="D40" i="2"/>
  <c r="D46" i="2"/>
  <c r="D48" i="2"/>
  <c r="D45" i="2"/>
  <c r="D47" i="2"/>
  <c r="C71" i="1"/>
  <c r="D70" i="1"/>
  <c r="M92" i="1"/>
  <c r="S92" i="1"/>
  <c r="A92" i="1"/>
  <c r="G92" i="1"/>
  <c r="AF54" i="2"/>
  <c r="Z53" i="2"/>
  <c r="Y54" i="2"/>
  <c r="AA54" i="2" s="1"/>
  <c r="T54" i="2"/>
  <c r="S55" i="2"/>
  <c r="U55" i="2" s="1"/>
  <c r="N54" i="2"/>
  <c r="M55" i="2"/>
  <c r="O55" i="2" s="1"/>
  <c r="G56" i="2"/>
  <c r="I56" i="2" s="1"/>
  <c r="H55" i="2"/>
  <c r="AD15" i="11"/>
  <c r="Y16" i="11"/>
  <c r="AC16" i="11"/>
  <c r="B17" i="10"/>
  <c r="E17" i="10" s="1"/>
  <c r="B17" i="8"/>
  <c r="E17" i="8" s="1"/>
  <c r="L15" i="9"/>
  <c r="L15" i="10"/>
  <c r="B17" i="9"/>
  <c r="E17" i="9" s="1"/>
  <c r="V11" i="1"/>
  <c r="AC10" i="1"/>
  <c r="H28" i="1"/>
  <c r="I28" i="1" s="1"/>
  <c r="H27" i="1"/>
  <c r="I27" i="1" s="1"/>
  <c r="EM38" i="2" l="1"/>
  <c r="ES38" i="2"/>
  <c r="W11" i="13" s="1"/>
  <c r="X11" i="13" s="1"/>
  <c r="ES38" i="4"/>
  <c r="AE11" i="13" s="1"/>
  <c r="AF11" i="13" s="1"/>
  <c r="K38" i="4"/>
  <c r="EG38" i="2"/>
  <c r="E38" i="4"/>
  <c r="AE35" i="13" s="1"/>
  <c r="AF35" i="13" s="1"/>
  <c r="EG38" i="4"/>
  <c r="E38" i="2"/>
  <c r="AY55" i="2"/>
  <c r="AX56" i="2" s="1"/>
  <c r="AW56" i="2"/>
  <c r="BE54" i="2"/>
  <c r="BD55" i="2" s="1"/>
  <c r="BC55" i="2"/>
  <c r="E43" i="3"/>
  <c r="AE13" i="13"/>
  <c r="AF13" i="13" s="1"/>
  <c r="AE10" i="13"/>
  <c r="AF10" i="13" s="1"/>
  <c r="AG10" i="13" s="1"/>
  <c r="W10" i="13"/>
  <c r="X10" i="13" s="1"/>
  <c r="Y10" i="13" s="1"/>
  <c r="L16" i="9"/>
  <c r="W35" i="11"/>
  <c r="L16" i="8"/>
  <c r="J17" i="10"/>
  <c r="Y34" i="11" s="1"/>
  <c r="J17" i="8"/>
  <c r="AE12" i="13"/>
  <c r="AF12" i="13" s="1"/>
  <c r="W12" i="13"/>
  <c r="X12" i="13" s="1"/>
  <c r="J17" i="9"/>
  <c r="AE56" i="2"/>
  <c r="AG55" i="2"/>
  <c r="AF56" i="2" s="1"/>
  <c r="AM56" i="2"/>
  <c r="AL57" i="2" s="1"/>
  <c r="AK57" i="2"/>
  <c r="AM57" i="2" s="1"/>
  <c r="AQ56" i="2"/>
  <c r="AS55" i="2"/>
  <c r="AR56" i="2" s="1"/>
  <c r="A93" i="1"/>
  <c r="M93" i="1"/>
  <c r="G93" i="1"/>
  <c r="S93" i="1"/>
  <c r="Y55" i="2"/>
  <c r="Z54" i="2"/>
  <c r="S56" i="2"/>
  <c r="T55" i="2"/>
  <c r="M56" i="2"/>
  <c r="O56" i="2" s="1"/>
  <c r="N55" i="2"/>
  <c r="H56" i="2"/>
  <c r="G57" i="2"/>
  <c r="I57" i="2" s="1"/>
  <c r="AD16" i="11"/>
  <c r="L16" i="10"/>
  <c r="B18" i="9"/>
  <c r="E18" i="9" s="1"/>
  <c r="B18" i="8"/>
  <c r="E18" i="8" s="1"/>
  <c r="B18" i="10"/>
  <c r="E18" i="10" s="1"/>
  <c r="V12" i="1"/>
  <c r="AC11" i="1"/>
  <c r="I29" i="1"/>
  <c r="B6" i="4"/>
  <c r="H6" i="4" s="1"/>
  <c r="B6" i="3"/>
  <c r="H6" i="3" s="1"/>
  <c r="AW57" i="2" l="1"/>
  <c r="AY57" i="2" s="1"/>
  <c r="AY56" i="2"/>
  <c r="AX57" i="2" s="1"/>
  <c r="AS56" i="2"/>
  <c r="AR57" i="2" s="1"/>
  <c r="AQ57" i="2"/>
  <c r="AS57" i="2" s="1"/>
  <c r="AA37" i="13"/>
  <c r="AB37" i="13" s="1"/>
  <c r="BC56" i="2"/>
  <c r="BE56" i="2" s="1"/>
  <c r="BD57" i="2" s="1"/>
  <c r="BE55" i="2"/>
  <c r="BD56" i="2" s="1"/>
  <c r="W35" i="13"/>
  <c r="X35" i="13" s="1"/>
  <c r="Y11" i="13"/>
  <c r="Y12" i="13" s="1"/>
  <c r="AG11" i="13"/>
  <c r="AG12" i="13" s="1"/>
  <c r="AG13" i="13" s="1"/>
  <c r="AE34" i="13"/>
  <c r="AF34" i="13" s="1"/>
  <c r="W34" i="11"/>
  <c r="L17" i="8"/>
  <c r="X35" i="11"/>
  <c r="L17" i="9"/>
  <c r="E17" i="13"/>
  <c r="J17" i="13"/>
  <c r="J18" i="10"/>
  <c r="Y33" i="11" s="1"/>
  <c r="J18" i="8"/>
  <c r="E19" i="13"/>
  <c r="K19" i="13" s="1"/>
  <c r="J19" i="13"/>
  <c r="J18" i="9"/>
  <c r="X34" i="11" s="1"/>
  <c r="B70" i="1"/>
  <c r="P52" i="4"/>
  <c r="P38" i="4"/>
  <c r="P41" i="4"/>
  <c r="P56" i="4"/>
  <c r="P44" i="4"/>
  <c r="P45" i="4"/>
  <c r="P55" i="4"/>
  <c r="P50" i="4"/>
  <c r="P53" i="4"/>
  <c r="P39" i="4"/>
  <c r="P46" i="4"/>
  <c r="P48" i="4"/>
  <c r="P49" i="4"/>
  <c r="P54" i="4"/>
  <c r="P57" i="4"/>
  <c r="P51" i="4"/>
  <c r="P43" i="4"/>
  <c r="P40" i="4"/>
  <c r="P42" i="4"/>
  <c r="P47" i="4"/>
  <c r="J45" i="3"/>
  <c r="J60" i="3"/>
  <c r="J46" i="3"/>
  <c r="J47" i="3"/>
  <c r="J52" i="3"/>
  <c r="J43" i="3"/>
  <c r="J56" i="3"/>
  <c r="J57" i="3"/>
  <c r="J50" i="3"/>
  <c r="J51" i="3"/>
  <c r="J53" i="3"/>
  <c r="J61" i="3"/>
  <c r="J62" i="3"/>
  <c r="J48" i="3"/>
  <c r="J54" i="3"/>
  <c r="J44" i="3"/>
  <c r="J58" i="3"/>
  <c r="J49" i="3"/>
  <c r="J55" i="3"/>
  <c r="J59" i="3"/>
  <c r="U56" i="2"/>
  <c r="T57" i="2" s="1"/>
  <c r="S57" i="2"/>
  <c r="AA55" i="2"/>
  <c r="Z56" i="2" s="1"/>
  <c r="Y56" i="2"/>
  <c r="AE57" i="2"/>
  <c r="AG56" i="2"/>
  <c r="AF57" i="2" s="1"/>
  <c r="J56" i="2"/>
  <c r="J44" i="2"/>
  <c r="J49" i="2"/>
  <c r="J46" i="2"/>
  <c r="J42" i="2"/>
  <c r="J39" i="2"/>
  <c r="J54" i="2"/>
  <c r="J55" i="2"/>
  <c r="J41" i="2"/>
  <c r="J43" i="2"/>
  <c r="J45" i="2"/>
  <c r="J38" i="2"/>
  <c r="J52" i="2"/>
  <c r="J50" i="2"/>
  <c r="J40" i="2"/>
  <c r="J51" i="2"/>
  <c r="J53" i="2"/>
  <c r="J47" i="2"/>
  <c r="J48" i="2"/>
  <c r="Q5" i="4"/>
  <c r="R5" i="4" s="1"/>
  <c r="Q5" i="2"/>
  <c r="R5" i="2" s="1"/>
  <c r="G94" i="1"/>
  <c r="M94" i="1"/>
  <c r="A94" i="1"/>
  <c r="S94" i="1"/>
  <c r="Q5" i="3"/>
  <c r="R5" i="3" s="1"/>
  <c r="Z55" i="2"/>
  <c r="T56" i="2"/>
  <c r="N56" i="2"/>
  <c r="M57" i="2"/>
  <c r="O57" i="2" s="1"/>
  <c r="H57" i="2"/>
  <c r="J57" i="2" s="1"/>
  <c r="L17" i="10"/>
  <c r="B19" i="10"/>
  <c r="E19" i="10" s="1"/>
  <c r="B19" i="9"/>
  <c r="E19" i="9" s="1"/>
  <c r="B19" i="8"/>
  <c r="E19" i="8" s="1"/>
  <c r="V13" i="1"/>
  <c r="AC12" i="1"/>
  <c r="P6" i="3"/>
  <c r="B7" i="4"/>
  <c r="H7" i="4" s="1"/>
  <c r="P6" i="4"/>
  <c r="B7" i="3"/>
  <c r="H7" i="3" s="1"/>
  <c r="B6" i="2"/>
  <c r="H6" i="2" s="1"/>
  <c r="K43" i="3" l="1"/>
  <c r="Q38" i="4"/>
  <c r="K38" i="2"/>
  <c r="L18" i="8"/>
  <c r="W33" i="11"/>
  <c r="J19" i="8"/>
  <c r="K17" i="13"/>
  <c r="J19" i="9"/>
  <c r="J19" i="10"/>
  <c r="Y32" i="11" s="1"/>
  <c r="P7" i="4"/>
  <c r="P51" i="3"/>
  <c r="P52" i="3"/>
  <c r="P48" i="3"/>
  <c r="P44" i="3"/>
  <c r="P47" i="3"/>
  <c r="P50" i="3"/>
  <c r="P46" i="3"/>
  <c r="P49" i="3"/>
  <c r="P45" i="3"/>
  <c r="P53" i="3"/>
  <c r="P54" i="3"/>
  <c r="P55" i="3"/>
  <c r="P43" i="3"/>
  <c r="P56" i="3"/>
  <c r="P57" i="3"/>
  <c r="P58" i="3"/>
  <c r="P59" i="3"/>
  <c r="P60" i="3"/>
  <c r="P62" i="3"/>
  <c r="P61" i="3"/>
  <c r="AG57" i="2"/>
  <c r="Y57" i="2"/>
  <c r="AA56" i="2"/>
  <c r="Z57" i="2" s="1"/>
  <c r="U57" i="2"/>
  <c r="N57" i="2"/>
  <c r="P6" i="2"/>
  <c r="B8" i="4"/>
  <c r="H8" i="4" s="1"/>
  <c r="L18" i="10"/>
  <c r="B20" i="9"/>
  <c r="E20" i="9" s="1"/>
  <c r="B20" i="10"/>
  <c r="E20" i="10" s="1"/>
  <c r="B20" i="8"/>
  <c r="E20" i="8" s="1"/>
  <c r="L18" i="9"/>
  <c r="V14" i="1"/>
  <c r="AC13" i="1"/>
  <c r="P7" i="3"/>
  <c r="Q6" i="4"/>
  <c r="R6" i="4" s="1"/>
  <c r="Q6" i="3"/>
  <c r="R6" i="3" s="1"/>
  <c r="B8" i="3"/>
  <c r="H8" i="3" s="1"/>
  <c r="B7" i="2"/>
  <c r="H7" i="2" s="1"/>
  <c r="B9" i="4"/>
  <c r="H9" i="4" s="1"/>
  <c r="Q43" i="3" l="1"/>
  <c r="AE33" i="13"/>
  <c r="AF33" i="13" s="1"/>
  <c r="AA36" i="13"/>
  <c r="AB36" i="13" s="1"/>
  <c r="X33" i="11"/>
  <c r="L19" i="9"/>
  <c r="L19" i="8"/>
  <c r="W32" i="11"/>
  <c r="J20" i="8"/>
  <c r="P8" i="3"/>
  <c r="J20" i="10"/>
  <c r="Y31" i="11" s="1"/>
  <c r="J20" i="9"/>
  <c r="X32" i="11" s="1"/>
  <c r="V42" i="4"/>
  <c r="V51" i="4"/>
  <c r="V55" i="4"/>
  <c r="V48" i="4"/>
  <c r="V41" i="4"/>
  <c r="V39" i="4"/>
  <c r="V46" i="4"/>
  <c r="V53" i="4"/>
  <c r="V44" i="4"/>
  <c r="V40" i="4"/>
  <c r="V54" i="4"/>
  <c r="V45" i="4"/>
  <c r="V38" i="4"/>
  <c r="V56" i="4"/>
  <c r="V47" i="4"/>
  <c r="V49" i="4"/>
  <c r="V52" i="4"/>
  <c r="V43" i="4"/>
  <c r="V50" i="4"/>
  <c r="V57" i="4"/>
  <c r="P8" i="4"/>
  <c r="Q8" i="4" s="1"/>
  <c r="R8" i="4" s="1"/>
  <c r="P9" i="4"/>
  <c r="AA35" i="13"/>
  <c r="AB35" i="13" s="1"/>
  <c r="AJ35" i="13" s="1"/>
  <c r="V46" i="3"/>
  <c r="V59" i="3"/>
  <c r="V54" i="3"/>
  <c r="V47" i="3"/>
  <c r="V56" i="3"/>
  <c r="V55" i="3"/>
  <c r="V58" i="3"/>
  <c r="V52" i="3"/>
  <c r="V61" i="3"/>
  <c r="V45" i="3"/>
  <c r="V50" i="3"/>
  <c r="V53" i="3"/>
  <c r="V43" i="3"/>
  <c r="V48" i="3"/>
  <c r="V51" i="3"/>
  <c r="V44" i="3"/>
  <c r="V57" i="3"/>
  <c r="V60" i="3"/>
  <c r="V62" i="3"/>
  <c r="V49" i="3"/>
  <c r="AA57" i="2"/>
  <c r="Q7" i="4"/>
  <c r="R7" i="4" s="1"/>
  <c r="C70" i="1"/>
  <c r="Q6" i="2"/>
  <c r="R6" i="2" s="1"/>
  <c r="P57" i="2"/>
  <c r="P51" i="2"/>
  <c r="P52" i="2"/>
  <c r="P53" i="2"/>
  <c r="P48" i="2"/>
  <c r="P46" i="2"/>
  <c r="P45" i="2"/>
  <c r="P54" i="2"/>
  <c r="P40" i="2"/>
  <c r="P42" i="2"/>
  <c r="P38" i="2"/>
  <c r="P56" i="2"/>
  <c r="P39" i="2"/>
  <c r="P43" i="2"/>
  <c r="P44" i="2"/>
  <c r="P50" i="2"/>
  <c r="P41" i="2"/>
  <c r="P49" i="2"/>
  <c r="P55" i="2"/>
  <c r="P47" i="2"/>
  <c r="D68" i="1"/>
  <c r="D69" i="1"/>
  <c r="C69" i="1"/>
  <c r="P7" i="2"/>
  <c r="B8" i="2"/>
  <c r="H8" i="2" s="1"/>
  <c r="B21" i="9"/>
  <c r="E21" i="9" s="1"/>
  <c r="L19" i="10"/>
  <c r="B21" i="8"/>
  <c r="E21" i="8" s="1"/>
  <c r="B21" i="10"/>
  <c r="E21" i="10" s="1"/>
  <c r="Q7" i="3"/>
  <c r="R7" i="3" s="1"/>
  <c r="B9" i="3"/>
  <c r="H9" i="3" s="1"/>
  <c r="V15" i="1"/>
  <c r="AC14" i="1"/>
  <c r="B10" i="4"/>
  <c r="H10" i="4" s="1"/>
  <c r="G5" i="1"/>
  <c r="T75" i="1" s="1"/>
  <c r="G6" i="1"/>
  <c r="H75" i="1" s="1"/>
  <c r="G7" i="1"/>
  <c r="N75" i="1" s="1"/>
  <c r="G8" i="1"/>
  <c r="G9" i="1"/>
  <c r="G10" i="1"/>
  <c r="G11" i="1"/>
  <c r="G12" i="1"/>
  <c r="G13" i="1"/>
  <c r="G4" i="1"/>
  <c r="B75" i="1" s="1"/>
  <c r="E5" i="1"/>
  <c r="H5" i="1" s="1"/>
  <c r="E6" i="1"/>
  <c r="H6" i="1" s="1"/>
  <c r="E7" i="1"/>
  <c r="H7" i="1" s="1"/>
  <c r="E10" i="1"/>
  <c r="H10" i="1" s="1"/>
  <c r="E12" i="1"/>
  <c r="H12" i="1" s="1"/>
  <c r="E13" i="1"/>
  <c r="H13" i="1" s="1"/>
  <c r="E4" i="1"/>
  <c r="H4" i="1" s="1"/>
  <c r="F5" i="1"/>
  <c r="F6" i="1"/>
  <c r="F7" i="1"/>
  <c r="F8" i="1"/>
  <c r="F9" i="1"/>
  <c r="F10" i="1"/>
  <c r="F11" i="1"/>
  <c r="F12" i="1"/>
  <c r="F4" i="1"/>
  <c r="B9" i="2" l="1"/>
  <c r="H9" i="2" s="1"/>
  <c r="W38" i="4"/>
  <c r="I11" i="1"/>
  <c r="I8" i="1"/>
  <c r="I9" i="1"/>
  <c r="W43" i="3"/>
  <c r="Q38" i="2"/>
  <c r="W31" i="11"/>
  <c r="L20" i="8"/>
  <c r="AH54" i="4"/>
  <c r="AH48" i="4"/>
  <c r="AH51" i="4"/>
  <c r="AH38" i="4"/>
  <c r="AH53" i="4"/>
  <c r="AH56" i="4"/>
  <c r="AH46" i="4"/>
  <c r="AH43" i="4"/>
  <c r="AH50" i="4"/>
  <c r="AH42" i="4"/>
  <c r="AH57" i="4"/>
  <c r="AH40" i="4"/>
  <c r="AH44" i="4"/>
  <c r="AH55" i="4"/>
  <c r="AH45" i="4"/>
  <c r="AH47" i="4"/>
  <c r="AH39" i="4"/>
  <c r="AH49" i="4"/>
  <c r="AH41" i="4"/>
  <c r="AH52" i="4"/>
  <c r="P10" i="4"/>
  <c r="P9" i="3"/>
  <c r="J21" i="10"/>
  <c r="Y30" i="11" s="1"/>
  <c r="C2" i="8"/>
  <c r="J21" i="8"/>
  <c r="AB43" i="4"/>
  <c r="AB39" i="4"/>
  <c r="AB45" i="4"/>
  <c r="AB56" i="4"/>
  <c r="AB49" i="4"/>
  <c r="AB53" i="4"/>
  <c r="AB46" i="4"/>
  <c r="AB52" i="4"/>
  <c r="AB44" i="4"/>
  <c r="AB48" i="4"/>
  <c r="AB51" i="4"/>
  <c r="AB55" i="4"/>
  <c r="AB54" i="4"/>
  <c r="AB38" i="4"/>
  <c r="AB47" i="4"/>
  <c r="AB50" i="4"/>
  <c r="AB41" i="4"/>
  <c r="AB57" i="4"/>
  <c r="AB42" i="4"/>
  <c r="AB40" i="4"/>
  <c r="J21" i="9"/>
  <c r="AB48" i="3"/>
  <c r="AB49" i="3"/>
  <c r="AB55" i="3"/>
  <c r="AB54" i="3"/>
  <c r="AB58" i="3"/>
  <c r="AB47" i="3"/>
  <c r="AB50" i="3"/>
  <c r="AB61" i="3"/>
  <c r="AB45" i="3"/>
  <c r="AB56" i="3"/>
  <c r="AB57" i="3"/>
  <c r="AB43" i="3"/>
  <c r="AB52" i="3"/>
  <c r="AB44" i="3"/>
  <c r="AB51" i="3"/>
  <c r="AB60" i="3"/>
  <c r="AB46" i="3"/>
  <c r="AB53" i="3"/>
  <c r="AB62" i="3"/>
  <c r="AB59" i="3"/>
  <c r="AB56" i="2"/>
  <c r="AB57" i="2"/>
  <c r="V57" i="2"/>
  <c r="AB47" i="2"/>
  <c r="AB46" i="2"/>
  <c r="AB54" i="2"/>
  <c r="AB49" i="2"/>
  <c r="AB40" i="2"/>
  <c r="AB55" i="2"/>
  <c r="AB50" i="2"/>
  <c r="AB39" i="2"/>
  <c r="AB45" i="2"/>
  <c r="AB43" i="2"/>
  <c r="AB53" i="2"/>
  <c r="AB42" i="2"/>
  <c r="AB51" i="2"/>
  <c r="AB48" i="2"/>
  <c r="AB52" i="2"/>
  <c r="AB44" i="2"/>
  <c r="AB41" i="2"/>
  <c r="AB38" i="2"/>
  <c r="V38" i="2"/>
  <c r="V48" i="2"/>
  <c r="V50" i="2"/>
  <c r="V52" i="2"/>
  <c r="V47" i="2"/>
  <c r="V44" i="2"/>
  <c r="V46" i="2"/>
  <c r="V53" i="2"/>
  <c r="V39" i="2"/>
  <c r="V43" i="2"/>
  <c r="V56" i="2"/>
  <c r="V55" i="2"/>
  <c r="V45" i="2"/>
  <c r="V40" i="2"/>
  <c r="V49" i="2"/>
  <c r="V54" i="2"/>
  <c r="V41" i="2"/>
  <c r="V42" i="2"/>
  <c r="V51" i="2"/>
  <c r="Q9" i="4"/>
  <c r="R9" i="4" s="1"/>
  <c r="Q7" i="2"/>
  <c r="R7" i="2" s="1"/>
  <c r="O79" i="1"/>
  <c r="N80" i="1" s="1"/>
  <c r="O85" i="1"/>
  <c r="N86" i="1" s="1"/>
  <c r="O86" i="1"/>
  <c r="N87" i="1" s="1"/>
  <c r="O76" i="1"/>
  <c r="N77" i="1" s="1"/>
  <c r="O88" i="1"/>
  <c r="N89" i="1" s="1"/>
  <c r="O77" i="1"/>
  <c r="N78" i="1" s="1"/>
  <c r="O91" i="1"/>
  <c r="N92" i="1" s="1"/>
  <c r="O83" i="1"/>
  <c r="N84" i="1" s="1"/>
  <c r="O84" i="1"/>
  <c r="N85" i="1" s="1"/>
  <c r="O92" i="1"/>
  <c r="N93" i="1" s="1"/>
  <c r="O93" i="1"/>
  <c r="N94" i="1" s="1"/>
  <c r="O94" i="1"/>
  <c r="O78" i="1"/>
  <c r="N79" i="1" s="1"/>
  <c r="O80" i="1"/>
  <c r="N81" i="1" s="1"/>
  <c r="O82" i="1"/>
  <c r="N83" i="1" s="1"/>
  <c r="O89" i="1"/>
  <c r="N90" i="1" s="1"/>
  <c r="O81" i="1"/>
  <c r="N82" i="1" s="1"/>
  <c r="O87" i="1"/>
  <c r="N88" i="1" s="1"/>
  <c r="O75" i="1"/>
  <c r="N76" i="1" s="1"/>
  <c r="O90" i="1"/>
  <c r="N91" i="1" s="1"/>
  <c r="C82" i="1"/>
  <c r="B83" i="1" s="1"/>
  <c r="C90" i="1"/>
  <c r="B91" i="1" s="1"/>
  <c r="C83" i="1"/>
  <c r="B84" i="1" s="1"/>
  <c r="C91" i="1"/>
  <c r="B92" i="1" s="1"/>
  <c r="C76" i="1"/>
  <c r="B77" i="1" s="1"/>
  <c r="C84" i="1"/>
  <c r="B85" i="1" s="1"/>
  <c r="C92" i="1"/>
  <c r="B93" i="1" s="1"/>
  <c r="C77" i="1"/>
  <c r="B78" i="1" s="1"/>
  <c r="C85" i="1"/>
  <c r="B86" i="1" s="1"/>
  <c r="C93" i="1"/>
  <c r="B94" i="1" s="1"/>
  <c r="C81" i="1"/>
  <c r="B82" i="1" s="1"/>
  <c r="C75" i="1"/>
  <c r="B76" i="1" s="1"/>
  <c r="C86" i="1"/>
  <c r="B87" i="1" s="1"/>
  <c r="C87" i="1"/>
  <c r="B88" i="1" s="1"/>
  <c r="C88" i="1"/>
  <c r="B89" i="1" s="1"/>
  <c r="C89" i="1"/>
  <c r="B90" i="1" s="1"/>
  <c r="C78" i="1"/>
  <c r="B79" i="1" s="1"/>
  <c r="C79" i="1"/>
  <c r="B80" i="1" s="1"/>
  <c r="C80" i="1"/>
  <c r="B81" i="1" s="1"/>
  <c r="C94" i="1"/>
  <c r="I76" i="1"/>
  <c r="H77" i="1" s="1"/>
  <c r="I84" i="1"/>
  <c r="H85" i="1" s="1"/>
  <c r="I92" i="1"/>
  <c r="H93" i="1" s="1"/>
  <c r="I77" i="1"/>
  <c r="H78" i="1" s="1"/>
  <c r="I85" i="1"/>
  <c r="H86" i="1" s="1"/>
  <c r="I93" i="1"/>
  <c r="H94" i="1" s="1"/>
  <c r="I78" i="1"/>
  <c r="H79" i="1" s="1"/>
  <c r="I86" i="1"/>
  <c r="H87" i="1" s="1"/>
  <c r="I94" i="1"/>
  <c r="I79" i="1"/>
  <c r="H80" i="1" s="1"/>
  <c r="I87" i="1"/>
  <c r="H88" i="1" s="1"/>
  <c r="I82" i="1"/>
  <c r="H83" i="1" s="1"/>
  <c r="I83" i="1"/>
  <c r="H84" i="1" s="1"/>
  <c r="I75" i="1"/>
  <c r="H76" i="1" s="1"/>
  <c r="I88" i="1"/>
  <c r="H89" i="1" s="1"/>
  <c r="I90" i="1"/>
  <c r="H91" i="1" s="1"/>
  <c r="I89" i="1"/>
  <c r="H90" i="1" s="1"/>
  <c r="I81" i="1"/>
  <c r="H82" i="1" s="1"/>
  <c r="I91" i="1"/>
  <c r="H92" i="1" s="1"/>
  <c r="I80" i="1"/>
  <c r="H81" i="1" s="1"/>
  <c r="D67" i="1"/>
  <c r="D66" i="1"/>
  <c r="U83" i="1"/>
  <c r="T84" i="1" s="1"/>
  <c r="U91" i="1"/>
  <c r="T92" i="1" s="1"/>
  <c r="U76" i="1"/>
  <c r="T77" i="1" s="1"/>
  <c r="U84" i="1"/>
  <c r="T85" i="1" s="1"/>
  <c r="U92" i="1"/>
  <c r="T93" i="1" s="1"/>
  <c r="U77" i="1"/>
  <c r="T78" i="1" s="1"/>
  <c r="U85" i="1"/>
  <c r="T86" i="1" s="1"/>
  <c r="U93" i="1"/>
  <c r="T94" i="1" s="1"/>
  <c r="U78" i="1"/>
  <c r="T79" i="1" s="1"/>
  <c r="U86" i="1"/>
  <c r="T87" i="1" s="1"/>
  <c r="U94" i="1"/>
  <c r="U89" i="1"/>
  <c r="T90" i="1" s="1"/>
  <c r="U90" i="1"/>
  <c r="T91" i="1" s="1"/>
  <c r="U79" i="1"/>
  <c r="T80" i="1" s="1"/>
  <c r="U81" i="1"/>
  <c r="T82" i="1" s="1"/>
  <c r="U80" i="1"/>
  <c r="T81" i="1" s="1"/>
  <c r="U82" i="1"/>
  <c r="T83" i="1" s="1"/>
  <c r="U87" i="1"/>
  <c r="T88" i="1" s="1"/>
  <c r="U88" i="1"/>
  <c r="T89" i="1" s="1"/>
  <c r="U75" i="1"/>
  <c r="T76" i="1" s="1"/>
  <c r="Q4" i="1"/>
  <c r="Q10" i="1" s="1"/>
  <c r="Q8" i="3"/>
  <c r="R8" i="3" s="1"/>
  <c r="P9" i="2"/>
  <c r="P8" i="2"/>
  <c r="Q8" i="2" s="1"/>
  <c r="R8" i="2" s="1"/>
  <c r="B10" i="3"/>
  <c r="H10" i="3" s="1"/>
  <c r="B22" i="10"/>
  <c r="E22" i="10" s="1"/>
  <c r="L20" i="10"/>
  <c r="B22" i="9"/>
  <c r="E22" i="9" s="1"/>
  <c r="B22" i="8"/>
  <c r="E22" i="8" s="1"/>
  <c r="L20" i="9"/>
  <c r="V16" i="1"/>
  <c r="AC16" i="1" s="1"/>
  <c r="AC15" i="1"/>
  <c r="Q6" i="1"/>
  <c r="Q7" i="1"/>
  <c r="Q11" i="1" s="1"/>
  <c r="Q5" i="1"/>
  <c r="Q13" i="1" s="1"/>
  <c r="K5" i="1"/>
  <c r="L5" i="1" s="1"/>
  <c r="J5" i="1"/>
  <c r="M5" i="1" s="1"/>
  <c r="J7" i="1"/>
  <c r="M7" i="1" s="1"/>
  <c r="K7" i="1"/>
  <c r="L7" i="1" s="1"/>
  <c r="J4" i="1"/>
  <c r="M4" i="1" s="1"/>
  <c r="K4" i="1"/>
  <c r="L4" i="1" s="1"/>
  <c r="J6" i="1"/>
  <c r="M6" i="1" s="1"/>
  <c r="K6" i="1"/>
  <c r="L6" i="1" s="1"/>
  <c r="B11" i="4"/>
  <c r="H11" i="4" s="1"/>
  <c r="AT57" i="4" s="1"/>
  <c r="B10" i="2"/>
  <c r="H10" i="2" s="1"/>
  <c r="P76" i="1" l="1"/>
  <c r="AI38" i="4"/>
  <c r="AE30" i="13" s="1"/>
  <c r="AF30" i="13" s="1"/>
  <c r="AC43" i="3"/>
  <c r="AC38" i="2"/>
  <c r="AC38" i="4"/>
  <c r="W38" i="2"/>
  <c r="W32" i="13" s="1"/>
  <c r="X32" i="13" s="1"/>
  <c r="AE32" i="13"/>
  <c r="AF32" i="13" s="1"/>
  <c r="AA34" i="13"/>
  <c r="AB34" i="13" s="1"/>
  <c r="B68" i="1"/>
  <c r="W33" i="13"/>
  <c r="X33" i="13" s="1"/>
  <c r="W34" i="13"/>
  <c r="X34" i="13" s="1"/>
  <c r="C2" i="9"/>
  <c r="I1" i="1"/>
  <c r="W30" i="11"/>
  <c r="L21" i="8"/>
  <c r="X31" i="11"/>
  <c r="L21" i="9"/>
  <c r="J22" i="8"/>
  <c r="AE31" i="13"/>
  <c r="AF31" i="13" s="1"/>
  <c r="J22" i="10"/>
  <c r="Y29" i="11" s="1"/>
  <c r="B69" i="1"/>
  <c r="P11" i="4"/>
  <c r="J22" i="9"/>
  <c r="P10" i="3"/>
  <c r="D86" i="1"/>
  <c r="AN38" i="4"/>
  <c r="AN42" i="4"/>
  <c r="AN48" i="4"/>
  <c r="AN47" i="4"/>
  <c r="AN53" i="4"/>
  <c r="AN55" i="4"/>
  <c r="AN41" i="4"/>
  <c r="AN39" i="4"/>
  <c r="AN45" i="4"/>
  <c r="AN52" i="4"/>
  <c r="AN51" i="4"/>
  <c r="AN56" i="4"/>
  <c r="AN54" i="4"/>
  <c r="AN43" i="4"/>
  <c r="AN46" i="4"/>
  <c r="AN49" i="4"/>
  <c r="AN50" i="4"/>
  <c r="AN44" i="4"/>
  <c r="AN40" i="4"/>
  <c r="AN57" i="4"/>
  <c r="AH49" i="3"/>
  <c r="AH52" i="3"/>
  <c r="AH62" i="3"/>
  <c r="AH61" i="3"/>
  <c r="AH48" i="3"/>
  <c r="AH43" i="3"/>
  <c r="AH45" i="3"/>
  <c r="AH54" i="3"/>
  <c r="AH53" i="3"/>
  <c r="AH44" i="3"/>
  <c r="AH56" i="3"/>
  <c r="AH57" i="3"/>
  <c r="AH59" i="3"/>
  <c r="AH46" i="3"/>
  <c r="AH47" i="3"/>
  <c r="AH50" i="3"/>
  <c r="AH51" i="3"/>
  <c r="AH60" i="3"/>
  <c r="AH58" i="3"/>
  <c r="AH55" i="3"/>
  <c r="AA33" i="13"/>
  <c r="AB33" i="13" s="1"/>
  <c r="AH57" i="2"/>
  <c r="AH56" i="2"/>
  <c r="AH55" i="2"/>
  <c r="C2" i="10"/>
  <c r="AH43" i="2"/>
  <c r="AH50" i="2"/>
  <c r="AH40" i="2"/>
  <c r="AH49" i="2"/>
  <c r="AH44" i="2"/>
  <c r="AH52" i="2"/>
  <c r="AH45" i="2"/>
  <c r="AH42" i="2"/>
  <c r="AH51" i="2"/>
  <c r="AH53" i="2"/>
  <c r="AH41" i="2"/>
  <c r="AH39" i="2"/>
  <c r="AH38" i="2"/>
  <c r="AH46" i="2"/>
  <c r="AH54" i="2"/>
  <c r="AH47" i="2"/>
  <c r="AH48" i="2"/>
  <c r="D80" i="1"/>
  <c r="C68" i="1"/>
  <c r="D90" i="1"/>
  <c r="D93" i="1"/>
  <c r="P82" i="1"/>
  <c r="P87" i="1"/>
  <c r="V90" i="1"/>
  <c r="D84" i="1"/>
  <c r="D92" i="1"/>
  <c r="J75" i="1"/>
  <c r="D88" i="1"/>
  <c r="P93" i="1"/>
  <c r="V81" i="1"/>
  <c r="D78" i="1"/>
  <c r="V88" i="1"/>
  <c r="V82" i="1"/>
  <c r="J92" i="1"/>
  <c r="P85" i="1"/>
  <c r="D77" i="1"/>
  <c r="V80" i="1"/>
  <c r="J90" i="1"/>
  <c r="P83" i="1"/>
  <c r="J84" i="1"/>
  <c r="D76" i="1"/>
  <c r="J88" i="1"/>
  <c r="P79" i="1"/>
  <c r="J82" i="1"/>
  <c r="P77" i="1"/>
  <c r="V89" i="1"/>
  <c r="D87" i="1"/>
  <c r="J77" i="1"/>
  <c r="Q10" i="4"/>
  <c r="R10" i="4" s="1"/>
  <c r="D79" i="1"/>
  <c r="J91" i="1"/>
  <c r="J83" i="1"/>
  <c r="P86" i="1"/>
  <c r="P78" i="1"/>
  <c r="D85" i="1"/>
  <c r="V87" i="1"/>
  <c r="V79" i="1"/>
  <c r="J89" i="1"/>
  <c r="J81" i="1"/>
  <c r="P92" i="1"/>
  <c r="P84" i="1"/>
  <c r="P75" i="1"/>
  <c r="D75" i="1"/>
  <c r="V86" i="1"/>
  <c r="V78" i="1"/>
  <c r="J80" i="1"/>
  <c r="P91" i="1"/>
  <c r="D91" i="1"/>
  <c r="D83" i="1"/>
  <c r="J94" i="1"/>
  <c r="V93" i="1"/>
  <c r="V85" i="1"/>
  <c r="V76" i="1"/>
  <c r="J87" i="1"/>
  <c r="J79" i="1"/>
  <c r="P90" i="1"/>
  <c r="P94" i="1"/>
  <c r="D82" i="1"/>
  <c r="V92" i="1"/>
  <c r="V84" i="1"/>
  <c r="V77" i="1"/>
  <c r="J86" i="1"/>
  <c r="J78" i="1"/>
  <c r="P89" i="1"/>
  <c r="P81" i="1"/>
  <c r="D94" i="1"/>
  <c r="Q9" i="2"/>
  <c r="R9" i="2" s="1"/>
  <c r="D89" i="1"/>
  <c r="D81" i="1"/>
  <c r="V91" i="1"/>
  <c r="V83" i="1"/>
  <c r="V75" i="1"/>
  <c r="J93" i="1"/>
  <c r="J85" i="1"/>
  <c r="J76" i="1"/>
  <c r="P88" i="1"/>
  <c r="P80" i="1"/>
  <c r="V94" i="1"/>
  <c r="B11" i="3"/>
  <c r="H11" i="3" s="1"/>
  <c r="Q9" i="3"/>
  <c r="R9" i="3" s="1"/>
  <c r="P10" i="2"/>
  <c r="B23" i="8"/>
  <c r="E23" i="8" s="1"/>
  <c r="B23" i="10"/>
  <c r="E23" i="10" s="1"/>
  <c r="B23" i="9"/>
  <c r="E23" i="9" s="1"/>
  <c r="L21" i="10"/>
  <c r="N7" i="1"/>
  <c r="O7" i="1" s="1"/>
  <c r="G17" i="1" s="1"/>
  <c r="Q12" i="1"/>
  <c r="Q14" i="1" s="1"/>
  <c r="R14" i="1" s="1"/>
  <c r="N5" i="1"/>
  <c r="O5" i="1" s="1"/>
  <c r="G21" i="1" s="1"/>
  <c r="N6" i="1"/>
  <c r="O6" i="1" s="1"/>
  <c r="G16" i="1" s="1"/>
  <c r="N4" i="1"/>
  <c r="O4" i="1" s="1"/>
  <c r="G18" i="1" s="1"/>
  <c r="D8" i="1"/>
  <c r="E8" i="1" s="1"/>
  <c r="F4" i="2" s="1"/>
  <c r="G4" i="2" s="1"/>
  <c r="C2" i="2"/>
  <c r="C32" i="2" s="1"/>
  <c r="H8" i="1"/>
  <c r="C4" i="2" s="1"/>
  <c r="E4" i="2" s="1"/>
  <c r="H9" i="1"/>
  <c r="C4" i="3" s="1"/>
  <c r="E4" i="3" s="1"/>
  <c r="C2" i="3"/>
  <c r="D9" i="1"/>
  <c r="E9" i="1" s="1"/>
  <c r="F4" i="3" s="1"/>
  <c r="G4" i="3" s="1"/>
  <c r="C2" i="4"/>
  <c r="C32" i="4" s="1"/>
  <c r="H11" i="1"/>
  <c r="C4" i="4" s="1"/>
  <c r="E4" i="4" s="1"/>
  <c r="D11" i="1"/>
  <c r="E11" i="1" s="1"/>
  <c r="F4" i="4" s="1"/>
  <c r="G4" i="4" s="1"/>
  <c r="B12" i="4"/>
  <c r="H12" i="4" s="1"/>
  <c r="B11" i="2"/>
  <c r="H11" i="2" s="1"/>
  <c r="AT57" i="2" s="1"/>
  <c r="C33" i="3" l="1"/>
  <c r="C34" i="3"/>
  <c r="AO38" i="4"/>
  <c r="AI38" i="2"/>
  <c r="AZ57" i="4"/>
  <c r="AZ56" i="4"/>
  <c r="E75" i="1"/>
  <c r="K75" i="1"/>
  <c r="W75" i="1"/>
  <c r="Q75" i="1"/>
  <c r="AI43" i="3"/>
  <c r="AJ34" i="13"/>
  <c r="AJ33" i="13"/>
  <c r="C27" i="4"/>
  <c r="C28" i="4"/>
  <c r="C29" i="4"/>
  <c r="C30" i="4"/>
  <c r="C31" i="4"/>
  <c r="C26" i="4"/>
  <c r="C31" i="2"/>
  <c r="C30" i="2"/>
  <c r="B66" i="1"/>
  <c r="W31" i="13"/>
  <c r="X31" i="13" s="1"/>
  <c r="L22" i="8"/>
  <c r="W29" i="11"/>
  <c r="X30" i="11"/>
  <c r="L22" i="9"/>
  <c r="AT43" i="4"/>
  <c r="AT54" i="4"/>
  <c r="AT39" i="4"/>
  <c r="AT42" i="4"/>
  <c r="AT46" i="4"/>
  <c r="AT44" i="4"/>
  <c r="AT49" i="4"/>
  <c r="AT38" i="4"/>
  <c r="AT52" i="4"/>
  <c r="AT48" i="4"/>
  <c r="AT51" i="4"/>
  <c r="AT55" i="4"/>
  <c r="AT45" i="4"/>
  <c r="AT56" i="4"/>
  <c r="AT41" i="4"/>
  <c r="AT53" i="4"/>
  <c r="AT47" i="4"/>
  <c r="AT50" i="4"/>
  <c r="AT40" i="4"/>
  <c r="P12" i="4"/>
  <c r="C26" i="2"/>
  <c r="C27" i="2"/>
  <c r="A27" i="2"/>
  <c r="C28" i="2"/>
  <c r="C29" i="2"/>
  <c r="A26" i="2"/>
  <c r="A28" i="2"/>
  <c r="A29" i="2"/>
  <c r="J23" i="9"/>
  <c r="P11" i="3"/>
  <c r="AT56" i="3"/>
  <c r="J23" i="10"/>
  <c r="Y28" i="11" s="1"/>
  <c r="AA32" i="13"/>
  <c r="AB32" i="13" s="1"/>
  <c r="AJ32" i="13" s="1"/>
  <c r="AE29" i="13"/>
  <c r="AF29" i="13" s="1"/>
  <c r="J23" i="8"/>
  <c r="AT44" i="3"/>
  <c r="AT62" i="3"/>
  <c r="AT51" i="3"/>
  <c r="AT52" i="3"/>
  <c r="AT57" i="3"/>
  <c r="AT43" i="3"/>
  <c r="AT59" i="3"/>
  <c r="AT45" i="3"/>
  <c r="AT55" i="3"/>
  <c r="AT50" i="3"/>
  <c r="AT60" i="3"/>
  <c r="AT49" i="3"/>
  <c r="AT58" i="3"/>
  <c r="AT47" i="3"/>
  <c r="AT46" i="3"/>
  <c r="AT48" i="3"/>
  <c r="AT53" i="3"/>
  <c r="AT54" i="3"/>
  <c r="AT61" i="3"/>
  <c r="C32" i="3"/>
  <c r="AN47" i="3"/>
  <c r="AN51" i="3"/>
  <c r="AN45" i="3"/>
  <c r="AN46" i="3"/>
  <c r="AN49" i="3"/>
  <c r="AN56" i="3"/>
  <c r="AN59" i="3"/>
  <c r="AN62" i="3"/>
  <c r="AN43" i="3"/>
  <c r="AN48" i="3"/>
  <c r="AN50" i="3"/>
  <c r="AN58" i="3"/>
  <c r="AN60" i="3"/>
  <c r="AN54" i="3"/>
  <c r="AN55" i="3"/>
  <c r="AN61" i="3"/>
  <c r="AN53" i="3"/>
  <c r="AN57" i="3"/>
  <c r="AN44" i="3"/>
  <c r="AN52" i="3"/>
  <c r="AN56" i="2"/>
  <c r="AN57" i="2"/>
  <c r="AN55" i="2"/>
  <c r="AN54" i="2"/>
  <c r="C11" i="4"/>
  <c r="E11" i="4" s="1"/>
  <c r="AN44" i="2"/>
  <c r="AN42" i="2"/>
  <c r="AN49" i="2"/>
  <c r="AN48" i="2"/>
  <c r="AN52" i="2"/>
  <c r="AN43" i="2"/>
  <c r="AN38" i="2"/>
  <c r="AN45" i="2"/>
  <c r="AN53" i="2"/>
  <c r="AN41" i="2"/>
  <c r="AN47" i="2"/>
  <c r="AN40" i="2"/>
  <c r="AN46" i="2"/>
  <c r="AN51" i="2"/>
  <c r="AN50" i="2"/>
  <c r="C66" i="1"/>
  <c r="B67" i="1"/>
  <c r="Q11" i="4"/>
  <c r="R11" i="4" s="1"/>
  <c r="Q10" i="2"/>
  <c r="R10" i="2" s="1"/>
  <c r="D65" i="1"/>
  <c r="D64" i="1"/>
  <c r="C67" i="1"/>
  <c r="A7" i="2"/>
  <c r="A8" i="2"/>
  <c r="A10" i="2"/>
  <c r="A6" i="2"/>
  <c r="A9" i="2"/>
  <c r="A4" i="2"/>
  <c r="A5" i="2"/>
  <c r="A11" i="2"/>
  <c r="B12" i="3"/>
  <c r="H12" i="3" s="1"/>
  <c r="C11" i="3"/>
  <c r="E11" i="3" s="1"/>
  <c r="Q11" i="3"/>
  <c r="R11" i="3" s="1"/>
  <c r="Q10" i="3"/>
  <c r="R10" i="3" s="1"/>
  <c r="C10" i="2"/>
  <c r="E10" i="2" s="1"/>
  <c r="P11" i="2"/>
  <c r="B24" i="9"/>
  <c r="E24" i="9" s="1"/>
  <c r="B24" i="10"/>
  <c r="E24" i="10" s="1"/>
  <c r="B24" i="8"/>
  <c r="E24" i="8" s="1"/>
  <c r="L22" i="10"/>
  <c r="G19" i="1"/>
  <c r="G23" i="1" s="1"/>
  <c r="H23" i="1" s="1"/>
  <c r="F11" i="4"/>
  <c r="G11" i="4" s="1"/>
  <c r="I4" i="3"/>
  <c r="J4" i="3" s="1"/>
  <c r="X48" i="1" s="1"/>
  <c r="F11" i="3"/>
  <c r="G11" i="3" s="1"/>
  <c r="I4" i="4"/>
  <c r="J4" i="4" s="1"/>
  <c r="Y47" i="1" s="1"/>
  <c r="F10" i="2"/>
  <c r="G10" i="2" s="1"/>
  <c r="C5" i="4"/>
  <c r="E5" i="4" s="1"/>
  <c r="F5" i="4"/>
  <c r="G5" i="4" s="1"/>
  <c r="C7" i="4"/>
  <c r="E7" i="4" s="1"/>
  <c r="F7" i="4"/>
  <c r="G7" i="4" s="1"/>
  <c r="F6" i="4"/>
  <c r="G6" i="4" s="1"/>
  <c r="C6" i="4"/>
  <c r="E6" i="4" s="1"/>
  <c r="F8" i="4"/>
  <c r="G8" i="4" s="1"/>
  <c r="C8" i="4"/>
  <c r="E8" i="4" s="1"/>
  <c r="C9" i="4"/>
  <c r="E9" i="4" s="1"/>
  <c r="F9" i="4"/>
  <c r="G9" i="4" s="1"/>
  <c r="F10" i="4"/>
  <c r="G10" i="4" s="1"/>
  <c r="C10" i="4"/>
  <c r="E10" i="4" s="1"/>
  <c r="C6" i="3"/>
  <c r="C5" i="3"/>
  <c r="E5" i="3" s="1"/>
  <c r="F5" i="3"/>
  <c r="G5" i="3" s="1"/>
  <c r="F6" i="3"/>
  <c r="G6" i="3" s="1"/>
  <c r="F7" i="3"/>
  <c r="G7" i="3" s="1"/>
  <c r="C7" i="3"/>
  <c r="E7" i="3" s="1"/>
  <c r="F8" i="3"/>
  <c r="G8" i="3" s="1"/>
  <c r="C8" i="3"/>
  <c r="E8" i="3" s="1"/>
  <c r="F9" i="3"/>
  <c r="G9" i="3" s="1"/>
  <c r="C9" i="3"/>
  <c r="E9" i="3" s="1"/>
  <c r="F10" i="3"/>
  <c r="G10" i="3" s="1"/>
  <c r="C10" i="3"/>
  <c r="E10" i="3" s="1"/>
  <c r="I4" i="2"/>
  <c r="J4" i="2" s="1"/>
  <c r="W47" i="1" s="1"/>
  <c r="F5" i="2"/>
  <c r="G5" i="2" s="1"/>
  <c r="C5" i="2"/>
  <c r="E5" i="2" s="1"/>
  <c r="C6" i="2"/>
  <c r="E6" i="2" s="1"/>
  <c r="F6" i="2"/>
  <c r="G6" i="2" s="1"/>
  <c r="C8" i="2"/>
  <c r="E8" i="2" s="1"/>
  <c r="F8" i="2"/>
  <c r="G8" i="2" s="1"/>
  <c r="C7" i="2"/>
  <c r="E7" i="2" s="1"/>
  <c r="F7" i="2"/>
  <c r="G7" i="2" s="1"/>
  <c r="F9" i="2"/>
  <c r="G9" i="2" s="1"/>
  <c r="C9" i="2"/>
  <c r="E9" i="2" s="1"/>
  <c r="C11" i="2"/>
  <c r="F11" i="2"/>
  <c r="G11" i="2" s="1"/>
  <c r="F12" i="4"/>
  <c r="G12" i="4" s="1"/>
  <c r="B13" i="4"/>
  <c r="H13" i="4" s="1"/>
  <c r="C12" i="4"/>
  <c r="B12" i="2"/>
  <c r="H12" i="2" s="1"/>
  <c r="AU43" i="3" l="1"/>
  <c r="AA30" i="13" s="1"/>
  <c r="AB30" i="13" s="1"/>
  <c r="AO43" i="3"/>
  <c r="AU38" i="4"/>
  <c r="AE28" i="13" s="1"/>
  <c r="AF28" i="13" s="1"/>
  <c r="AZ56" i="2"/>
  <c r="AZ57" i="2"/>
  <c r="BF57" i="4"/>
  <c r="BF55" i="4"/>
  <c r="BF56" i="4"/>
  <c r="B65" i="1"/>
  <c r="W30" i="13"/>
  <c r="X30" i="13" s="1"/>
  <c r="X29" i="11"/>
  <c r="L23" i="9"/>
  <c r="W28" i="11"/>
  <c r="L23" i="8"/>
  <c r="AZ42" i="4"/>
  <c r="AZ39" i="4"/>
  <c r="AZ47" i="4"/>
  <c r="AZ48" i="4"/>
  <c r="AZ49" i="4"/>
  <c r="AZ53" i="4"/>
  <c r="AZ44" i="4"/>
  <c r="AZ45" i="4"/>
  <c r="AZ50" i="4"/>
  <c r="AZ41" i="4"/>
  <c r="AZ55" i="4"/>
  <c r="AZ43" i="4"/>
  <c r="AZ46" i="4"/>
  <c r="AZ52" i="4"/>
  <c r="AZ38" i="4"/>
  <c r="AZ54" i="4"/>
  <c r="AZ40" i="4"/>
  <c r="AZ51" i="4"/>
  <c r="J24" i="8"/>
  <c r="J24" i="10"/>
  <c r="Y27" i="11" s="1"/>
  <c r="A12" i="2"/>
  <c r="P13" i="4"/>
  <c r="J24" i="9"/>
  <c r="P12" i="3"/>
  <c r="F12" i="3"/>
  <c r="G12" i="3" s="1"/>
  <c r="E6" i="3"/>
  <c r="I6" i="3" s="1"/>
  <c r="J6" i="3" s="1"/>
  <c r="X46" i="1" s="1"/>
  <c r="B13" i="3"/>
  <c r="H13" i="3" s="1"/>
  <c r="BF62" i="3" s="1"/>
  <c r="C12" i="3"/>
  <c r="E12" i="3" s="1"/>
  <c r="AA31" i="13"/>
  <c r="AB31" i="13" s="1"/>
  <c r="AJ31" i="13" s="1"/>
  <c r="AT54" i="2"/>
  <c r="AT55" i="2"/>
  <c r="AT53" i="2"/>
  <c r="AT56" i="2"/>
  <c r="AT44" i="2"/>
  <c r="AT39" i="2"/>
  <c r="AT40" i="2"/>
  <c r="AT45" i="2"/>
  <c r="AT52" i="2"/>
  <c r="AT46" i="2"/>
  <c r="AT42" i="2"/>
  <c r="AT41" i="2"/>
  <c r="AT48" i="2"/>
  <c r="AT38" i="2"/>
  <c r="AT49" i="2"/>
  <c r="AT50" i="2"/>
  <c r="AT43" i="2"/>
  <c r="AT47" i="2"/>
  <c r="AT51" i="2"/>
  <c r="D63" i="1"/>
  <c r="C64" i="1"/>
  <c r="Q12" i="4"/>
  <c r="R12" i="4" s="1"/>
  <c r="G24" i="1"/>
  <c r="H24" i="1" s="1"/>
  <c r="I11" i="3"/>
  <c r="J11" i="3" s="1"/>
  <c r="X41" i="1" s="1"/>
  <c r="Q11" i="2"/>
  <c r="R11" i="2" s="1"/>
  <c r="P12" i="2"/>
  <c r="B25" i="10"/>
  <c r="L23" i="10"/>
  <c r="B25" i="9"/>
  <c r="E25" i="9" s="1"/>
  <c r="L4" i="2"/>
  <c r="L4" i="4"/>
  <c r="L4" i="3"/>
  <c r="I10" i="3"/>
  <c r="J10" i="3" s="1"/>
  <c r="X42" i="1" s="1"/>
  <c r="I9" i="2"/>
  <c r="J9" i="2" s="1"/>
  <c r="W42" i="1" s="1"/>
  <c r="I5" i="2"/>
  <c r="J5" i="2" s="1"/>
  <c r="W46" i="1" s="1"/>
  <c r="I11" i="4"/>
  <c r="J11" i="4" s="1"/>
  <c r="Y40" i="1" s="1"/>
  <c r="I9" i="3"/>
  <c r="J9" i="3" s="1"/>
  <c r="X43" i="1" s="1"/>
  <c r="I6" i="4"/>
  <c r="J6" i="4" s="1"/>
  <c r="Y45" i="1" s="1"/>
  <c r="I8" i="3"/>
  <c r="J8" i="3" s="1"/>
  <c r="X44" i="1" s="1"/>
  <c r="I5" i="3"/>
  <c r="J5" i="3" s="1"/>
  <c r="X47" i="1" s="1"/>
  <c r="I7" i="2"/>
  <c r="J7" i="2" s="1"/>
  <c r="W44" i="1" s="1"/>
  <c r="I10" i="2"/>
  <c r="J10" i="2" s="1"/>
  <c r="W41" i="1" s="1"/>
  <c r="I7" i="4"/>
  <c r="J7" i="4" s="1"/>
  <c r="Y44" i="1" s="1"/>
  <c r="I9" i="4"/>
  <c r="J9" i="4" s="1"/>
  <c r="Y42" i="1" s="1"/>
  <c r="I5" i="4"/>
  <c r="J5" i="4" s="1"/>
  <c r="Y46" i="1" s="1"/>
  <c r="I6" i="2"/>
  <c r="J6" i="2" s="1"/>
  <c r="W45" i="1" s="1"/>
  <c r="I10" i="4"/>
  <c r="J10" i="4" s="1"/>
  <c r="Y41" i="1" s="1"/>
  <c r="I7" i="3"/>
  <c r="J7" i="3" s="1"/>
  <c r="X45" i="1" s="1"/>
  <c r="I8" i="2"/>
  <c r="J8" i="2" s="1"/>
  <c r="W43" i="1" s="1"/>
  <c r="I8" i="4"/>
  <c r="J8" i="4" s="1"/>
  <c r="Y43" i="1" s="1"/>
  <c r="E11" i="2"/>
  <c r="I11" i="2" s="1"/>
  <c r="J11" i="2" s="1"/>
  <c r="W40" i="1" s="1"/>
  <c r="C12" i="2"/>
  <c r="F12" i="2"/>
  <c r="G12" i="2" s="1"/>
  <c r="E12" i="4"/>
  <c r="I12" i="4" s="1"/>
  <c r="F13" i="4"/>
  <c r="G13" i="4" s="1"/>
  <c r="B14" i="4"/>
  <c r="H14" i="4" s="1"/>
  <c r="C13" i="4"/>
  <c r="B14" i="3"/>
  <c r="H14" i="3" s="1"/>
  <c r="C13" i="3"/>
  <c r="F13" i="3"/>
  <c r="G13" i="3" s="1"/>
  <c r="B13" i="2"/>
  <c r="H13" i="2" s="1"/>
  <c r="BL54" i="4" l="1"/>
  <c r="BL55" i="4"/>
  <c r="BL56" i="4"/>
  <c r="AU38" i="2"/>
  <c r="BF56" i="2"/>
  <c r="BF57" i="2"/>
  <c r="BF55" i="2"/>
  <c r="E25" i="10"/>
  <c r="J25" i="10" s="1"/>
  <c r="L25" i="10" s="1"/>
  <c r="BL61" i="3"/>
  <c r="BL62" i="3"/>
  <c r="BA38" i="4"/>
  <c r="AJ30" i="13"/>
  <c r="L24" i="8"/>
  <c r="N9" i="8" s="1"/>
  <c r="W27" i="11"/>
  <c r="X28" i="11"/>
  <c r="L24" i="9"/>
  <c r="J25" i="9"/>
  <c r="P14" i="3"/>
  <c r="AR9" i="1"/>
  <c r="E6" i="13"/>
  <c r="AE27" i="13"/>
  <c r="AF27" i="13" s="1"/>
  <c r="P13" i="3"/>
  <c r="A13" i="2"/>
  <c r="P14" i="4"/>
  <c r="BF38" i="4"/>
  <c r="BF40" i="4"/>
  <c r="BF39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4" i="4"/>
  <c r="BF53" i="4"/>
  <c r="AZ62" i="3"/>
  <c r="AZ52" i="3"/>
  <c r="AZ55" i="3"/>
  <c r="AZ58" i="3"/>
  <c r="AZ59" i="3"/>
  <c r="AZ60" i="3"/>
  <c r="AZ47" i="3"/>
  <c r="AZ43" i="3"/>
  <c r="AZ50" i="3"/>
  <c r="AZ53" i="3"/>
  <c r="AZ48" i="3"/>
  <c r="AZ51" i="3"/>
  <c r="AZ56" i="3"/>
  <c r="AZ61" i="3"/>
  <c r="AZ57" i="3"/>
  <c r="AZ46" i="3"/>
  <c r="AZ49" i="3"/>
  <c r="AZ54" i="3"/>
  <c r="AZ45" i="3"/>
  <c r="AZ44" i="3"/>
  <c r="BF60" i="3"/>
  <c r="BF61" i="3"/>
  <c r="BF43" i="3"/>
  <c r="BF45" i="3"/>
  <c r="BF46" i="3"/>
  <c r="BF47" i="3"/>
  <c r="BF48" i="3"/>
  <c r="BF49" i="3"/>
  <c r="BF50" i="3"/>
  <c r="BF51" i="3"/>
  <c r="BF52" i="3"/>
  <c r="BF53" i="3"/>
  <c r="BF54" i="3"/>
  <c r="BF44" i="3"/>
  <c r="BF55" i="3"/>
  <c r="BF56" i="3"/>
  <c r="BF57" i="3"/>
  <c r="BF59" i="3"/>
  <c r="BF58" i="3"/>
  <c r="Q12" i="3"/>
  <c r="R12" i="3" s="1"/>
  <c r="I12" i="3"/>
  <c r="J12" i="3" s="1"/>
  <c r="X40" i="1" s="1"/>
  <c r="AZ55" i="2"/>
  <c r="AZ52" i="2"/>
  <c r="AZ53" i="2"/>
  <c r="AZ54" i="2"/>
  <c r="AZ44" i="2"/>
  <c r="AZ38" i="2"/>
  <c r="AZ39" i="2"/>
  <c r="AZ48" i="2"/>
  <c r="AZ43" i="2"/>
  <c r="AZ41" i="2"/>
  <c r="AZ51" i="2"/>
  <c r="AZ49" i="2"/>
  <c r="AZ47" i="2"/>
  <c r="AZ45" i="2"/>
  <c r="AZ40" i="2"/>
  <c r="AZ42" i="2"/>
  <c r="AZ50" i="2"/>
  <c r="AZ46" i="2"/>
  <c r="C63" i="1"/>
  <c r="C65" i="1"/>
  <c r="Q12" i="2"/>
  <c r="R12" i="2" s="1"/>
  <c r="Q13" i="4"/>
  <c r="R13" i="4" s="1"/>
  <c r="Q13" i="3"/>
  <c r="R13" i="3" s="1"/>
  <c r="P13" i="2"/>
  <c r="B26" i="9"/>
  <c r="L24" i="10"/>
  <c r="L8" i="2"/>
  <c r="L10" i="2"/>
  <c r="L9" i="2"/>
  <c r="L7" i="3"/>
  <c r="L7" i="2"/>
  <c r="L10" i="3"/>
  <c r="L10" i="4"/>
  <c r="L5" i="3"/>
  <c r="L8" i="4"/>
  <c r="L6" i="2"/>
  <c r="L8" i="3"/>
  <c r="L5" i="4"/>
  <c r="L6" i="4"/>
  <c r="L6" i="3"/>
  <c r="L11" i="2"/>
  <c r="L11" i="3"/>
  <c r="L9" i="4"/>
  <c r="L9" i="3"/>
  <c r="L5" i="2"/>
  <c r="L11" i="4"/>
  <c r="L7" i="4"/>
  <c r="J12" i="4"/>
  <c r="Y39" i="1" s="1"/>
  <c r="E12" i="2"/>
  <c r="I12" i="2" s="1"/>
  <c r="F13" i="2"/>
  <c r="C13" i="2"/>
  <c r="E13" i="4"/>
  <c r="I13" i="4" s="1"/>
  <c r="B15" i="4"/>
  <c r="H15" i="4" s="1"/>
  <c r="C14" i="4"/>
  <c r="F14" i="4"/>
  <c r="G14" i="4" s="1"/>
  <c r="E13" i="3"/>
  <c r="I13" i="3" s="1"/>
  <c r="J13" i="3" s="1"/>
  <c r="X39" i="1" s="1"/>
  <c r="F14" i="3"/>
  <c r="G14" i="3" s="1"/>
  <c r="B15" i="3"/>
  <c r="H15" i="3" s="1"/>
  <c r="C14" i="3"/>
  <c r="B14" i="2"/>
  <c r="H14" i="2" s="1"/>
  <c r="N10" i="10" l="1"/>
  <c r="N6" i="10"/>
  <c r="BR53" i="4"/>
  <c r="BR54" i="4"/>
  <c r="BR55" i="4"/>
  <c r="N6" i="8"/>
  <c r="J10" i="13" s="1"/>
  <c r="K10" i="13" s="1"/>
  <c r="BR61" i="3"/>
  <c r="BR60" i="3"/>
  <c r="BR62" i="3"/>
  <c r="E26" i="9"/>
  <c r="J26" i="9" s="1"/>
  <c r="L26" i="9" s="1"/>
  <c r="N6" i="9" s="1"/>
  <c r="BL56" i="2"/>
  <c r="BL54" i="2"/>
  <c r="BL55" i="2"/>
  <c r="BA43" i="3"/>
  <c r="AA29" i="13" s="1"/>
  <c r="AB29" i="13" s="1"/>
  <c r="BG38" i="4"/>
  <c r="BG43" i="3"/>
  <c r="BA38" i="2"/>
  <c r="B63" i="1"/>
  <c r="W28" i="13"/>
  <c r="X28" i="13" s="1"/>
  <c r="X27" i="11"/>
  <c r="L25" i="9"/>
  <c r="P15" i="4"/>
  <c r="A14" i="2"/>
  <c r="P15" i="3"/>
  <c r="BL46" i="4"/>
  <c r="BL44" i="4"/>
  <c r="BL39" i="4"/>
  <c r="BL49" i="4"/>
  <c r="BL52" i="4"/>
  <c r="BL51" i="4"/>
  <c r="BL48" i="4"/>
  <c r="BL42" i="4"/>
  <c r="BL47" i="4"/>
  <c r="BL41" i="4"/>
  <c r="BL53" i="4"/>
  <c r="BL50" i="4"/>
  <c r="BL45" i="4"/>
  <c r="BL43" i="4"/>
  <c r="BL38" i="4"/>
  <c r="BL40" i="4"/>
  <c r="J12" i="13"/>
  <c r="K12" i="13" s="1"/>
  <c r="AA28" i="13"/>
  <c r="AB28" i="13" s="1"/>
  <c r="BL59" i="3"/>
  <c r="BL54" i="3"/>
  <c r="BL55" i="3"/>
  <c r="BL44" i="3"/>
  <c r="BL58" i="3"/>
  <c r="BL43" i="3"/>
  <c r="BL49" i="3"/>
  <c r="BL52" i="3"/>
  <c r="BL53" i="3"/>
  <c r="BL46" i="3"/>
  <c r="BL47" i="3"/>
  <c r="BL48" i="3"/>
  <c r="BL60" i="3"/>
  <c r="BL51" i="3"/>
  <c r="BL50" i="3"/>
  <c r="BL45" i="3"/>
  <c r="BL56" i="3"/>
  <c r="BL57" i="3"/>
  <c r="BF41" i="2"/>
  <c r="BF49" i="2"/>
  <c r="BF42" i="2"/>
  <c r="BF43" i="2"/>
  <c r="BF51" i="2"/>
  <c r="BF45" i="2"/>
  <c r="BF53" i="2"/>
  <c r="BF39" i="2"/>
  <c r="BF38" i="2"/>
  <c r="BF40" i="2"/>
  <c r="BF44" i="2"/>
  <c r="BF52" i="2"/>
  <c r="BF46" i="2"/>
  <c r="BF54" i="2"/>
  <c r="BF47" i="2"/>
  <c r="BF48" i="2"/>
  <c r="BF50" i="2"/>
  <c r="AX2" i="11"/>
  <c r="G13" i="2"/>
  <c r="D61" i="1"/>
  <c r="D62" i="1"/>
  <c r="Q14" i="4"/>
  <c r="R14" i="4" s="1"/>
  <c r="Q13" i="2"/>
  <c r="R13" i="2" s="1"/>
  <c r="Q14" i="3"/>
  <c r="R14" i="3" s="1"/>
  <c r="P14" i="2"/>
  <c r="T4" i="10"/>
  <c r="L12" i="4"/>
  <c r="L12" i="3"/>
  <c r="L13" i="3"/>
  <c r="J13" i="4"/>
  <c r="Y38" i="1" s="1"/>
  <c r="J12" i="2"/>
  <c r="W39" i="1" s="1"/>
  <c r="C14" i="2"/>
  <c r="F14" i="2"/>
  <c r="G14" i="2" s="1"/>
  <c r="E13" i="2"/>
  <c r="E14" i="4"/>
  <c r="I14" i="4" s="1"/>
  <c r="B16" i="4"/>
  <c r="H16" i="4" s="1"/>
  <c r="C15" i="4"/>
  <c r="F15" i="4"/>
  <c r="G15" i="4" s="1"/>
  <c r="E14" i="3"/>
  <c r="I14" i="3" s="1"/>
  <c r="F15" i="3"/>
  <c r="G15" i="3" s="1"/>
  <c r="B16" i="3"/>
  <c r="H16" i="3" s="1"/>
  <c r="C15" i="3"/>
  <c r="B15" i="2"/>
  <c r="H15" i="2" s="1"/>
  <c r="N10" i="9" l="1"/>
  <c r="BX53" i="4"/>
  <c r="BX54" i="4"/>
  <c r="BX52" i="4"/>
  <c r="BR55" i="2"/>
  <c r="BR53" i="2"/>
  <c r="BR54" i="2"/>
  <c r="BM38" i="4"/>
  <c r="AE26" i="13"/>
  <c r="AF26" i="13" s="1"/>
  <c r="BG38" i="2"/>
  <c r="BX60" i="3"/>
  <c r="BX59" i="3"/>
  <c r="BX61" i="3"/>
  <c r="BM43" i="3"/>
  <c r="AA27" i="13" s="1"/>
  <c r="AB27" i="13" s="1"/>
  <c r="AJ28" i="13"/>
  <c r="B62" i="1"/>
  <c r="W27" i="13"/>
  <c r="X27" i="13" s="1"/>
  <c r="A15" i="2"/>
  <c r="BR48" i="4"/>
  <c r="BR49" i="4"/>
  <c r="BR50" i="4"/>
  <c r="BR51" i="4"/>
  <c r="BR52" i="4"/>
  <c r="BR44" i="4"/>
  <c r="BR45" i="4"/>
  <c r="BR40" i="4"/>
  <c r="BR43" i="4"/>
  <c r="BR46" i="4"/>
  <c r="BR39" i="4"/>
  <c r="BR38" i="4"/>
  <c r="BR41" i="4"/>
  <c r="BR47" i="4"/>
  <c r="BR42" i="4"/>
  <c r="P16" i="4"/>
  <c r="P16" i="3"/>
  <c r="BR59" i="3"/>
  <c r="BR58" i="3"/>
  <c r="BR53" i="3"/>
  <c r="BR54" i="3"/>
  <c r="BR55" i="3"/>
  <c r="BR56" i="3"/>
  <c r="BR57" i="3"/>
  <c r="BR49" i="3"/>
  <c r="BR45" i="3"/>
  <c r="BR51" i="3"/>
  <c r="BR44" i="3"/>
  <c r="BR52" i="3"/>
  <c r="BR46" i="3"/>
  <c r="BR48" i="3"/>
  <c r="BR43" i="3"/>
  <c r="BR47" i="3"/>
  <c r="BR50" i="3"/>
  <c r="BL53" i="2"/>
  <c r="BL51" i="2"/>
  <c r="BL50" i="2"/>
  <c r="BL52" i="2"/>
  <c r="I13" i="2"/>
  <c r="J13" i="2" s="1"/>
  <c r="W38" i="1" s="1"/>
  <c r="AX3" i="11"/>
  <c r="AX4" i="11"/>
  <c r="BL42" i="2"/>
  <c r="BL47" i="2"/>
  <c r="BL40" i="2"/>
  <c r="BL38" i="2"/>
  <c r="BL48" i="2"/>
  <c r="BL45" i="2"/>
  <c r="BL41" i="2"/>
  <c r="BL46" i="2"/>
  <c r="BL49" i="2"/>
  <c r="BL44" i="2"/>
  <c r="BL39" i="2"/>
  <c r="BL43" i="2"/>
  <c r="C62" i="1"/>
  <c r="Q14" i="2"/>
  <c r="R14" i="2" s="1"/>
  <c r="Q15" i="4"/>
  <c r="R15" i="4" s="1"/>
  <c r="Q15" i="3"/>
  <c r="R15" i="3" s="1"/>
  <c r="P15" i="2"/>
  <c r="W26" i="11"/>
  <c r="Y26" i="11"/>
  <c r="AD26" i="11" s="1"/>
  <c r="AD27" i="11" s="1"/>
  <c r="AD28" i="11" s="1"/>
  <c r="AD29" i="11" s="1"/>
  <c r="AD30" i="11" s="1"/>
  <c r="AD31" i="11" s="1"/>
  <c r="AD32" i="11" s="1"/>
  <c r="AD33" i="11" s="1"/>
  <c r="AD34" i="11" s="1"/>
  <c r="AD35" i="11" s="1"/>
  <c r="AD36" i="11" s="1"/>
  <c r="AD37" i="11" s="1"/>
  <c r="AD38" i="11" s="1"/>
  <c r="AD39" i="11" s="1"/>
  <c r="AD40" i="11" s="1"/>
  <c r="AD41" i="11" s="1"/>
  <c r="AD42" i="11" s="1"/>
  <c r="AD43" i="11" s="1"/>
  <c r="AD44" i="11" s="1"/>
  <c r="AD45" i="11" s="1"/>
  <c r="AD46" i="11" s="1"/>
  <c r="AD47" i="11" s="1"/>
  <c r="T4" i="9"/>
  <c r="L13" i="4"/>
  <c r="L12" i="2"/>
  <c r="J14" i="3"/>
  <c r="X38" i="1" s="1"/>
  <c r="J14" i="4"/>
  <c r="Y37" i="1" s="1"/>
  <c r="E14" i="2"/>
  <c r="I14" i="2" s="1"/>
  <c r="J14" i="2" s="1"/>
  <c r="W37" i="1" s="1"/>
  <c r="F15" i="2"/>
  <c r="G15" i="2" s="1"/>
  <c r="C15" i="2"/>
  <c r="E15" i="4"/>
  <c r="I15" i="4" s="1"/>
  <c r="B17" i="4"/>
  <c r="H17" i="4" s="1"/>
  <c r="C16" i="4"/>
  <c r="F16" i="4"/>
  <c r="G16" i="4" s="1"/>
  <c r="E15" i="3"/>
  <c r="I15" i="3" s="1"/>
  <c r="F16" i="3"/>
  <c r="G16" i="3" s="1"/>
  <c r="B17" i="3"/>
  <c r="H17" i="3" s="1"/>
  <c r="C16" i="3"/>
  <c r="B16" i="2"/>
  <c r="H16" i="2" s="1"/>
  <c r="BS43" i="3" l="1"/>
  <c r="CD52" i="4"/>
  <c r="CD51" i="4"/>
  <c r="CD53" i="4"/>
  <c r="BX53" i="2"/>
  <c r="BX54" i="2"/>
  <c r="BX52" i="2"/>
  <c r="BM38" i="2"/>
  <c r="BS38" i="4"/>
  <c r="AE25" i="13"/>
  <c r="AF25" i="13" s="1"/>
  <c r="CD60" i="3"/>
  <c r="CD58" i="3"/>
  <c r="CD59" i="3"/>
  <c r="AJ27" i="13"/>
  <c r="B61" i="1"/>
  <c r="W26" i="13"/>
  <c r="X26" i="13" s="1"/>
  <c r="BX44" i="4"/>
  <c r="BX38" i="4"/>
  <c r="BX48" i="4"/>
  <c r="BX40" i="4"/>
  <c r="BX49" i="4"/>
  <c r="BX51" i="4"/>
  <c r="BX39" i="4"/>
  <c r="BX46" i="4"/>
  <c r="BX43" i="4"/>
  <c r="BX41" i="4"/>
  <c r="BX47" i="4"/>
  <c r="BX50" i="4"/>
  <c r="BX45" i="4"/>
  <c r="BX42" i="4"/>
  <c r="P17" i="3"/>
  <c r="A16" i="2"/>
  <c r="L13" i="2"/>
  <c r="AE24" i="13"/>
  <c r="AF24" i="13" s="1"/>
  <c r="P17" i="4"/>
  <c r="AA26" i="13"/>
  <c r="AB26" i="13" s="1"/>
  <c r="BX53" i="3"/>
  <c r="BX56" i="3"/>
  <c r="BX57" i="3"/>
  <c r="BX45" i="3"/>
  <c r="BX51" i="3"/>
  <c r="BX43" i="3"/>
  <c r="BX54" i="3"/>
  <c r="BX58" i="3"/>
  <c r="BX49" i="3"/>
  <c r="BX48" i="3"/>
  <c r="BX46" i="3"/>
  <c r="BX52" i="3"/>
  <c r="BX55" i="3"/>
  <c r="BX44" i="3"/>
  <c r="BX47" i="3"/>
  <c r="BX50" i="3"/>
  <c r="BR49" i="2"/>
  <c r="BR51" i="2"/>
  <c r="BR50" i="2"/>
  <c r="BR52" i="2"/>
  <c r="BR44" i="2"/>
  <c r="BR42" i="2"/>
  <c r="BR40" i="2"/>
  <c r="BR43" i="2"/>
  <c r="BR39" i="2"/>
  <c r="BR46" i="2"/>
  <c r="BR41" i="2"/>
  <c r="BR47" i="2"/>
  <c r="BR45" i="2"/>
  <c r="BR38" i="2"/>
  <c r="AW4" i="11"/>
  <c r="AW2" i="11"/>
  <c r="D59" i="1"/>
  <c r="C61" i="1"/>
  <c r="Q16" i="4"/>
  <c r="R16" i="4" s="1"/>
  <c r="Q15" i="2"/>
  <c r="R15" i="2" s="1"/>
  <c r="BR48" i="2"/>
  <c r="D60" i="1"/>
  <c r="Q16" i="3"/>
  <c r="R16" i="3" s="1"/>
  <c r="P16" i="2"/>
  <c r="AB26" i="11"/>
  <c r="AB27" i="1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AB46" i="11" s="1"/>
  <c r="AB47" i="11" s="1"/>
  <c r="X26" i="11"/>
  <c r="AC26" i="11" s="1"/>
  <c r="AC27" i="11" s="1"/>
  <c r="AC28" i="11" s="1"/>
  <c r="AC29" i="11" s="1"/>
  <c r="AC30" i="11" s="1"/>
  <c r="AC31" i="11" s="1"/>
  <c r="AC32" i="11" s="1"/>
  <c r="AC33" i="11" s="1"/>
  <c r="AC34" i="11" s="1"/>
  <c r="AC35" i="11" s="1"/>
  <c r="AC36" i="11" s="1"/>
  <c r="AC37" i="11" s="1"/>
  <c r="AC38" i="11" s="1"/>
  <c r="AC39" i="11" s="1"/>
  <c r="AC40" i="11" s="1"/>
  <c r="AC41" i="11" s="1"/>
  <c r="AC42" i="11" s="1"/>
  <c r="AC43" i="11" s="1"/>
  <c r="AC44" i="11" s="1"/>
  <c r="AC45" i="11" s="1"/>
  <c r="AC46" i="11" s="1"/>
  <c r="AC47" i="11" s="1"/>
  <c r="AC48" i="11" s="1"/>
  <c r="L14" i="3"/>
  <c r="L14" i="4"/>
  <c r="L14" i="2"/>
  <c r="J15" i="4"/>
  <c r="Y36" i="1" s="1"/>
  <c r="J15" i="3"/>
  <c r="X37" i="1" s="1"/>
  <c r="E15" i="2"/>
  <c r="I15" i="2" s="1"/>
  <c r="C16" i="2"/>
  <c r="F16" i="2"/>
  <c r="G16" i="2" s="1"/>
  <c r="E16" i="4"/>
  <c r="I16" i="4" s="1"/>
  <c r="J16" i="4" s="1"/>
  <c r="Y35" i="1" s="1"/>
  <c r="F17" i="4"/>
  <c r="G17" i="4" s="1"/>
  <c r="B18" i="4"/>
  <c r="H18" i="4" s="1"/>
  <c r="C17" i="4"/>
  <c r="E16" i="3"/>
  <c r="I16" i="3" s="1"/>
  <c r="F17" i="3"/>
  <c r="G17" i="3" s="1"/>
  <c r="B18" i="3"/>
  <c r="H18" i="3" s="1"/>
  <c r="C17" i="3"/>
  <c r="B17" i="2"/>
  <c r="H17" i="2" s="1"/>
  <c r="CJ58" i="3" l="1"/>
  <c r="CJ57" i="3"/>
  <c r="CJ59" i="3"/>
  <c r="BS38" i="2"/>
  <c r="BY43" i="3"/>
  <c r="BY38" i="4"/>
  <c r="AE23" i="13" s="1"/>
  <c r="AF23" i="13" s="1"/>
  <c r="CJ52" i="4"/>
  <c r="CJ50" i="4"/>
  <c r="CJ51" i="4"/>
  <c r="CD52" i="2"/>
  <c r="CD51" i="2"/>
  <c r="CD53" i="2"/>
  <c r="AJ26" i="13"/>
  <c r="B60" i="1"/>
  <c r="W25" i="13"/>
  <c r="X25" i="13" s="1"/>
  <c r="CD44" i="4"/>
  <c r="CD50" i="4"/>
  <c r="CD42" i="4"/>
  <c r="CD46" i="4"/>
  <c r="CD39" i="4"/>
  <c r="CD43" i="4"/>
  <c r="CD48" i="4"/>
  <c r="CD38" i="4"/>
  <c r="CD49" i="4"/>
  <c r="CD40" i="4"/>
  <c r="CD47" i="4"/>
  <c r="CD45" i="4"/>
  <c r="CD41" i="4"/>
  <c r="A17" i="2"/>
  <c r="P18" i="4"/>
  <c r="P18" i="3"/>
  <c r="CD50" i="3"/>
  <c r="CD56" i="3"/>
  <c r="CD48" i="3"/>
  <c r="CD57" i="3"/>
  <c r="CD51" i="3"/>
  <c r="CD47" i="3"/>
  <c r="CD43" i="3"/>
  <c r="CD45" i="3"/>
  <c r="CD46" i="3"/>
  <c r="CD49" i="3"/>
  <c r="CD52" i="3"/>
  <c r="CD53" i="3"/>
  <c r="CD44" i="3"/>
  <c r="CD54" i="3"/>
  <c r="CD55" i="3"/>
  <c r="AA25" i="13"/>
  <c r="AB25" i="13" s="1"/>
  <c r="BX48" i="2"/>
  <c r="BX49" i="2"/>
  <c r="BX51" i="2"/>
  <c r="BX50" i="2"/>
  <c r="AW3" i="11"/>
  <c r="BX44" i="2"/>
  <c r="BX45" i="2"/>
  <c r="BX43" i="2"/>
  <c r="BX41" i="2"/>
  <c r="BX40" i="2"/>
  <c r="BX39" i="2"/>
  <c r="BX42" i="2"/>
  <c r="BX38" i="2"/>
  <c r="BX47" i="2"/>
  <c r="BX46" i="2"/>
  <c r="Q16" i="2"/>
  <c r="R16" i="2" s="1"/>
  <c r="C60" i="1"/>
  <c r="Q17" i="4"/>
  <c r="R17" i="4" s="1"/>
  <c r="C59" i="1"/>
  <c r="Q17" i="3"/>
  <c r="R17" i="3" s="1"/>
  <c r="P17" i="2"/>
  <c r="J16" i="11"/>
  <c r="L15" i="4"/>
  <c r="L15" i="3"/>
  <c r="L16" i="4"/>
  <c r="J16" i="3"/>
  <c r="X36" i="1" s="1"/>
  <c r="J15" i="2"/>
  <c r="W36" i="1" s="1"/>
  <c r="E16" i="2"/>
  <c r="I16" i="2" s="1"/>
  <c r="J16" i="2" s="1"/>
  <c r="W35" i="1" s="1"/>
  <c r="C17" i="2"/>
  <c r="F17" i="2"/>
  <c r="G17" i="2" s="1"/>
  <c r="E17" i="4"/>
  <c r="I17" i="4" s="1"/>
  <c r="F18" i="4"/>
  <c r="G18" i="4" s="1"/>
  <c r="B19" i="4"/>
  <c r="H19" i="4" s="1"/>
  <c r="C18" i="4"/>
  <c r="F18" i="3"/>
  <c r="G18" i="3" s="1"/>
  <c r="B19" i="3"/>
  <c r="H19" i="3" s="1"/>
  <c r="C18" i="3"/>
  <c r="E17" i="3"/>
  <c r="I17" i="3" s="1"/>
  <c r="B18" i="2"/>
  <c r="H18" i="2" s="1"/>
  <c r="CP58" i="3" l="1"/>
  <c r="CP56" i="3"/>
  <c r="CP57" i="3"/>
  <c r="CP50" i="4"/>
  <c r="CP49" i="4"/>
  <c r="CP51" i="4"/>
  <c r="CJ51" i="2"/>
  <c r="CJ50" i="2"/>
  <c r="CJ52" i="2"/>
  <c r="CE43" i="3"/>
  <c r="CE38" i="4"/>
  <c r="BY38" i="2"/>
  <c r="AJ25" i="13"/>
  <c r="B59" i="1"/>
  <c r="W24" i="13"/>
  <c r="X24" i="13" s="1"/>
  <c r="P19" i="3"/>
  <c r="CJ38" i="4"/>
  <c r="CJ41" i="4"/>
  <c r="CJ42" i="4"/>
  <c r="CJ46" i="4"/>
  <c r="CJ39" i="4"/>
  <c r="CJ48" i="4"/>
  <c r="CJ45" i="4"/>
  <c r="CJ49" i="4"/>
  <c r="CJ47" i="4"/>
  <c r="CJ44" i="4"/>
  <c r="CJ40" i="4"/>
  <c r="CJ43" i="4"/>
  <c r="P19" i="4"/>
  <c r="A18" i="2"/>
  <c r="CJ48" i="3"/>
  <c r="CJ46" i="3"/>
  <c r="CJ55" i="3"/>
  <c r="CJ56" i="3"/>
  <c r="CJ44" i="3"/>
  <c r="CJ49" i="3"/>
  <c r="CJ45" i="3"/>
  <c r="CJ47" i="3"/>
  <c r="CJ50" i="3"/>
  <c r="CJ43" i="3"/>
  <c r="CJ52" i="3"/>
  <c r="CJ51" i="3"/>
  <c r="CJ54" i="3"/>
  <c r="CJ53" i="3"/>
  <c r="CD50" i="2"/>
  <c r="CD48" i="2"/>
  <c r="CD47" i="2"/>
  <c r="CD49" i="2"/>
  <c r="C58" i="1"/>
  <c r="D58" i="1"/>
  <c r="Q18" i="4"/>
  <c r="R18" i="4" s="1"/>
  <c r="D57" i="1"/>
  <c r="Q17" i="2"/>
  <c r="R17" i="2" s="1"/>
  <c r="CD41" i="2"/>
  <c r="CD39" i="2"/>
  <c r="CD43" i="2"/>
  <c r="CD40" i="2"/>
  <c r="CD44" i="2"/>
  <c r="CD42" i="2"/>
  <c r="CD46" i="2"/>
  <c r="CD45" i="2"/>
  <c r="CD38" i="2"/>
  <c r="Q18" i="3"/>
  <c r="R18" i="3" s="1"/>
  <c r="P18" i="2"/>
  <c r="J17" i="11"/>
  <c r="M16" i="11"/>
  <c r="L16" i="3"/>
  <c r="L15" i="2"/>
  <c r="L16" i="2"/>
  <c r="J17" i="3"/>
  <c r="X35" i="1" s="1"/>
  <c r="J17" i="4"/>
  <c r="Y34" i="1" s="1"/>
  <c r="C18" i="2"/>
  <c r="F18" i="2"/>
  <c r="G18" i="2" s="1"/>
  <c r="E17" i="2"/>
  <c r="I17" i="2" s="1"/>
  <c r="E18" i="4"/>
  <c r="I18" i="4" s="1"/>
  <c r="F19" i="4"/>
  <c r="G19" i="4" s="1"/>
  <c r="B20" i="4"/>
  <c r="H20" i="4" s="1"/>
  <c r="C19" i="4"/>
  <c r="B20" i="3"/>
  <c r="H20" i="3" s="1"/>
  <c r="C19" i="3"/>
  <c r="F19" i="3"/>
  <c r="G19" i="3" s="1"/>
  <c r="E18" i="3"/>
  <c r="I18" i="3" s="1"/>
  <c r="B19" i="2"/>
  <c r="H19" i="2" s="1"/>
  <c r="AE22" i="13" l="1"/>
  <c r="AF22" i="13" s="1"/>
  <c r="CE38" i="2"/>
  <c r="CV49" i="4"/>
  <c r="CV50" i="4"/>
  <c r="CV48" i="4"/>
  <c r="CK38" i="4"/>
  <c r="CP51" i="2"/>
  <c r="CP49" i="2"/>
  <c r="CP50" i="2"/>
  <c r="CK43" i="3"/>
  <c r="AA23" i="13" s="1"/>
  <c r="AB23" i="13" s="1"/>
  <c r="CV56" i="3"/>
  <c r="CV55" i="3"/>
  <c r="CV57" i="3"/>
  <c r="AA24" i="13"/>
  <c r="AB24" i="13" s="1"/>
  <c r="AJ24" i="13" s="1"/>
  <c r="W22" i="13"/>
  <c r="X22" i="13" s="1"/>
  <c r="B58" i="1"/>
  <c r="W23" i="13"/>
  <c r="X23" i="13" s="1"/>
  <c r="P20" i="4"/>
  <c r="CP39" i="4"/>
  <c r="CP41" i="4"/>
  <c r="CP38" i="4"/>
  <c r="CP47" i="4"/>
  <c r="CP44" i="4"/>
  <c r="CP42" i="4"/>
  <c r="CP45" i="4"/>
  <c r="CP40" i="4"/>
  <c r="CP48" i="4"/>
  <c r="CP43" i="4"/>
  <c r="CP46" i="4"/>
  <c r="P20" i="3"/>
  <c r="A19" i="2"/>
  <c r="CP50" i="3"/>
  <c r="CP55" i="3"/>
  <c r="CP49" i="3"/>
  <c r="CP51" i="3"/>
  <c r="CP47" i="3"/>
  <c r="CP54" i="3"/>
  <c r="CP45" i="3"/>
  <c r="CP43" i="3"/>
  <c r="CP46" i="3"/>
  <c r="CP48" i="3"/>
  <c r="CP52" i="3"/>
  <c r="CP53" i="3"/>
  <c r="CP44" i="3"/>
  <c r="CJ49" i="2"/>
  <c r="CJ46" i="2"/>
  <c r="CJ47" i="2"/>
  <c r="CJ48" i="2"/>
  <c r="Q18" i="2"/>
  <c r="R18" i="2" s="1"/>
  <c r="CJ45" i="2"/>
  <c r="CJ44" i="2"/>
  <c r="CJ41" i="2"/>
  <c r="CJ43" i="2"/>
  <c r="CJ38" i="2"/>
  <c r="CJ40" i="2"/>
  <c r="CJ39" i="2"/>
  <c r="CJ42" i="2"/>
  <c r="Q19" i="4"/>
  <c r="R19" i="4" s="1"/>
  <c r="D56" i="1"/>
  <c r="C57" i="1"/>
  <c r="Q19" i="3"/>
  <c r="R19" i="3" s="1"/>
  <c r="P19" i="2"/>
  <c r="M17" i="11"/>
  <c r="G32" i="11"/>
  <c r="H32" i="11" s="1"/>
  <c r="H33" i="11" s="1"/>
  <c r="L17" i="4"/>
  <c r="L17" i="3"/>
  <c r="J18" i="3"/>
  <c r="X34" i="1" s="1"/>
  <c r="J17" i="2"/>
  <c r="W34" i="1" s="1"/>
  <c r="J18" i="4"/>
  <c r="Y33" i="1" s="1"/>
  <c r="E18" i="2"/>
  <c r="I18" i="2" s="1"/>
  <c r="C19" i="2"/>
  <c r="F19" i="2"/>
  <c r="G19" i="2" s="1"/>
  <c r="F20" i="4"/>
  <c r="G20" i="4" s="1"/>
  <c r="B21" i="4"/>
  <c r="H21" i="4" s="1"/>
  <c r="C20" i="4"/>
  <c r="E19" i="4"/>
  <c r="I19" i="4" s="1"/>
  <c r="E19" i="3"/>
  <c r="I19" i="3" s="1"/>
  <c r="B21" i="3"/>
  <c r="H21" i="3" s="1"/>
  <c r="C20" i="3"/>
  <c r="F20" i="3"/>
  <c r="G20" i="3" s="1"/>
  <c r="B20" i="2"/>
  <c r="H20" i="2" s="1"/>
  <c r="DB55" i="3" l="1"/>
  <c r="DB54" i="3"/>
  <c r="DB56" i="3"/>
  <c r="CQ38" i="4"/>
  <c r="DB48" i="4"/>
  <c r="DB49" i="4"/>
  <c r="DB47" i="4"/>
  <c r="CV49" i="2"/>
  <c r="CV48" i="2"/>
  <c r="CV50" i="2"/>
  <c r="AJ23" i="13"/>
  <c r="CQ43" i="3"/>
  <c r="CK38" i="2"/>
  <c r="W21" i="13" s="1"/>
  <c r="X21" i="13" s="1"/>
  <c r="B57" i="1"/>
  <c r="AE20" i="13"/>
  <c r="AF20" i="13" s="1"/>
  <c r="AE21" i="13"/>
  <c r="AF21" i="13" s="1"/>
  <c r="P21" i="3"/>
  <c r="CV40" i="4"/>
  <c r="CV38" i="4"/>
  <c r="CV39" i="4"/>
  <c r="CV44" i="4"/>
  <c r="CV46" i="4"/>
  <c r="CV41" i="4"/>
  <c r="CV47" i="4"/>
  <c r="CV45" i="4"/>
  <c r="CV42" i="4"/>
  <c r="CV43" i="4"/>
  <c r="P21" i="4"/>
  <c r="A20" i="2"/>
  <c r="CV46" i="3"/>
  <c r="CV50" i="3"/>
  <c r="CV53" i="3"/>
  <c r="CV54" i="3"/>
  <c r="CV47" i="3"/>
  <c r="CV48" i="3"/>
  <c r="CV44" i="3"/>
  <c r="CV43" i="3"/>
  <c r="CV51" i="3"/>
  <c r="CV45" i="3"/>
  <c r="CV49" i="3"/>
  <c r="CV52" i="3"/>
  <c r="CP45" i="2"/>
  <c r="CP46" i="2"/>
  <c r="CP47" i="2"/>
  <c r="CP48" i="2"/>
  <c r="Q20" i="4"/>
  <c r="R20" i="4" s="1"/>
  <c r="CP40" i="2"/>
  <c r="CP42" i="2"/>
  <c r="CP39" i="2"/>
  <c r="CP43" i="2"/>
  <c r="CP41" i="2"/>
  <c r="CP44" i="2"/>
  <c r="CP38" i="2"/>
  <c r="C56" i="1"/>
  <c r="D55" i="1"/>
  <c r="Q20" i="3"/>
  <c r="R20" i="3" s="1"/>
  <c r="P20" i="2"/>
  <c r="Q19" i="2"/>
  <c r="R19" i="2" s="1"/>
  <c r="L18" i="4"/>
  <c r="L17" i="2"/>
  <c r="L18" i="3"/>
  <c r="J19" i="3"/>
  <c r="X33" i="1" s="1"/>
  <c r="J19" i="4"/>
  <c r="Y32" i="1" s="1"/>
  <c r="J18" i="2"/>
  <c r="W33" i="1" s="1"/>
  <c r="E19" i="2"/>
  <c r="I19" i="2" s="1"/>
  <c r="F20" i="2"/>
  <c r="G20" i="2" s="1"/>
  <c r="C20" i="2"/>
  <c r="F21" i="4"/>
  <c r="G21" i="4" s="1"/>
  <c r="B22" i="4"/>
  <c r="H22" i="4" s="1"/>
  <c r="C21" i="4"/>
  <c r="E20" i="4"/>
  <c r="I20" i="4" s="1"/>
  <c r="E20" i="3"/>
  <c r="I20" i="3" s="1"/>
  <c r="B22" i="3"/>
  <c r="H22" i="3" s="1"/>
  <c r="C21" i="3"/>
  <c r="F21" i="3"/>
  <c r="G21" i="3" s="1"/>
  <c r="B21" i="2"/>
  <c r="H21" i="2" s="1"/>
  <c r="DH48" i="4" l="1"/>
  <c r="DH47" i="4"/>
  <c r="DH46" i="4"/>
  <c r="CQ38" i="2"/>
  <c r="CW43" i="3"/>
  <c r="AA21" i="13" s="1"/>
  <c r="AB21" i="13" s="1"/>
  <c r="AJ21" i="13" s="1"/>
  <c r="DB49" i="2"/>
  <c r="DB47" i="2"/>
  <c r="DB48" i="2"/>
  <c r="DH54" i="3"/>
  <c r="DH55" i="3"/>
  <c r="DH53" i="3"/>
  <c r="CW38" i="4"/>
  <c r="B56" i="1"/>
  <c r="AA22" i="13"/>
  <c r="AB22" i="13" s="1"/>
  <c r="AJ22" i="13" s="1"/>
  <c r="W20" i="13"/>
  <c r="X20" i="13" s="1"/>
  <c r="DB38" i="4"/>
  <c r="DB39" i="4"/>
  <c r="DB42" i="4"/>
  <c r="DB41" i="4"/>
  <c r="DB44" i="4"/>
  <c r="DB43" i="4"/>
  <c r="DB46" i="4"/>
  <c r="DB40" i="4"/>
  <c r="DB45" i="4"/>
  <c r="P22" i="3"/>
  <c r="P22" i="4"/>
  <c r="A21" i="2"/>
  <c r="DB44" i="3"/>
  <c r="DB45" i="3"/>
  <c r="DB53" i="3"/>
  <c r="DB46" i="3"/>
  <c r="DB43" i="3"/>
  <c r="DB49" i="3"/>
  <c r="DB52" i="3"/>
  <c r="DB51" i="3"/>
  <c r="DB47" i="3"/>
  <c r="DB50" i="3"/>
  <c r="DB48" i="3"/>
  <c r="CV46" i="2"/>
  <c r="CV45" i="2"/>
  <c r="CV44" i="2"/>
  <c r="CV47" i="2"/>
  <c r="D54" i="1"/>
  <c r="Q20" i="2"/>
  <c r="R20" i="2" s="1"/>
  <c r="CV40" i="2"/>
  <c r="CV43" i="2"/>
  <c r="CV38" i="2"/>
  <c r="CV41" i="2"/>
  <c r="CV39" i="2"/>
  <c r="CV42" i="2"/>
  <c r="Q21" i="4"/>
  <c r="R21" i="4" s="1"/>
  <c r="Q21" i="3"/>
  <c r="R21" i="3" s="1"/>
  <c r="P21" i="2"/>
  <c r="L19" i="3"/>
  <c r="L19" i="4"/>
  <c r="L18" i="2"/>
  <c r="J20" i="4"/>
  <c r="Y31" i="1" s="1"/>
  <c r="J19" i="2"/>
  <c r="W32" i="1" s="1"/>
  <c r="J20" i="3"/>
  <c r="X32" i="1" s="1"/>
  <c r="E20" i="2"/>
  <c r="I20" i="2" s="1"/>
  <c r="J20" i="2" s="1"/>
  <c r="W31" i="1" s="1"/>
  <c r="F21" i="2"/>
  <c r="G21" i="2" s="1"/>
  <c r="C21" i="2"/>
  <c r="E21" i="4"/>
  <c r="I21" i="4" s="1"/>
  <c r="B23" i="4"/>
  <c r="H23" i="4" s="1"/>
  <c r="C22" i="4"/>
  <c r="F22" i="4"/>
  <c r="G22" i="4" s="1"/>
  <c r="E21" i="3"/>
  <c r="I21" i="3" s="1"/>
  <c r="F22" i="3"/>
  <c r="G22" i="3" s="1"/>
  <c r="B23" i="3"/>
  <c r="H23" i="3" s="1"/>
  <c r="C22" i="3"/>
  <c r="B22" i="2"/>
  <c r="H22" i="2" s="1"/>
  <c r="DC43" i="3" l="1"/>
  <c r="DC38" i="4"/>
  <c r="DN46" i="4"/>
  <c r="DN45" i="4"/>
  <c r="DN47" i="4"/>
  <c r="CW38" i="2"/>
  <c r="W19" i="13" s="1"/>
  <c r="X19" i="13" s="1"/>
  <c r="DH48" i="2"/>
  <c r="DH46" i="2"/>
  <c r="DH47" i="2"/>
  <c r="DN53" i="3"/>
  <c r="DN54" i="3"/>
  <c r="DN52" i="3"/>
  <c r="B55" i="1"/>
  <c r="AE18" i="13"/>
  <c r="AF18" i="13" s="1"/>
  <c r="AE19" i="13"/>
  <c r="AF19" i="13" s="1"/>
  <c r="DH38" i="4"/>
  <c r="DH44" i="4"/>
  <c r="DH40" i="4"/>
  <c r="DH45" i="4"/>
  <c r="DH39" i="4"/>
  <c r="DH42" i="4"/>
  <c r="DH43" i="4"/>
  <c r="DH41" i="4"/>
  <c r="DN40" i="4"/>
  <c r="DN43" i="4"/>
  <c r="DN39" i="4"/>
  <c r="DN41" i="4"/>
  <c r="DN38" i="4"/>
  <c r="DN44" i="4"/>
  <c r="DN42" i="4"/>
  <c r="A22" i="2"/>
  <c r="DH45" i="3"/>
  <c r="DH48" i="3"/>
  <c r="DH52" i="3"/>
  <c r="DH51" i="3"/>
  <c r="DH49" i="3"/>
  <c r="DH47" i="3"/>
  <c r="DH43" i="3"/>
  <c r="DH46" i="3"/>
  <c r="DH44" i="3"/>
  <c r="DH50" i="3"/>
  <c r="DB45" i="2"/>
  <c r="DB43" i="2"/>
  <c r="DB46" i="2"/>
  <c r="DB44" i="2"/>
  <c r="B54" i="1"/>
  <c r="Q22" i="4"/>
  <c r="R22" i="4" s="1"/>
  <c r="Q21" i="2"/>
  <c r="R21" i="2" s="1"/>
  <c r="DB42" i="2"/>
  <c r="DB39" i="2"/>
  <c r="DB40" i="2"/>
  <c r="DB41" i="2"/>
  <c r="DB38" i="2"/>
  <c r="C54" i="1"/>
  <c r="C55" i="1"/>
  <c r="Q22" i="3"/>
  <c r="R22" i="3" s="1"/>
  <c r="P22" i="2"/>
  <c r="L19" i="2"/>
  <c r="L20" i="4"/>
  <c r="L20" i="2"/>
  <c r="L20" i="3"/>
  <c r="B24" i="4"/>
  <c r="H24" i="4" s="1"/>
  <c r="P23" i="4"/>
  <c r="B24" i="3"/>
  <c r="H24" i="3" s="1"/>
  <c r="P23" i="3"/>
  <c r="J21" i="4"/>
  <c r="Y30" i="1" s="1"/>
  <c r="J21" i="3"/>
  <c r="X31" i="1" s="1"/>
  <c r="F22" i="2"/>
  <c r="G22" i="2" s="1"/>
  <c r="C22" i="2"/>
  <c r="E21" i="2"/>
  <c r="I21" i="2" s="1"/>
  <c r="J21" i="2" s="1"/>
  <c r="W30" i="1" s="1"/>
  <c r="E22" i="4"/>
  <c r="I22" i="4" s="1"/>
  <c r="C23" i="4"/>
  <c r="F23" i="4"/>
  <c r="G23" i="4" s="1"/>
  <c r="E22" i="3"/>
  <c r="I22" i="3" s="1"/>
  <c r="F23" i="3"/>
  <c r="G23" i="3" s="1"/>
  <c r="C23" i="3"/>
  <c r="B23" i="2"/>
  <c r="H23" i="2" s="1"/>
  <c r="DC38" i="2" l="1"/>
  <c r="W18" i="13" s="1"/>
  <c r="X18" i="13" s="1"/>
  <c r="DT52" i="3"/>
  <c r="DT51" i="3"/>
  <c r="DT53" i="3"/>
  <c r="DI38" i="4"/>
  <c r="DT45" i="4"/>
  <c r="DT46" i="4"/>
  <c r="DT44" i="4"/>
  <c r="DI43" i="3"/>
  <c r="DO38" i="4"/>
  <c r="AE16" i="13" s="1"/>
  <c r="AF16" i="13" s="1"/>
  <c r="AA20" i="13"/>
  <c r="AB20" i="13" s="1"/>
  <c r="AJ20" i="13" s="1"/>
  <c r="DN46" i="2"/>
  <c r="DN47" i="2"/>
  <c r="DN45" i="2"/>
  <c r="P24" i="3"/>
  <c r="A23" i="2"/>
  <c r="P24" i="4"/>
  <c r="Q24" i="4" s="1"/>
  <c r="R24" i="4" s="1"/>
  <c r="DN44" i="3"/>
  <c r="DN49" i="3"/>
  <c r="DN51" i="3"/>
  <c r="DN43" i="3"/>
  <c r="DN45" i="3"/>
  <c r="DN48" i="3"/>
  <c r="DN46" i="3"/>
  <c r="DN50" i="3"/>
  <c r="DN47" i="3"/>
  <c r="DH45" i="2"/>
  <c r="DH42" i="2"/>
  <c r="DH44" i="2"/>
  <c r="DH43" i="2"/>
  <c r="B53" i="1"/>
  <c r="D52" i="1"/>
  <c r="D53" i="1"/>
  <c r="Q22" i="2"/>
  <c r="R22" i="2" s="1"/>
  <c r="DH40" i="2"/>
  <c r="DH38" i="2"/>
  <c r="DH39" i="2"/>
  <c r="DH41" i="2"/>
  <c r="Q23" i="3"/>
  <c r="R23" i="3" s="1"/>
  <c r="C24" i="4"/>
  <c r="E24" i="4" s="1"/>
  <c r="B25" i="4"/>
  <c r="H25" i="4" s="1"/>
  <c r="F24" i="3"/>
  <c r="G24" i="3" s="1"/>
  <c r="L21" i="3"/>
  <c r="L21" i="4"/>
  <c r="L21" i="2"/>
  <c r="F24" i="4"/>
  <c r="G24" i="4" s="1"/>
  <c r="C24" i="3"/>
  <c r="E24" i="3" s="1"/>
  <c r="B24" i="2"/>
  <c r="H24" i="2" s="1"/>
  <c r="P23" i="2"/>
  <c r="Q23" i="4"/>
  <c r="R23" i="4" s="1"/>
  <c r="B25" i="3"/>
  <c r="H25" i="3" s="1"/>
  <c r="J22" i="4"/>
  <c r="Y29" i="1" s="1"/>
  <c r="J22" i="3"/>
  <c r="X30" i="1" s="1"/>
  <c r="F23" i="2"/>
  <c r="G23" i="2" s="1"/>
  <c r="C23" i="2"/>
  <c r="E22" i="2"/>
  <c r="I22" i="2" s="1"/>
  <c r="C25" i="4"/>
  <c r="E23" i="4"/>
  <c r="I23" i="4" s="1"/>
  <c r="E23" i="3"/>
  <c r="I23" i="3" s="1"/>
  <c r="DO43" i="3" l="1"/>
  <c r="AA18" i="13" s="1"/>
  <c r="AB18" i="13" s="1"/>
  <c r="AJ18" i="13" s="1"/>
  <c r="DI38" i="2"/>
  <c r="DZ50" i="3"/>
  <c r="DZ51" i="3"/>
  <c r="DZ52" i="3"/>
  <c r="DT46" i="2"/>
  <c r="DT44" i="2"/>
  <c r="DT45" i="2"/>
  <c r="DZ44" i="4"/>
  <c r="DZ45" i="4"/>
  <c r="DZ43" i="4"/>
  <c r="W17" i="13"/>
  <c r="X17" i="13" s="1"/>
  <c r="AE17" i="13"/>
  <c r="AF17" i="13" s="1"/>
  <c r="AA19" i="13"/>
  <c r="AB19" i="13" s="1"/>
  <c r="AJ19" i="13" s="1"/>
  <c r="P25" i="3"/>
  <c r="P25" i="4"/>
  <c r="Q25" i="4" s="1"/>
  <c r="R25" i="4" s="1"/>
  <c r="T4" i="4" s="1"/>
  <c r="A24" i="2"/>
  <c r="DT39" i="4"/>
  <c r="DT42" i="4"/>
  <c r="DT38" i="4"/>
  <c r="DT41" i="4"/>
  <c r="DT40" i="4"/>
  <c r="DT43" i="4"/>
  <c r="DT48" i="3"/>
  <c r="DT50" i="3"/>
  <c r="DT45" i="3"/>
  <c r="DT47" i="3"/>
  <c r="DT43" i="3"/>
  <c r="DT46" i="3"/>
  <c r="DT49" i="3"/>
  <c r="DT44" i="3"/>
  <c r="DN43" i="2"/>
  <c r="DN44" i="2"/>
  <c r="DN42" i="2"/>
  <c r="DN41" i="2"/>
  <c r="C53" i="1"/>
  <c r="Q23" i="2"/>
  <c r="R23" i="2" s="1"/>
  <c r="DN38" i="2"/>
  <c r="DN40" i="2"/>
  <c r="DN39" i="2"/>
  <c r="D50" i="1"/>
  <c r="C52" i="1"/>
  <c r="B52" i="1"/>
  <c r="F25" i="4"/>
  <c r="G25" i="4" s="1"/>
  <c r="Q24" i="3"/>
  <c r="R24" i="3" s="1"/>
  <c r="C51" i="1"/>
  <c r="P24" i="2"/>
  <c r="I24" i="3"/>
  <c r="J24" i="3" s="1"/>
  <c r="X28" i="1" s="1"/>
  <c r="F25" i="3"/>
  <c r="G25" i="3" s="1"/>
  <c r="F24" i="2"/>
  <c r="G24" i="2" s="1"/>
  <c r="I24" i="4"/>
  <c r="J24" i="4" s="1"/>
  <c r="Y27" i="1" s="1"/>
  <c r="L22" i="4"/>
  <c r="L22" i="3"/>
  <c r="B25" i="2"/>
  <c r="H25" i="2" s="1"/>
  <c r="C25" i="3"/>
  <c r="E25" i="3" s="1"/>
  <c r="B26" i="3"/>
  <c r="H26" i="3" s="1"/>
  <c r="C24" i="2"/>
  <c r="E24" i="2" s="1"/>
  <c r="J23" i="3"/>
  <c r="X29" i="1" s="1"/>
  <c r="J23" i="4"/>
  <c r="Y28" i="1" s="1"/>
  <c r="J22" i="2"/>
  <c r="W29" i="1" s="1"/>
  <c r="E23" i="2"/>
  <c r="I23" i="2" s="1"/>
  <c r="E25" i="4"/>
  <c r="DO38" i="2" l="1"/>
  <c r="DZ45" i="2"/>
  <c r="DZ44" i="2"/>
  <c r="DZ43" i="2"/>
  <c r="EF51" i="3"/>
  <c r="EF50" i="3"/>
  <c r="EF49" i="3"/>
  <c r="DU38" i="4"/>
  <c r="DU43" i="3"/>
  <c r="W16" i="13"/>
  <c r="X16" i="13" s="1"/>
  <c r="A25" i="2"/>
  <c r="DZ42" i="4"/>
  <c r="DZ40" i="4"/>
  <c r="DZ41" i="4"/>
  <c r="DZ38" i="4"/>
  <c r="DZ39" i="4"/>
  <c r="EF48" i="3"/>
  <c r="EF47" i="3"/>
  <c r="B51" i="1"/>
  <c r="DZ44" i="3"/>
  <c r="DZ49" i="3"/>
  <c r="DZ47" i="3"/>
  <c r="DZ48" i="3"/>
  <c r="DZ43" i="3"/>
  <c r="DZ46" i="3"/>
  <c r="DZ45" i="3"/>
  <c r="P26" i="3"/>
  <c r="B27" i="3"/>
  <c r="H27" i="3" s="1"/>
  <c r="DT41" i="2"/>
  <c r="DT42" i="2"/>
  <c r="DT40" i="2"/>
  <c r="DT43" i="2"/>
  <c r="I25" i="4"/>
  <c r="J25" i="4" s="1"/>
  <c r="Y26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D49" i="1"/>
  <c r="H49" i="1" s="1"/>
  <c r="H50" i="1" s="1"/>
  <c r="AR5" i="1"/>
  <c r="D51" i="1"/>
  <c r="Q24" i="2"/>
  <c r="R24" i="2" s="1"/>
  <c r="DT38" i="2"/>
  <c r="DT39" i="2"/>
  <c r="Q25" i="3"/>
  <c r="R25" i="3" s="1"/>
  <c r="C50" i="1"/>
  <c r="P25" i="2"/>
  <c r="L24" i="3"/>
  <c r="I24" i="2"/>
  <c r="J24" i="2" s="1"/>
  <c r="W27" i="1" s="1"/>
  <c r="I25" i="3"/>
  <c r="J25" i="3" s="1"/>
  <c r="X27" i="1" s="1"/>
  <c r="F25" i="2"/>
  <c r="G25" i="2" s="1"/>
  <c r="L24" i="4"/>
  <c r="L22" i="2"/>
  <c r="L23" i="4"/>
  <c r="L23" i="3"/>
  <c r="C26" i="3"/>
  <c r="E26" i="3" s="1"/>
  <c r="C25" i="2"/>
  <c r="E25" i="2" s="1"/>
  <c r="F26" i="3"/>
  <c r="G26" i="3" s="1"/>
  <c r="J23" i="2"/>
  <c r="W28" i="1" s="1"/>
  <c r="DU38" i="2" l="1"/>
  <c r="EA43" i="3"/>
  <c r="EA38" i="4"/>
  <c r="N9" i="4" s="1"/>
  <c r="EL50" i="3"/>
  <c r="EL48" i="3"/>
  <c r="EL49" i="3"/>
  <c r="AE15" i="13"/>
  <c r="AF15" i="13" s="1"/>
  <c r="AA17" i="13"/>
  <c r="AB17" i="13" s="1"/>
  <c r="AJ17" i="13" s="1"/>
  <c r="W15" i="13"/>
  <c r="X15" i="13" s="1"/>
  <c r="EL46" i="3"/>
  <c r="EL47" i="3"/>
  <c r="EF46" i="3"/>
  <c r="EF43" i="3"/>
  <c r="EF44" i="3"/>
  <c r="EF45" i="3"/>
  <c r="AA16" i="13"/>
  <c r="AB16" i="13" s="1"/>
  <c r="AJ16" i="13" s="1"/>
  <c r="B28" i="3"/>
  <c r="H28" i="3" s="1"/>
  <c r="C27" i="3"/>
  <c r="DZ38" i="2"/>
  <c r="DZ39" i="2"/>
  <c r="DZ40" i="2"/>
  <c r="DZ42" i="2"/>
  <c r="DZ41" i="2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Q26" i="3"/>
  <c r="R26" i="3" s="1"/>
  <c r="T4" i="3" s="1"/>
  <c r="Q25" i="2"/>
  <c r="R25" i="2" s="1"/>
  <c r="T4" i="2" s="1"/>
  <c r="I25" i="2"/>
  <c r="J25" i="2" s="1"/>
  <c r="W26" i="1" s="1"/>
  <c r="AB26" i="1" s="1"/>
  <c r="L24" i="2"/>
  <c r="L25" i="3"/>
  <c r="L23" i="2"/>
  <c r="L25" i="4"/>
  <c r="N4" i="4" s="1"/>
  <c r="N6" i="4" s="1"/>
  <c r="I26" i="3"/>
  <c r="J26" i="3" s="1"/>
  <c r="X26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EG43" i="3" l="1"/>
  <c r="AA15" i="13" s="1"/>
  <c r="AB15" i="13" s="1"/>
  <c r="AJ15" i="13" s="1"/>
  <c r="EA38" i="2"/>
  <c r="N12" i="4"/>
  <c r="AS5" i="1" s="1"/>
  <c r="ER48" i="3"/>
  <c r="ER49" i="3"/>
  <c r="ER47" i="3"/>
  <c r="AE14" i="13"/>
  <c r="AF14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27" i="13" s="1"/>
  <c r="AG28" i="13" s="1"/>
  <c r="AG29" i="13" s="1"/>
  <c r="AG30" i="13" s="1"/>
  <c r="AG31" i="13" s="1"/>
  <c r="AG32" i="13" s="1"/>
  <c r="AG33" i="13" s="1"/>
  <c r="AG34" i="13" s="1"/>
  <c r="AG35" i="13" s="1"/>
  <c r="D12" i="13"/>
  <c r="E12" i="13" s="1"/>
  <c r="ER45" i="3"/>
  <c r="ER46" i="3"/>
  <c r="EL43" i="3"/>
  <c r="EL44" i="3"/>
  <c r="EL45" i="3"/>
  <c r="B29" i="3"/>
  <c r="H29" i="3" s="1"/>
  <c r="C28" i="3"/>
  <c r="W13" i="13"/>
  <c r="X13" i="13" s="1"/>
  <c r="Y13" i="13" s="1"/>
  <c r="Q16" i="1"/>
  <c r="Q18" i="1" s="1"/>
  <c r="R18" i="1" s="1"/>
  <c r="C49" i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AR4" i="1"/>
  <c r="AB27" i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L25" i="2"/>
  <c r="N4" i="2" s="1"/>
  <c r="N6" i="2" s="1"/>
  <c r="Q16" i="11"/>
  <c r="R16" i="11" s="1"/>
  <c r="B50" i="1"/>
  <c r="L26" i="3"/>
  <c r="EM43" i="3" l="1"/>
  <c r="AA14" i="13" s="1"/>
  <c r="AB14" i="13" s="1"/>
  <c r="EX47" i="3"/>
  <c r="EX48" i="3"/>
  <c r="EX46" i="3"/>
  <c r="B49" i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W14" i="13"/>
  <c r="X14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EX45" i="3"/>
  <c r="EX44" i="3"/>
  <c r="C29" i="3"/>
  <c r="EX43" i="3"/>
  <c r="B30" i="3"/>
  <c r="H30" i="3" s="1"/>
  <c r="ER43" i="3"/>
  <c r="ER44" i="3"/>
  <c r="AR3" i="1"/>
  <c r="R16" i="1"/>
  <c r="Q18" i="11"/>
  <c r="R18" i="11" s="1"/>
  <c r="Z9" i="11" s="1"/>
  <c r="AA9" i="11" s="1"/>
  <c r="N4" i="3"/>
  <c r="Z16" i="1"/>
  <c r="AA16" i="1" s="1"/>
  <c r="Q19" i="1"/>
  <c r="Q20" i="1" s="1"/>
  <c r="Z7" i="1"/>
  <c r="AA7" i="1" s="1"/>
  <c r="Z15" i="1"/>
  <c r="AA15" i="1" s="1"/>
  <c r="Z8" i="1"/>
  <c r="AA8" i="1" s="1"/>
  <c r="Z4" i="1"/>
  <c r="AA4" i="1" s="1"/>
  <c r="Z9" i="1"/>
  <c r="AA9" i="1" s="1"/>
  <c r="Z11" i="1"/>
  <c r="AA11" i="1" s="1"/>
  <c r="Z12" i="1"/>
  <c r="AA12" i="1" s="1"/>
  <c r="Z5" i="1"/>
  <c r="AA5" i="1" s="1"/>
  <c r="Z14" i="1"/>
  <c r="AA14" i="1" s="1"/>
  <c r="Z10" i="1"/>
  <c r="AA10" i="1" s="1"/>
  <c r="Z13" i="1"/>
  <c r="AA13" i="1" s="1"/>
  <c r="Z6" i="1"/>
  <c r="AA6" i="1" s="1"/>
  <c r="EY43" i="3" l="1"/>
  <c r="ES43" i="3"/>
  <c r="FD46" i="3"/>
  <c r="FD47" i="3"/>
  <c r="FD43" i="3"/>
  <c r="FD44" i="3"/>
  <c r="FD45" i="3"/>
  <c r="AJ14" i="13"/>
  <c r="Q19" i="11"/>
  <c r="Q20" i="11" s="1"/>
  <c r="Z5" i="11"/>
  <c r="AA5" i="11" s="1"/>
  <c r="AA12" i="13"/>
  <c r="AB12" i="13" s="1"/>
  <c r="AJ12" i="13" s="1"/>
  <c r="AA13" i="13"/>
  <c r="AB13" i="13" s="1"/>
  <c r="AJ13" i="13" s="1"/>
  <c r="Z4" i="11"/>
  <c r="AA4" i="11" s="1"/>
  <c r="B31" i="3"/>
  <c r="H31" i="3" s="1"/>
  <c r="C30" i="3"/>
  <c r="Z16" i="11"/>
  <c r="AA16" i="11" s="1"/>
  <c r="Z15" i="11"/>
  <c r="AA15" i="11" s="1"/>
  <c r="Z14" i="11"/>
  <c r="AA14" i="11" s="1"/>
  <c r="Z11" i="11"/>
  <c r="AA11" i="11" s="1"/>
  <c r="Z10" i="11"/>
  <c r="AA10" i="11" s="1"/>
  <c r="Z12" i="11"/>
  <c r="AA12" i="11" s="1"/>
  <c r="Z13" i="11"/>
  <c r="AA13" i="11" s="1"/>
  <c r="Z8" i="11"/>
  <c r="AA8" i="11" s="1"/>
  <c r="Z7" i="11"/>
  <c r="AA7" i="11" s="1"/>
  <c r="Z6" i="11"/>
  <c r="AA6" i="11" s="1"/>
  <c r="N6" i="3"/>
  <c r="FE43" i="3" l="1"/>
  <c r="FJ45" i="3"/>
  <c r="FJ46" i="3"/>
  <c r="FJ43" i="3"/>
  <c r="FJ44" i="3"/>
  <c r="E18" i="13"/>
  <c r="J18" i="13"/>
  <c r="J11" i="13"/>
  <c r="K11" i="13" s="1"/>
  <c r="K24" i="13" s="1"/>
  <c r="J19" i="11"/>
  <c r="J20" i="11" s="1"/>
  <c r="C31" i="3"/>
  <c r="AL39" i="2"/>
  <c r="FK43" i="3" l="1"/>
  <c r="E16" i="1" s="1"/>
  <c r="AA10" i="13"/>
  <c r="AB10" i="13" s="1"/>
  <c r="AA11" i="13"/>
  <c r="AB11" i="13" s="1"/>
  <c r="N12" i="3"/>
  <c r="AS4" i="1" s="1"/>
  <c r="N9" i="3"/>
  <c r="D11" i="13" s="1"/>
  <c r="E11" i="13" s="1"/>
  <c r="J30" i="13"/>
  <c r="L30" i="13" s="1"/>
  <c r="D36" i="13"/>
  <c r="K18" i="13"/>
  <c r="K21" i="13"/>
  <c r="E21" i="13"/>
  <c r="W8" i="11"/>
  <c r="X8" i="11" s="1"/>
  <c r="W10" i="11"/>
  <c r="X10" i="11" s="1"/>
  <c r="W12" i="11"/>
  <c r="X12" i="11" s="1"/>
  <c r="W16" i="11"/>
  <c r="X16" i="11" s="1"/>
  <c r="W11" i="11"/>
  <c r="X11" i="11" s="1"/>
  <c r="W9" i="11"/>
  <c r="X9" i="11" s="1"/>
  <c r="W13" i="11"/>
  <c r="X13" i="11" s="1"/>
  <c r="W15" i="11"/>
  <c r="X15" i="11" s="1"/>
  <c r="W6" i="11"/>
  <c r="X6" i="11" s="1"/>
  <c r="O37" i="11"/>
  <c r="O38" i="11" s="1"/>
  <c r="W14" i="11"/>
  <c r="X14" i="11" s="1"/>
  <c r="AW7" i="11"/>
  <c r="W4" i="11"/>
  <c r="X4" i="11" s="1"/>
  <c r="W5" i="11"/>
  <c r="X5" i="11" s="1"/>
  <c r="W7" i="11"/>
  <c r="X7" i="11" s="1"/>
  <c r="AN39" i="2"/>
  <c r="AO38" i="2" s="1"/>
  <c r="N9" i="2" l="1"/>
  <c r="N12" i="2"/>
  <c r="AJ11" i="13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J10" i="13"/>
  <c r="AK10" i="13" s="1"/>
  <c r="W29" i="13"/>
  <c r="X29" i="13" s="1"/>
  <c r="AK11" i="13" l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27" i="13" s="1"/>
  <c r="AK28" i="13" s="1"/>
  <c r="Y29" i="13"/>
  <c r="Y30" i="13" s="1"/>
  <c r="Y31" i="13" s="1"/>
  <c r="Y32" i="13" s="1"/>
  <c r="Y33" i="13" s="1"/>
  <c r="Y34" i="13" s="1"/>
  <c r="Y35" i="13" s="1"/>
  <c r="AJ29" i="13"/>
  <c r="B64" i="1"/>
  <c r="F64" i="1" s="1"/>
  <c r="F65" i="1" s="1"/>
  <c r="F66" i="1" s="1"/>
  <c r="F67" i="1" s="1"/>
  <c r="F68" i="1" s="1"/>
  <c r="F69" i="1" s="1"/>
  <c r="F70" i="1" s="1"/>
  <c r="AS3" i="1"/>
  <c r="D10" i="13"/>
  <c r="E10" i="13" s="1"/>
  <c r="E14" i="13" s="1"/>
  <c r="E24" i="13" s="1"/>
  <c r="D35" i="13" s="1"/>
  <c r="AK29" i="13" l="1"/>
  <c r="AK30" i="13" s="1"/>
  <c r="AK31" i="13" s="1"/>
  <c r="AK32" i="13" s="1"/>
  <c r="AK33" i="13" s="1"/>
  <c r="AK34" i="13" s="1"/>
  <c r="AK35" i="13" s="1"/>
  <c r="J16" i="1"/>
  <c r="M16" i="1" s="1"/>
  <c r="G32" i="1" s="1"/>
  <c r="H32" i="1" s="1"/>
  <c r="H33" i="1" s="1"/>
  <c r="M17" i="1" l="1"/>
  <c r="W15" i="1" s="1"/>
  <c r="X15" i="1" s="1"/>
  <c r="J17" i="1"/>
  <c r="M19" i="1" s="1"/>
  <c r="AR10" i="1" s="1"/>
  <c r="W16" i="1" l="1"/>
  <c r="X16" i="1" s="1"/>
  <c r="W12" i="1"/>
  <c r="X12" i="1" s="1"/>
  <c r="W6" i="1"/>
  <c r="X6" i="1" s="1"/>
  <c r="W5" i="1"/>
  <c r="X5" i="1" s="1"/>
  <c r="W9" i="1"/>
  <c r="X9" i="1" s="1"/>
  <c r="W11" i="1"/>
  <c r="X11" i="1" s="1"/>
  <c r="W7" i="1"/>
  <c r="X7" i="1" s="1"/>
  <c r="W10" i="1"/>
  <c r="X10" i="1" s="1"/>
  <c r="W4" i="1"/>
  <c r="X4" i="1" s="1"/>
  <c r="W8" i="1"/>
  <c r="X8" i="1" s="1"/>
  <c r="W13" i="1"/>
  <c r="X13" i="1" s="1"/>
  <c r="W14" i="1"/>
  <c r="X14" i="1" s="1"/>
</calcChain>
</file>

<file path=xl/sharedStrings.xml><?xml version="1.0" encoding="utf-8"?>
<sst xmlns="http://schemas.openxmlformats.org/spreadsheetml/2006/main" count="1161" uniqueCount="172">
  <si>
    <t>Artery</t>
  </si>
  <si>
    <t>Length, mm</t>
  </si>
  <si>
    <t>Diameter, mm</t>
  </si>
  <si>
    <t># of SMC</t>
  </si>
  <si>
    <t>Total depth of perivascular channel, mm</t>
  </si>
  <si>
    <t>VA</t>
  </si>
  <si>
    <t>ICA</t>
  </si>
  <si>
    <t>BA</t>
  </si>
  <si>
    <t>PCA1</t>
  </si>
  <si>
    <t>PCA2</t>
  </si>
  <si>
    <t>MCA</t>
  </si>
  <si>
    <t>ACA1</t>
  </si>
  <si>
    <t>ACA2</t>
  </si>
  <si>
    <t>Pial</t>
  </si>
  <si>
    <t>Viscosity</t>
  </si>
  <si>
    <t>Density</t>
  </si>
  <si>
    <t>R_BA</t>
  </si>
  <si>
    <t>L</t>
  </si>
  <si>
    <t>R_PCA1</t>
  </si>
  <si>
    <t>R_VA</t>
  </si>
  <si>
    <t>R_I</t>
  </si>
  <si>
    <t>R__ICA</t>
  </si>
  <si>
    <t>R'</t>
  </si>
  <si>
    <t>Channel Depth</t>
  </si>
  <si>
    <t>Generations</t>
  </si>
  <si>
    <t>i</t>
  </si>
  <si>
    <t>G</t>
  </si>
  <si>
    <t>k</t>
  </si>
  <si>
    <t>r_0</t>
  </si>
  <si>
    <t>Total</t>
  </si>
  <si>
    <t>R</t>
  </si>
  <si>
    <t>1/R^4</t>
  </si>
  <si>
    <t>Resistance</t>
  </si>
  <si>
    <t>Mu</t>
  </si>
  <si>
    <t>Rho</t>
  </si>
  <si>
    <t>R_PCA2</t>
  </si>
  <si>
    <t>R_MCA</t>
  </si>
  <si>
    <t>R_ACA2</t>
  </si>
  <si>
    <t>R_Model</t>
  </si>
  <si>
    <t>R_Total</t>
  </si>
  <si>
    <t>1/Ln</t>
  </si>
  <si>
    <t>Precapillaries</t>
  </si>
  <si>
    <t>Equivalent</t>
  </si>
  <si>
    <t>ICP</t>
  </si>
  <si>
    <t>mmHg</t>
  </si>
  <si>
    <t>mmH2O</t>
  </si>
  <si>
    <t>mH2O</t>
  </si>
  <si>
    <t>LP</t>
  </si>
  <si>
    <t>Head</t>
  </si>
  <si>
    <t>Flow rate(m3/s)</t>
  </si>
  <si>
    <t>ml/hr</t>
  </si>
  <si>
    <t>1/Ln*1/R^4*L</t>
  </si>
  <si>
    <t>Res.</t>
  </si>
  <si>
    <t>Blood vis.</t>
  </si>
  <si>
    <t>Blood dens.</t>
  </si>
  <si>
    <t>Lumen Res.</t>
  </si>
  <si>
    <t>R_ICA</t>
  </si>
  <si>
    <t>r, m</t>
  </si>
  <si>
    <t>L, m</t>
  </si>
  <si>
    <t>r_i</t>
  </si>
  <si>
    <t>Total Res.</t>
  </si>
  <si>
    <t>Pa s /m^3</t>
  </si>
  <si>
    <t>R_L_M</t>
  </si>
  <si>
    <t>R_L</t>
  </si>
  <si>
    <t>CBF</t>
  </si>
  <si>
    <t>CBP</t>
  </si>
  <si>
    <t>m^3/s</t>
  </si>
  <si>
    <t>CR</t>
  </si>
  <si>
    <t>Peri</t>
  </si>
  <si>
    <t>Lumen</t>
  </si>
  <si>
    <t>ml/min</t>
  </si>
  <si>
    <t>Flow rate, m3/s</t>
  </si>
  <si>
    <t>Pa</t>
  </si>
  <si>
    <t xml:space="preserve">Flow </t>
  </si>
  <si>
    <t>Flow</t>
  </si>
  <si>
    <t>Lymph flow rate in thoraic duct</t>
  </si>
  <si>
    <t>m3/s</t>
  </si>
  <si>
    <t>Glymphatic flow rate, paravascular</t>
  </si>
  <si>
    <t>Human CSF production</t>
  </si>
  <si>
    <t>Brain interstitial fluid</t>
  </si>
  <si>
    <t>Pa.s/m3</t>
  </si>
  <si>
    <t>Order</t>
  </si>
  <si>
    <t>ACA</t>
  </si>
  <si>
    <t>Cum.</t>
  </si>
  <si>
    <t>XL Toolbox Settings</t>
  </si>
  <si>
    <t>export_preset</t>
  </si>
  <si>
    <t>export_path</t>
  </si>
  <si>
    <t>f(k)</t>
  </si>
  <si>
    <t>Ap/Al</t>
  </si>
  <si>
    <t>Coeff</t>
  </si>
  <si>
    <t>para</t>
  </si>
  <si>
    <t>Re</t>
  </si>
  <si>
    <t>Press Diff, Pa</t>
  </si>
  <si>
    <t>Lumen Re</t>
  </si>
  <si>
    <t>Para-PCA2</t>
  </si>
  <si>
    <t>Para-MCA</t>
  </si>
  <si>
    <t>Para-ACA</t>
  </si>
  <si>
    <t>Peri-PCA2</t>
  </si>
  <si>
    <t>Peri-MCA</t>
  </si>
  <si>
    <t>Peri-ACA</t>
  </si>
  <si>
    <t>Layers</t>
  </si>
  <si>
    <t>r</t>
  </si>
  <si>
    <t>t</t>
  </si>
  <si>
    <t>Re (Pa.s/m^3)</t>
  </si>
  <si>
    <t>Total (Pa.s/m^3)</t>
  </si>
  <si>
    <t>Multiple</t>
  </si>
  <si>
    <t xml:space="preserve">Re </t>
  </si>
  <si>
    <t>Cum</t>
  </si>
  <si>
    <t>Para</t>
  </si>
  <si>
    <t>Analytical</t>
  </si>
  <si>
    <t>Murray's law (excl. precapillaries)</t>
  </si>
  <si>
    <t>excl. pc</t>
  </si>
  <si>
    <t>Rest of the model</t>
  </si>
  <si>
    <t>excl. cp</t>
  </si>
  <si>
    <t>exc. cp</t>
  </si>
  <si>
    <t>Pial, dia</t>
  </si>
  <si>
    <t>r/R</t>
  </si>
  <si>
    <t>Pre-cap</t>
  </si>
  <si>
    <t>Pa.s/m^3</t>
  </si>
  <si>
    <t>PCA</t>
  </si>
  <si>
    <t>Single branch</t>
  </si>
  <si>
    <t>Both branches</t>
  </si>
  <si>
    <t>Pre-cap only</t>
  </si>
  <si>
    <t>Pa.s/m^4</t>
  </si>
  <si>
    <t>Pa.s/m^5</t>
  </si>
  <si>
    <t>Total pre-arterial</t>
  </si>
  <si>
    <t>Para-arterial</t>
  </si>
  <si>
    <t>Pa.sm3</t>
  </si>
  <si>
    <t>Total para-arterial</t>
  </si>
  <si>
    <t>Total of actual data</t>
  </si>
  <si>
    <t>Total of Modeling, including pre-cap</t>
  </si>
  <si>
    <t>Total of Moldeing, including pre-cap</t>
  </si>
  <si>
    <t>Para-venous</t>
  </si>
  <si>
    <t>Req. DelP</t>
  </si>
  <si>
    <t>#</t>
  </si>
  <si>
    <t>Pial dia</t>
  </si>
  <si>
    <t>Total, upto pial, including post-cap</t>
  </si>
  <si>
    <t>Total post-cap</t>
  </si>
  <si>
    <t>Post-cap=</t>
  </si>
  <si>
    <t>Post Dia</t>
  </si>
  <si>
    <t>Brain interstitial fluid flow</t>
  </si>
  <si>
    <t>Pressure diff for periarterial, 14 Hg</t>
  </si>
  <si>
    <t>Required resistance for periarterial</t>
  </si>
  <si>
    <t>Brain interstitial fluid flow rate</t>
  </si>
  <si>
    <t>mmHg, or</t>
  </si>
  <si>
    <t>ml/min, or</t>
  </si>
  <si>
    <t>Cum for both branches</t>
  </si>
  <si>
    <t>Total (PCA+MCA+ACA), both branches</t>
  </si>
  <si>
    <t>Total of Pre-cap, both branches</t>
  </si>
  <si>
    <t>Total Pre-cap, both branches</t>
  </si>
  <si>
    <t>Total, both branches</t>
  </si>
  <si>
    <t>Total Cum both branches</t>
  </si>
  <si>
    <t>Largest arteries</t>
  </si>
  <si>
    <t xml:space="preserve">Pre-cap ==&gt; </t>
  </si>
  <si>
    <t>At radius=</t>
  </si>
  <si>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m</t>
    </r>
  </si>
  <si>
    <t>Peri-arterial</t>
  </si>
  <si>
    <t>Pial radius</t>
  </si>
  <si>
    <t>Periarterial tree</t>
  </si>
  <si>
    <t>Paraarterial tree</t>
  </si>
  <si>
    <t>Paravenous tree</t>
  </si>
  <si>
    <t># of precap</t>
  </si>
  <si>
    <t>D_ACA</t>
  </si>
  <si>
    <t>D_MCA</t>
  </si>
  <si>
    <t>d_Cap</t>
  </si>
  <si>
    <t># Cap</t>
  </si>
  <si>
    <t>i for 10um, ACA</t>
  </si>
  <si>
    <t>i for 10um, MCA</t>
  </si>
  <si>
    <t>d_pre</t>
  </si>
  <si>
    <t>D</t>
  </si>
  <si>
    <t>&lt;?xml version="1.0" encoding="utf-16"?&gt;_x000D_
&lt;Preset xmlns:xsd="http://www.w3.org/2001/XMLSchema" xmlns:xsi="http://www.w3.org/2001/XMLSchema-instance"&gt;_x000D_
  &lt;Name&gt;Png, 450 dpi, RGB, Transparent canvas&lt;/Name&gt;_x000D_
  &lt;Dpi&gt;450&lt;/Dpi&gt;_x000D_
  &lt;FileType&gt;Png&lt;/FileType&gt;_x000D_
  &lt;ColorSpace&gt;Rgb&lt;/ColorSpace&gt;_x000D_
  &lt;Transparency&gt;TransparentCanvas&lt;/Transparency&gt;_x000D_
  &lt;UseColorProfile&gt;false&lt;/UseColorProfile&gt;_x000D_
  &lt;ColorProfile&gt;2007WFP&lt;/ColorProfile&gt;_x000D_
&lt;/Preset&gt;</t>
  </si>
  <si>
    <t>E:\Google Drive\Publications\(6) Amyloid Beta\Article\Chart.png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</si>
</sst>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3" borderId="3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15" xfId="0" applyFont="1" applyBorder="1"/>
    <xf numFmtId="0" fontId="1" fillId="0" borderId="7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4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11" fontId="1" fillId="0" borderId="8" xfId="0" applyNumberFormat="1" applyFont="1" applyBorder="1"/>
    <xf numFmtId="11" fontId="1" fillId="0" borderId="0" xfId="0" applyNumberFormat="1" applyFont="1" applyBorder="1"/>
    <xf numFmtId="11" fontId="1" fillId="0" borderId="9" xfId="0" applyNumberFormat="1" applyFont="1" applyBorder="1"/>
    <xf numFmtId="11" fontId="1" fillId="0" borderId="0" xfId="0" applyNumberFormat="1" applyFont="1"/>
    <xf numFmtId="0" fontId="1" fillId="0" borderId="5" xfId="0" applyFont="1" applyBorder="1"/>
    <xf numFmtId="0" fontId="1" fillId="0" borderId="12" xfId="0" applyFont="1" applyBorder="1"/>
    <xf numFmtId="11" fontId="1" fillId="0" borderId="10" xfId="0" applyNumberFormat="1" applyFont="1" applyBorder="1"/>
    <xf numFmtId="11" fontId="1" fillId="0" borderId="16" xfId="0" applyNumberFormat="1" applyFont="1" applyBorder="1"/>
    <xf numFmtId="11" fontId="1" fillId="0" borderId="11" xfId="0" applyNumberFormat="1" applyFont="1" applyBorder="1"/>
    <xf numFmtId="0" fontId="2" fillId="0" borderId="0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0" fontId="1" fillId="0" borderId="10" xfId="0" applyFont="1" applyBorder="1"/>
    <xf numFmtId="0" fontId="1" fillId="0" borderId="16" xfId="0" applyFont="1" applyBorder="1"/>
    <xf numFmtId="0" fontId="1" fillId="0" borderId="11" xfId="0" applyFont="1" applyBorder="1"/>
    <xf numFmtId="0" fontId="1" fillId="0" borderId="8" xfId="0" applyFont="1" applyFill="1" applyBorder="1"/>
    <xf numFmtId="0" fontId="0" fillId="0" borderId="0" xfId="0" applyFo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3" borderId="0" xfId="0" applyFill="1"/>
    <xf numFmtId="0" fontId="1" fillId="3" borderId="0" xfId="0" applyFont="1" applyFill="1"/>
    <xf numFmtId="0" fontId="0" fillId="0" borderId="15" xfId="0" applyFont="1" applyBorder="1"/>
    <xf numFmtId="0" fontId="0" fillId="4" borderId="0" xfId="0" applyFill="1"/>
    <xf numFmtId="0" fontId="0" fillId="3" borderId="0" xfId="0" applyFont="1" applyFill="1"/>
    <xf numFmtId="0" fontId="0" fillId="3" borderId="8" xfId="0" applyFont="1" applyFill="1" applyBorder="1"/>
    <xf numFmtId="49" fontId="0" fillId="0" borderId="0" xfId="0" applyNumberFormat="1"/>
    <xf numFmtId="0" fontId="0" fillId="0" borderId="6" xfId="0" applyFont="1" applyBorder="1"/>
    <xf numFmtId="0" fontId="0" fillId="0" borderId="17" xfId="0" applyBorder="1"/>
    <xf numFmtId="0" fontId="0" fillId="5" borderId="12" xfId="0" applyFill="1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4" borderId="1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22" xfId="0" applyFont="1" applyFill="1" applyBorder="1"/>
    <xf numFmtId="0" fontId="1" fillId="4" borderId="22" xfId="0" applyFont="1" applyFill="1" applyBorder="1"/>
    <xf numFmtId="0" fontId="0" fillId="4" borderId="30" xfId="0" applyFill="1" applyBorder="1"/>
    <xf numFmtId="0" fontId="0" fillId="4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99359443236873"/>
          <c:y val="3.6381335775770136E-2"/>
          <c:w val="0.83177015418781441"/>
          <c:h val="0.799042470326554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Info!$AI$7:$AI$17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Info!$AK$7:$AK$17</c:f>
              <c:numCache>
                <c:formatCode>General</c:formatCode>
                <c:ptCount val="11"/>
                <c:pt idx="0">
                  <c:v>8163317896.9097357</c:v>
                </c:pt>
                <c:pt idx="1">
                  <c:v>8112123037.1117964</c:v>
                </c:pt>
                <c:pt idx="2">
                  <c:v>10774903779.958151</c:v>
                </c:pt>
                <c:pt idx="3">
                  <c:v>16129544395.900421</c:v>
                </c:pt>
                <c:pt idx="4">
                  <c:v>41917420913.113312</c:v>
                </c:pt>
                <c:pt idx="5">
                  <c:v>85559710241.54126</c:v>
                </c:pt>
                <c:pt idx="6">
                  <c:v>159305955251.62106</c:v>
                </c:pt>
                <c:pt idx="7">
                  <c:v>288511030398.89008</c:v>
                </c:pt>
                <c:pt idx="8">
                  <c:v>536649020329.9425</c:v>
                </c:pt>
                <c:pt idx="9">
                  <c:v>983975284495.15442</c:v>
                </c:pt>
                <c:pt idx="10">
                  <c:v>1950810065356.0498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C-4E51-8A78-934A204D6EFC}"/>
            </c:ext>
          </c:extLst>
        </c:ser>
        <c:ser>
          <c:idx val="1"/>
          <c:order val="1"/>
          <c:tx>
            <c:v>Maximum Allowable Resistance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Info!$AI$7:$AI$18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Info!$AP$7:$AP$18</c:f>
              <c:numCache>
                <c:formatCode>General</c:formatCode>
                <c:ptCount val="12"/>
                <c:pt idx="0">
                  <c:v>861812314156.43164</c:v>
                </c:pt>
                <c:pt idx="1">
                  <c:v>861812314156.43164</c:v>
                </c:pt>
                <c:pt idx="2">
                  <c:v>861812314156.43164</c:v>
                </c:pt>
                <c:pt idx="3">
                  <c:v>861812314156.43164</c:v>
                </c:pt>
                <c:pt idx="4">
                  <c:v>861812314156.43164</c:v>
                </c:pt>
                <c:pt idx="5">
                  <c:v>861812314156.43164</c:v>
                </c:pt>
                <c:pt idx="6">
                  <c:v>861812314156.43164</c:v>
                </c:pt>
                <c:pt idx="7">
                  <c:v>861812314156.43164</c:v>
                </c:pt>
                <c:pt idx="8">
                  <c:v>861812314156.43164</c:v>
                </c:pt>
                <c:pt idx="9">
                  <c:v>861812314156.43164</c:v>
                </c:pt>
                <c:pt idx="10">
                  <c:v>861812314156.43164</c:v>
                </c:pt>
                <c:pt idx="11">
                  <c:v>861812314156.43164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C-4E51-8A78-934A204D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02752"/>
        <c:axId val="1805483712"/>
      </c:scatterChart>
      <c:valAx>
        <c:axId val="18055027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45746265904129552"/>
              <c:y val="0.91210740032359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83712"/>
        <c:crosses val="autoZero"/>
        <c:crossBetween val="midCat"/>
      </c:valAx>
      <c:valAx>
        <c:axId val="1805483712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periarterial resistance, Pa</a:t>
                </a:r>
                <a:r>
                  <a:rPr lang="en-US" sz="13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3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m</a:t>
                </a:r>
                <a:r>
                  <a:rPr lang="en-US" sz="1300" b="1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</a:p>
            </c:rich>
          </c:tx>
          <c:layout>
            <c:manualLayout>
              <c:xMode val="edge"/>
              <c:yMode val="edge"/>
              <c:x val="1.0770855422185728E-2"/>
              <c:y val="5.46046717641655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50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71419434842565"/>
          <c:y val="6.4388941532409288E-2"/>
          <c:w val="0.39088992350447316"/>
          <c:h val="0.11162533422259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096399434468"/>
          <c:y val="4.3792966166250259E-2"/>
          <c:w val="0.80008142383500946"/>
          <c:h val="0.849033702088708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Info!$C$35:$C$37</c:f>
              <c:strCache>
                <c:ptCount val="3"/>
                <c:pt idx="0">
                  <c:v>Periarterial tree</c:v>
                </c:pt>
                <c:pt idx="1">
                  <c:v>Paraarterial tree</c:v>
                </c:pt>
                <c:pt idx="2">
                  <c:v>Paravenous tree</c:v>
                </c:pt>
              </c:strCache>
            </c:strRef>
          </c:cat>
          <c:val>
            <c:numRef>
              <c:f>Info!$D$35:$D$37</c:f>
              <c:numCache>
                <c:formatCode>General</c:formatCode>
                <c:ptCount val="3"/>
                <c:pt idx="0">
                  <c:v>2.8238808767767593E+18</c:v>
                </c:pt>
                <c:pt idx="1">
                  <c:v>9121397420.6055946</c:v>
                </c:pt>
                <c:pt idx="2">
                  <c:v>14246506.924193326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6-40E6-B9AF-3870D525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85888"/>
        <c:axId val="1805484800"/>
      </c:barChart>
      <c:catAx>
        <c:axId val="180548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84800"/>
        <c:crosses val="autoZero"/>
        <c:auto val="1"/>
        <c:lblAlgn val="ctr"/>
        <c:lblOffset val="100"/>
        <c:noMultiLvlLbl val="0"/>
      </c:catAx>
      <c:valAx>
        <c:axId val="1805484800"/>
        <c:scaling>
          <c:logBase val="10"/>
          <c:orientation val="minMax"/>
          <c:max val="1E+19"/>
          <c:min val="1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Resistance, Pa.s.m</a:t>
                </a:r>
                <a:r>
                  <a:rPr lang="en-US" sz="1200" b="1" i="0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endParaRPr lang="en-US" sz="12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528238460078375E-2"/>
              <c:y val="0.231415154434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858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Perivascular</c:v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triangle"/>
              <c:size val="11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9C5-4B0E-90D1-24064D48786C}"/>
              </c:ext>
            </c:extLst>
          </c:dPt>
          <c:xVal>
            <c:numRef>
              <c:f>'Final-Peri'!$AC$4:$AC$10</c:f>
              <c:numCache>
                <c:formatCode>0.00E+00</c:formatCode>
                <c:ptCount val="7"/>
                <c:pt idx="0">
                  <c:v>5.9999999999999997E-7</c:v>
                </c:pt>
                <c:pt idx="1">
                  <c:v>6.0000000000000002E-6</c:v>
                </c:pt>
                <c:pt idx="2">
                  <c:v>2.1000000000000002E-5</c:v>
                </c:pt>
                <c:pt idx="3">
                  <c:v>6.0000000000000002E-5</c:v>
                </c:pt>
                <c:pt idx="4">
                  <c:v>5.9999999999999995E-4</c:v>
                </c:pt>
                <c:pt idx="5">
                  <c:v>5.9999999999999993E-3</c:v>
                </c:pt>
                <c:pt idx="6">
                  <c:v>5.9999999999999991E-2</c:v>
                </c:pt>
              </c:numCache>
            </c:numRef>
          </c:xVal>
          <c:yVal>
            <c:numRef>
              <c:f>'Final-Peri'!$X$4:$X$10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C5-4B0E-90D1-24064D48786C}"/>
            </c:ext>
          </c:extLst>
        </c:ser>
        <c:ser>
          <c:idx val="1"/>
          <c:order val="1"/>
          <c:tx>
            <c:v>Luminal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"/>
            <c:marker>
              <c:symbol val="square"/>
              <c:size val="10"/>
              <c:spPr>
                <a:solidFill>
                  <a:schemeClr val="tx1">
                    <a:lumMod val="95000"/>
                    <a:lumOff val="5000"/>
                  </a:schemeClr>
                </a:solidFill>
                <a:ln w="952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9C5-4B0E-90D1-24064D48786C}"/>
              </c:ext>
            </c:extLst>
          </c:dPt>
          <c:xVal>
            <c:numRef>
              <c:f>'Final-Peri'!$AD$9:$AD$16</c:f>
              <c:numCache>
                <c:formatCode>0.00E+00</c:formatCode>
                <c:ptCount val="8"/>
                <c:pt idx="0">
                  <c:v>5.9999999999999991E-2</c:v>
                </c:pt>
                <c:pt idx="1">
                  <c:v>0.59999999999999987</c:v>
                </c:pt>
                <c:pt idx="2">
                  <c:v>5.9999999999999991</c:v>
                </c:pt>
                <c:pt idx="3">
                  <c:v>59.999999999999986</c:v>
                </c:pt>
                <c:pt idx="4">
                  <c:v>3600</c:v>
                </c:pt>
                <c:pt idx="5">
                  <c:v>599.99999999999989</c:v>
                </c:pt>
                <c:pt idx="6">
                  <c:v>5999.9999999999991</c:v>
                </c:pt>
                <c:pt idx="7">
                  <c:v>59999.999999999985</c:v>
                </c:pt>
              </c:numCache>
            </c:numRef>
          </c:xVal>
          <c:yVal>
            <c:numRef>
              <c:f>'Final-Peri'!$AA$9:$AA$16</c:f>
              <c:numCache>
                <c:formatCode>0.00E+00</c:formatCode>
                <c:ptCount val="8"/>
                <c:pt idx="0">
                  <c:v>1.335495171308545E-3</c:v>
                </c:pt>
                <c:pt idx="1">
                  <c:v>1.3354951713085449E-2</c:v>
                </c:pt>
                <c:pt idx="2">
                  <c:v>0.13354951713085447</c:v>
                </c:pt>
                <c:pt idx="3">
                  <c:v>1.3354951713085446</c:v>
                </c:pt>
                <c:pt idx="4">
                  <c:v>80.129710278512704</c:v>
                </c:pt>
                <c:pt idx="5">
                  <c:v>13.354951713085446</c:v>
                </c:pt>
                <c:pt idx="6">
                  <c:v>133.5495171308545</c:v>
                </c:pt>
                <c:pt idx="7">
                  <c:v>1335.4951713085447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5-4B0E-90D1-24064D48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87520"/>
        <c:axId val="1805505472"/>
      </c:scatterChart>
      <c:valAx>
        <c:axId val="1805487520"/>
        <c:scaling>
          <c:logBase val="10"/>
          <c:orientation val="minMax"/>
          <c:max val="100000"/>
          <c:min val="1.0000000000000004E-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547496105204857"/>
              <c:y val="0.91132585058557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505472"/>
        <c:crossesAt val="1.0000000000000003E-4"/>
        <c:crossBetween val="midCat"/>
        <c:majorUnit val="100"/>
      </c:valAx>
      <c:valAx>
        <c:axId val="1805505472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Pressure, mmHg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87520"/>
        <c:crossesAt val="1.0000000000000005E-7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066380114953926"/>
          <c:y val="4.4863939967403343E-2"/>
          <c:w val="0.41323813804182608"/>
          <c:h val="5.823731009572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3429207212334"/>
          <c:y val="0.12326822639686853"/>
          <c:w val="0.81720446423413395"/>
          <c:h val="0.74311688826230937"/>
        </c:manualLayout>
      </c:layout>
      <c:scatterChart>
        <c:scatterStyle val="lineMarker"/>
        <c:varyColors val="0"/>
        <c:ser>
          <c:idx val="3"/>
          <c:order val="3"/>
          <c:tx>
            <c:v>Required Resistance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'Final-Peri'!$Z$26:$Z$48</c:f>
              <c:numCache>
                <c:formatCode>General</c:formatCode>
                <c:ptCount val="23"/>
                <c:pt idx="0">
                  <c:v>861812314156.43164</c:v>
                </c:pt>
                <c:pt idx="1">
                  <c:v>861812314156.43164</c:v>
                </c:pt>
                <c:pt idx="2">
                  <c:v>861812314156.43164</c:v>
                </c:pt>
                <c:pt idx="3">
                  <c:v>861812314156.43164</c:v>
                </c:pt>
                <c:pt idx="4">
                  <c:v>861812314156.43164</c:v>
                </c:pt>
                <c:pt idx="5">
                  <c:v>861812314156.43164</c:v>
                </c:pt>
                <c:pt idx="6">
                  <c:v>861812314156.43164</c:v>
                </c:pt>
                <c:pt idx="7">
                  <c:v>861812314156.43164</c:v>
                </c:pt>
                <c:pt idx="8">
                  <c:v>861812314156.43164</c:v>
                </c:pt>
                <c:pt idx="9">
                  <c:v>861812314156.43164</c:v>
                </c:pt>
                <c:pt idx="10">
                  <c:v>861812314156.43164</c:v>
                </c:pt>
                <c:pt idx="11">
                  <c:v>861812314156.43164</c:v>
                </c:pt>
                <c:pt idx="12">
                  <c:v>861812314156.43164</c:v>
                </c:pt>
                <c:pt idx="13">
                  <c:v>861812314156.43164</c:v>
                </c:pt>
                <c:pt idx="14">
                  <c:v>861812314156.43164</c:v>
                </c:pt>
                <c:pt idx="15">
                  <c:v>861812314156.43164</c:v>
                </c:pt>
                <c:pt idx="16">
                  <c:v>861812314156.43164</c:v>
                </c:pt>
                <c:pt idx="17">
                  <c:v>861812314156.43164</c:v>
                </c:pt>
                <c:pt idx="18">
                  <c:v>861812314156.43164</c:v>
                </c:pt>
                <c:pt idx="19">
                  <c:v>861812314156.43164</c:v>
                </c:pt>
                <c:pt idx="20">
                  <c:v>861812314156.43164</c:v>
                </c:pt>
                <c:pt idx="21">
                  <c:v>861812314156.43164</c:v>
                </c:pt>
                <c:pt idx="22">
                  <c:v>861812314156.43164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5-4469-B995-6B7E63376402}"/>
            </c:ext>
          </c:extLst>
        </c:ser>
        <c:ser>
          <c:idx val="5"/>
          <c:order val="4"/>
          <c:tx>
            <c:v>Cum. MCA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'Final-Peri'!$AC$26:$AC$48</c:f>
              <c:numCache>
                <c:formatCode>General</c:formatCode>
                <c:ptCount val="23"/>
                <c:pt idx="0">
                  <c:v>21095399487.226913</c:v>
                </c:pt>
                <c:pt idx="1">
                  <c:v>50744622022.282547</c:v>
                </c:pt>
                <c:pt idx="2">
                  <c:v>93680388330.974289</c:v>
                </c:pt>
                <c:pt idx="3">
                  <c:v>157399704739.3266</c:v>
                </c:pt>
                <c:pt idx="4">
                  <c:v>253917921222.85541</c:v>
                </c:pt>
                <c:pt idx="5">
                  <c:v>402674959625.49463</c:v>
                </c:pt>
                <c:pt idx="6">
                  <c:v>635382476470.91016</c:v>
                </c:pt>
                <c:pt idx="7">
                  <c:v>1004153605625.7222</c:v>
                </c:pt>
                <c:pt idx="8">
                  <c:v>1595207422281.1069</c:v>
                </c:pt>
                <c:pt idx="9">
                  <c:v>2552079261222.6558</c:v>
                </c:pt>
                <c:pt idx="10">
                  <c:v>4115102998814.0698</c:v>
                </c:pt>
                <c:pt idx="11">
                  <c:v>6688849863463.2363</c:v>
                </c:pt>
                <c:pt idx="12">
                  <c:v>10957766052199.262</c:v>
                </c:pt>
                <c:pt idx="13">
                  <c:v>18085182033219.828</c:v>
                </c:pt>
                <c:pt idx="14">
                  <c:v>30056983861565.234</c:v>
                </c:pt>
                <c:pt idx="15">
                  <c:v>50277036623340.359</c:v>
                </c:pt>
                <c:pt idx="16">
                  <c:v>84601955649373.563</c:v>
                </c:pt>
                <c:pt idx="17">
                  <c:v>143144650859493.47</c:v>
                </c:pt>
                <c:pt idx="18">
                  <c:v>243426477437429.41</c:v>
                </c:pt>
                <c:pt idx="19">
                  <c:v>415900838654720.75</c:v>
                </c:pt>
                <c:pt idx="20">
                  <c:v>713656401813537</c:v>
                </c:pt>
                <c:pt idx="21">
                  <c:v>1229502796229735</c:v>
                </c:pt>
                <c:pt idx="22">
                  <c:v>2753757366897830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8-4AF7-BF8C-A4814271D020}"/>
            </c:ext>
          </c:extLst>
        </c:ser>
        <c:ser>
          <c:idx val="4"/>
          <c:order val="5"/>
          <c:tx>
            <c:v>Cum. PCA2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'Final-Peri'!$V$26:$V$47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'Final-Peri'!$AB$26:$AB$47</c:f>
              <c:numCache>
                <c:formatCode>General</c:formatCode>
                <c:ptCount val="22"/>
                <c:pt idx="0">
                  <c:v>57435875158.814964</c:v>
                </c:pt>
                <c:pt idx="1">
                  <c:v>135189627686.41635</c:v>
                </c:pt>
                <c:pt idx="2">
                  <c:v>244439334867.34271</c:v>
                </c:pt>
                <c:pt idx="3">
                  <c:v>402602397113.81055</c:v>
                </c:pt>
                <c:pt idx="4">
                  <c:v>637265182409.41162</c:v>
                </c:pt>
                <c:pt idx="5">
                  <c:v>992634234990.89966</c:v>
                </c:pt>
                <c:pt idx="6">
                  <c:v>1540224333588.5635</c:v>
                </c:pt>
                <c:pt idx="7">
                  <c:v>2396683651257.5664</c:v>
                </c:pt>
                <c:pt idx="8">
                  <c:v>3753689059516.9951</c:v>
                </c:pt>
                <c:pt idx="9">
                  <c:v>5928339284219.209</c:v>
                </c:pt>
                <c:pt idx="10">
                  <c:v>9448499585793.0684</c:v>
                </c:pt>
                <c:pt idx="11">
                  <c:v>15197974683011.799</c:v>
                </c:pt>
                <c:pt idx="12">
                  <c:v>24664469628332.078</c:v>
                </c:pt>
                <c:pt idx="13">
                  <c:v>40364761036492.352</c:v>
                </c:pt>
                <c:pt idx="14">
                  <c:v>66576393533372.75</c:v>
                </c:pt>
                <c:pt idx="15">
                  <c:v>110601236791721.09</c:v>
                </c:pt>
                <c:pt idx="16">
                  <c:v>184954620269907.06</c:v>
                </c:pt>
                <c:pt idx="17">
                  <c:v>311169737704422.63</c:v>
                </c:pt>
                <c:pt idx="18">
                  <c:v>526428444053176.44</c:v>
                </c:pt>
                <c:pt idx="19">
                  <c:v>895150174184620.25</c:v>
                </c:pt>
                <c:pt idx="20">
                  <c:v>1529299423610404.3</c:v>
                </c:pt>
                <c:pt idx="21">
                  <c:v>4813579236041477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8-4AF7-BF8C-A4814271D020}"/>
            </c:ext>
          </c:extLst>
        </c:ser>
        <c:ser>
          <c:idx val="6"/>
          <c:order val="6"/>
          <c:tx>
            <c:v>Cum. ACA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'Final-Peri'!$AD$26:$AD$47</c:f>
              <c:numCache>
                <c:formatCode>General</c:formatCode>
                <c:ptCount val="22"/>
                <c:pt idx="0">
                  <c:v>57435875158.814964</c:v>
                </c:pt>
                <c:pt idx="1">
                  <c:v>135189627686.41635</c:v>
                </c:pt>
                <c:pt idx="2">
                  <c:v>244439334867.34271</c:v>
                </c:pt>
                <c:pt idx="3">
                  <c:v>402602397113.81055</c:v>
                </c:pt>
                <c:pt idx="4">
                  <c:v>637265182409.41162</c:v>
                </c:pt>
                <c:pt idx="5">
                  <c:v>992634234990.89966</c:v>
                </c:pt>
                <c:pt idx="6">
                  <c:v>1540224333588.5635</c:v>
                </c:pt>
                <c:pt idx="7">
                  <c:v>2396683651257.5664</c:v>
                </c:pt>
                <c:pt idx="8">
                  <c:v>3753689059516.9956</c:v>
                </c:pt>
                <c:pt idx="9">
                  <c:v>5928339284219.209</c:v>
                </c:pt>
                <c:pt idx="10">
                  <c:v>9448499585793.0684</c:v>
                </c:pt>
                <c:pt idx="11">
                  <c:v>15197974683011.799</c:v>
                </c:pt>
                <c:pt idx="12">
                  <c:v>24664469628332.078</c:v>
                </c:pt>
                <c:pt idx="13">
                  <c:v>40364761036492.352</c:v>
                </c:pt>
                <c:pt idx="14">
                  <c:v>66576393533372.758</c:v>
                </c:pt>
                <c:pt idx="15">
                  <c:v>110601236791721.11</c:v>
                </c:pt>
                <c:pt idx="16">
                  <c:v>184954620269907.06</c:v>
                </c:pt>
                <c:pt idx="17">
                  <c:v>311169737704422.63</c:v>
                </c:pt>
                <c:pt idx="18">
                  <c:v>526428444053176.38</c:v>
                </c:pt>
                <c:pt idx="19">
                  <c:v>895150174184620.25</c:v>
                </c:pt>
                <c:pt idx="20">
                  <c:v>1529299423610404.3</c:v>
                </c:pt>
                <c:pt idx="21">
                  <c:v>3992509282933708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8-4AF7-BF8C-A4814271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92416"/>
        <c:axId val="1805491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PCA2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'Final-Peri'!$V$26:$V$47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'Final-Peri'!$W$26:$W$47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57435875158.814964</c:v>
                      </c:pt>
                      <c:pt idx="1">
                        <c:v>77753752527.601395</c:v>
                      </c:pt>
                      <c:pt idx="2">
                        <c:v>109249707180.92638</c:v>
                      </c:pt>
                      <c:pt idx="3">
                        <c:v>158163062246.46783</c:v>
                      </c:pt>
                      <c:pt idx="4">
                        <c:v>234662785295.60107</c:v>
                      </c:pt>
                      <c:pt idx="5">
                        <c:v>355369052581.4881</c:v>
                      </c:pt>
                      <c:pt idx="6">
                        <c:v>547590098597.66388</c:v>
                      </c:pt>
                      <c:pt idx="7">
                        <c:v>856459317669.00269</c:v>
                      </c:pt>
                      <c:pt idx="8">
                        <c:v>1357005408259.429</c:v>
                      </c:pt>
                      <c:pt idx="9">
                        <c:v>2174650224702.2136</c:v>
                      </c:pt>
                      <c:pt idx="10">
                        <c:v>3520160301573.8599</c:v>
                      </c:pt>
                      <c:pt idx="11">
                        <c:v>5749475097218.7305</c:v>
                      </c:pt>
                      <c:pt idx="12">
                        <c:v>9466494945320.2813</c:v>
                      </c:pt>
                      <c:pt idx="13">
                        <c:v>15700291408160.273</c:v>
                      </c:pt>
                      <c:pt idx="14">
                        <c:v>26211632496880.402</c:v>
                      </c:pt>
                      <c:pt idx="15">
                        <c:v>44024843258348.352</c:v>
                      </c:pt>
                      <c:pt idx="16">
                        <c:v>74353383478185.953</c:v>
                      </c:pt>
                      <c:pt idx="17">
                        <c:v>126215117434515.58</c:v>
                      </c:pt>
                      <c:pt idx="18">
                        <c:v>215258706348753.81</c:v>
                      </c:pt>
                      <c:pt idx="19">
                        <c:v>368721730131443.81</c:v>
                      </c:pt>
                      <c:pt idx="20">
                        <c:v>634149249425784</c:v>
                      </c:pt>
                      <c:pt idx="21">
                        <c:v>3284279812431072.5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665-4469-B995-6B7E633764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MCA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'Final-Peri'!$V$26:$V$48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'Final-Peri'!$X$26:$X$48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21095399487.226913</c:v>
                      </c:pt>
                      <c:pt idx="1">
                        <c:v>29649222535.05563</c:v>
                      </c:pt>
                      <c:pt idx="2">
                        <c:v>42935766308.691742</c:v>
                      </c:pt>
                      <c:pt idx="3">
                        <c:v>63719316408.352303</c:v>
                      </c:pt>
                      <c:pt idx="4">
                        <c:v>96518216483.528824</c:v>
                      </c:pt>
                      <c:pt idx="5">
                        <c:v>148757038402.63919</c:v>
                      </c:pt>
                      <c:pt idx="6">
                        <c:v>232707516845.41553</c:v>
                      </c:pt>
                      <c:pt idx="7">
                        <c:v>368771129154.81207</c:v>
                      </c:pt>
                      <c:pt idx="8">
                        <c:v>591053816655.38464</c:v>
                      </c:pt>
                      <c:pt idx="9">
                        <c:v>956871838941.54895</c:v>
                      </c:pt>
                      <c:pt idx="10">
                        <c:v>1563023737591.4141</c:v>
                      </c:pt>
                      <c:pt idx="11">
                        <c:v>2573746864649.167</c:v>
                      </c:pt>
                      <c:pt idx="12">
                        <c:v>4268916188736.0249</c:v>
                      </c:pt>
                      <c:pt idx="13">
                        <c:v>7127415981020.5684</c:v>
                      </c:pt>
                      <c:pt idx="14">
                        <c:v>11971801828345.408</c:v>
                      </c:pt>
                      <c:pt idx="15">
                        <c:v>20220052761775.121</c:v>
                      </c:pt>
                      <c:pt idx="16">
                        <c:v>34324919026033.211</c:v>
                      </c:pt>
                      <c:pt idx="17">
                        <c:v>58542695210119.914</c:v>
                      </c:pt>
                      <c:pt idx="18">
                        <c:v>100281826577935.94</c:v>
                      </c:pt>
                      <c:pt idx="19">
                        <c:v>172474361217291.38</c:v>
                      </c:pt>
                      <c:pt idx="20">
                        <c:v>297755563158816.19</c:v>
                      </c:pt>
                      <c:pt idx="21">
                        <c:v>515846394416197.88</c:v>
                      </c:pt>
                      <c:pt idx="22">
                        <c:v>1524254570668095.3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665-4469-B995-6B7E633764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ACA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'Final-Peri'!$V$26:$V$47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'Final-Peri'!$Y$26:$Y$47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57435875158.814964</c:v>
                      </c:pt>
                      <c:pt idx="1">
                        <c:v>77753752527.601395</c:v>
                      </c:pt>
                      <c:pt idx="2">
                        <c:v>109249707180.92638</c:v>
                      </c:pt>
                      <c:pt idx="3">
                        <c:v>158163062246.46783</c:v>
                      </c:pt>
                      <c:pt idx="4">
                        <c:v>234662785295.60101</c:v>
                      </c:pt>
                      <c:pt idx="5">
                        <c:v>355369052581.48804</c:v>
                      </c:pt>
                      <c:pt idx="6">
                        <c:v>547590098597.66394</c:v>
                      </c:pt>
                      <c:pt idx="7">
                        <c:v>856459317669.00293</c:v>
                      </c:pt>
                      <c:pt idx="8">
                        <c:v>1357005408259.4292</c:v>
                      </c:pt>
                      <c:pt idx="9">
                        <c:v>2174650224702.2136</c:v>
                      </c:pt>
                      <c:pt idx="10">
                        <c:v>3520160301573.8599</c:v>
                      </c:pt>
                      <c:pt idx="11">
                        <c:v>5749475097218.7305</c:v>
                      </c:pt>
                      <c:pt idx="12">
                        <c:v>9466494945320.2813</c:v>
                      </c:pt>
                      <c:pt idx="13">
                        <c:v>15700291408160.271</c:v>
                      </c:pt>
                      <c:pt idx="14">
                        <c:v>26211632496880.406</c:v>
                      </c:pt>
                      <c:pt idx="15">
                        <c:v>44024843258348.352</c:v>
                      </c:pt>
                      <c:pt idx="16">
                        <c:v>74353383478185.953</c:v>
                      </c:pt>
                      <c:pt idx="17">
                        <c:v>126215117434515.58</c:v>
                      </c:pt>
                      <c:pt idx="18">
                        <c:v>215258706348753.78</c:v>
                      </c:pt>
                      <c:pt idx="19">
                        <c:v>368721730131443.81</c:v>
                      </c:pt>
                      <c:pt idx="20">
                        <c:v>634149249425784</c:v>
                      </c:pt>
                      <c:pt idx="21">
                        <c:v>2463209859323304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65-4469-B995-6B7E63376402}"/>
                  </c:ext>
                </c:extLst>
              </c15:ser>
            </c15:filteredScatterSeries>
          </c:ext>
        </c:extLst>
      </c:scatterChart>
      <c:valAx>
        <c:axId val="180549241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78150777153164"/>
              <c:y val="0.93208854302826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91872"/>
        <c:crosses val="autoZero"/>
        <c:crossBetween val="midCat"/>
      </c:valAx>
      <c:valAx>
        <c:axId val="1805491872"/>
        <c:scaling>
          <c:logBase val="10"/>
          <c:orientation val="minMax"/>
          <c:max val="1E+17"/>
          <c:min val="1000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Resistance, Pa.s/m</a:t>
                </a:r>
                <a:r>
                  <a:rPr lang="en-US" sz="13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4.0060369008348079E-3"/>
              <c:y val="0.31524755919936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924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494220205796689"/>
          <c:y val="5.922393645564494E-3"/>
          <c:w val="0.87588912833795618"/>
          <c:h val="0.12301303207530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4888364412076"/>
          <c:y val="0.10072724673479552"/>
          <c:w val="0.81515298177869799"/>
          <c:h val="0.74512982706427833"/>
        </c:manualLayout>
      </c:layout>
      <c:scatterChart>
        <c:scatterStyle val="lineMarker"/>
        <c:varyColors val="0"/>
        <c:ser>
          <c:idx val="0"/>
          <c:order val="0"/>
          <c:tx>
            <c:v>Peri_PCA2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'Final-Peri'!$F$49:$F$70</c:f>
              <c:numCache>
                <c:formatCode>General</c:formatCode>
                <c:ptCount val="22"/>
                <c:pt idx="0">
                  <c:v>1549876377213.3938</c:v>
                </c:pt>
                <c:pt idx="1">
                  <c:v>5082797547118.4619</c:v>
                </c:pt>
                <c:pt idx="2">
                  <c:v>11451897345835.895</c:v>
                </c:pt>
                <c:pt idx="3">
                  <c:v>23050486478119.789</c:v>
                </c:pt>
                <c:pt idx="4">
                  <c:v>44347994337497.844</c:v>
                </c:pt>
                <c:pt idx="5">
                  <c:v>83725999713127.125</c:v>
                </c:pt>
                <c:pt idx="6">
                  <c:v>156961147889002.53</c:v>
                </c:pt>
                <c:pt idx="7">
                  <c:v>293848583855922.13</c:v>
                </c:pt>
                <c:pt idx="8">
                  <c:v>550826280065384</c:v>
                </c:pt>
                <c:pt idx="9">
                  <c:v>929039499177296.13</c:v>
                </c:pt>
                <c:pt idx="10">
                  <c:v>1721604821634906</c:v>
                </c:pt>
                <c:pt idx="11">
                  <c:v>3077789876168064</c:v>
                </c:pt>
                <c:pt idx="12">
                  <c:v>5656611143109692</c:v>
                </c:pt>
                <c:pt idx="13">
                  <c:v>1.081908969197764E+16</c:v>
                </c:pt>
                <c:pt idx="14">
                  <c:v>2.1152070493173232E+16</c:v>
                </c:pt>
                <c:pt idx="15">
                  <c:v>4.1831318908795968E+16</c:v>
                </c:pt>
                <c:pt idx="16">
                  <c:v>8.3211942644308032E+16</c:v>
                </c:pt>
                <c:pt idx="17">
                  <c:v>1.6600995675390509E+17</c:v>
                </c:pt>
                <c:pt idx="18">
                  <c:v>3.3166392495481382E+17</c:v>
                </c:pt>
                <c:pt idx="19">
                  <c:v>7.5601443846919373E+17</c:v>
                </c:pt>
                <c:pt idx="20">
                  <c:v>1.4190239592594811E+18</c:v>
                </c:pt>
                <c:pt idx="21">
                  <c:v>5.3979234575528858E+18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0-482A-8D36-24A7C2EE774C}"/>
            </c:ext>
          </c:extLst>
        </c:ser>
        <c:ser>
          <c:idx val="3"/>
          <c:order val="1"/>
          <c:tx>
            <c:v>Para_PCA2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'Final-Peri'!$Q$48:$Q$69</c:f>
              <c:numCache>
                <c:formatCode>General</c:formatCode>
                <c:ptCount val="22"/>
                <c:pt idx="0">
                  <c:v>16107660990337.982</c:v>
                </c:pt>
                <c:pt idx="1">
                  <c:v>16125084747210</c:v>
                </c:pt>
                <c:pt idx="2">
                  <c:v>16142508504082.018</c:v>
                </c:pt>
                <c:pt idx="3">
                  <c:v>16159932260954.035</c:v>
                </c:pt>
                <c:pt idx="4">
                  <c:v>16177356017826.053</c:v>
                </c:pt>
                <c:pt idx="5">
                  <c:v>16194779774698.07</c:v>
                </c:pt>
                <c:pt idx="6">
                  <c:v>16212203531570.088</c:v>
                </c:pt>
                <c:pt idx="7">
                  <c:v>16229627288442.105</c:v>
                </c:pt>
                <c:pt idx="8">
                  <c:v>16247051045314.123</c:v>
                </c:pt>
                <c:pt idx="9">
                  <c:v>16264474802186.141</c:v>
                </c:pt>
                <c:pt idx="10">
                  <c:v>16281898559058.158</c:v>
                </c:pt>
                <c:pt idx="11">
                  <c:v>16299322315930.176</c:v>
                </c:pt>
                <c:pt idx="12">
                  <c:v>16316746072802.193</c:v>
                </c:pt>
                <c:pt idx="13">
                  <c:v>16334169829674.211</c:v>
                </c:pt>
                <c:pt idx="14">
                  <c:v>16351593586546.229</c:v>
                </c:pt>
                <c:pt idx="15">
                  <c:v>16369017343418.246</c:v>
                </c:pt>
                <c:pt idx="16">
                  <c:v>16386441100290.264</c:v>
                </c:pt>
                <c:pt idx="17">
                  <c:v>16403864857162.281</c:v>
                </c:pt>
                <c:pt idx="18">
                  <c:v>16421288614034.299</c:v>
                </c:pt>
                <c:pt idx="19">
                  <c:v>16438712370906.316</c:v>
                </c:pt>
                <c:pt idx="20">
                  <c:v>16456136127778.334</c:v>
                </c:pt>
                <c:pt idx="21">
                  <c:v>16473559884650.352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80-482A-8D36-24A7C2EE774C}"/>
            </c:ext>
          </c:extLst>
        </c:ser>
        <c:ser>
          <c:idx val="1"/>
          <c:order val="2"/>
          <c:tx>
            <c:v>Peri_MCA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'Final-Peri'!$G$49:$G$71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80-482A-8D36-24A7C2EE774C}"/>
            </c:ext>
          </c:extLst>
        </c:ser>
        <c:ser>
          <c:idx val="4"/>
          <c:order val="3"/>
          <c:tx>
            <c:v>Para_MCA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'Final-Peri'!$R$48:$R$70</c:f>
              <c:numCache>
                <c:formatCode>General</c:formatCode>
                <c:ptCount val="23"/>
                <c:pt idx="0">
                  <c:v>8062042590219.7949</c:v>
                </c:pt>
                <c:pt idx="1">
                  <c:v>8067205184848.541</c:v>
                </c:pt>
                <c:pt idx="2">
                  <c:v>8072367779477.2871</c:v>
                </c:pt>
                <c:pt idx="3">
                  <c:v>8077530374106.0332</c:v>
                </c:pt>
                <c:pt idx="4">
                  <c:v>8082692968734.7793</c:v>
                </c:pt>
                <c:pt idx="5">
                  <c:v>8087855563363.5254</c:v>
                </c:pt>
                <c:pt idx="6">
                  <c:v>8093018157992.2715</c:v>
                </c:pt>
                <c:pt idx="7">
                  <c:v>8098180752621.0176</c:v>
                </c:pt>
                <c:pt idx="8">
                  <c:v>8103343347249.7637</c:v>
                </c:pt>
                <c:pt idx="9">
                  <c:v>8108505941878.5098</c:v>
                </c:pt>
                <c:pt idx="10">
                  <c:v>8113668536507.2559</c:v>
                </c:pt>
                <c:pt idx="11">
                  <c:v>8118831131136.002</c:v>
                </c:pt>
                <c:pt idx="12">
                  <c:v>8123993725764.748</c:v>
                </c:pt>
                <c:pt idx="13">
                  <c:v>8129156320393.4941</c:v>
                </c:pt>
                <c:pt idx="14">
                  <c:v>8134318915022.2402</c:v>
                </c:pt>
                <c:pt idx="15">
                  <c:v>8139481509650.9863</c:v>
                </c:pt>
                <c:pt idx="16">
                  <c:v>8144644104279.7324</c:v>
                </c:pt>
                <c:pt idx="17">
                  <c:v>8149806698908.4785</c:v>
                </c:pt>
                <c:pt idx="18">
                  <c:v>8154969293537.2246</c:v>
                </c:pt>
                <c:pt idx="19">
                  <c:v>8160131888165.9707</c:v>
                </c:pt>
                <c:pt idx="20">
                  <c:v>8165294482794.7168</c:v>
                </c:pt>
                <c:pt idx="21">
                  <c:v>8170457077423.4629</c:v>
                </c:pt>
                <c:pt idx="22">
                  <c:v>8175619672052.209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80-482A-8D36-24A7C2EE774C}"/>
            </c:ext>
          </c:extLst>
        </c:ser>
        <c:ser>
          <c:idx val="2"/>
          <c:order val="4"/>
          <c:tx>
            <c:v>Peri_ACA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'Final-Peri'!$H$49:$H$70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0-482A-8D36-24A7C2EE774C}"/>
            </c:ext>
          </c:extLst>
        </c:ser>
        <c:ser>
          <c:idx val="5"/>
          <c:order val="5"/>
          <c:tx>
            <c:v>Para_ACA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'Final-Peri'!$S$48:$S$69</c:f>
              <c:numCache>
                <c:formatCode>General</c:formatCode>
                <c:ptCount val="22"/>
                <c:pt idx="0">
                  <c:v>16107660990337.982</c:v>
                </c:pt>
                <c:pt idx="1">
                  <c:v>16125084747210</c:v>
                </c:pt>
                <c:pt idx="2">
                  <c:v>16142508504082.018</c:v>
                </c:pt>
                <c:pt idx="3">
                  <c:v>16159932260954.035</c:v>
                </c:pt>
                <c:pt idx="4">
                  <c:v>16177356017826.053</c:v>
                </c:pt>
                <c:pt idx="5">
                  <c:v>16194779774698.07</c:v>
                </c:pt>
                <c:pt idx="6">
                  <c:v>16212203531570.088</c:v>
                </c:pt>
                <c:pt idx="7">
                  <c:v>16229627288442.105</c:v>
                </c:pt>
                <c:pt idx="8">
                  <c:v>16247051045314.123</c:v>
                </c:pt>
                <c:pt idx="9">
                  <c:v>16264474802186.141</c:v>
                </c:pt>
                <c:pt idx="10">
                  <c:v>16281898559058.158</c:v>
                </c:pt>
                <c:pt idx="11">
                  <c:v>16299322315930.176</c:v>
                </c:pt>
                <c:pt idx="12">
                  <c:v>16316746072802.193</c:v>
                </c:pt>
                <c:pt idx="13">
                  <c:v>16334169829674.211</c:v>
                </c:pt>
                <c:pt idx="14">
                  <c:v>16351593586546.229</c:v>
                </c:pt>
                <c:pt idx="15">
                  <c:v>16369017343418.246</c:v>
                </c:pt>
                <c:pt idx="16">
                  <c:v>16386441100290.264</c:v>
                </c:pt>
                <c:pt idx="17">
                  <c:v>16403864857162.281</c:v>
                </c:pt>
                <c:pt idx="18">
                  <c:v>16421288614034.299</c:v>
                </c:pt>
                <c:pt idx="19">
                  <c:v>16438712370906.316</c:v>
                </c:pt>
                <c:pt idx="20">
                  <c:v>16456136127778.334</c:v>
                </c:pt>
                <c:pt idx="21">
                  <c:v>16473559884650.352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80-482A-8D36-24A7C2EE774C}"/>
            </c:ext>
          </c:extLst>
        </c:ser>
        <c:ser>
          <c:idx val="6"/>
          <c:order val="6"/>
          <c:tx>
            <c:v>Peri_Max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'Final-Peri'!$A$49:$A$70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'Final-Peri'!$Z$26:$Z$47</c:f>
              <c:numCache>
                <c:formatCode>General</c:formatCode>
                <c:ptCount val="22"/>
                <c:pt idx="0">
                  <c:v>861812314156.43164</c:v>
                </c:pt>
                <c:pt idx="1">
                  <c:v>861812314156.43164</c:v>
                </c:pt>
                <c:pt idx="2">
                  <c:v>861812314156.43164</c:v>
                </c:pt>
                <c:pt idx="3">
                  <c:v>861812314156.43164</c:v>
                </c:pt>
                <c:pt idx="4">
                  <c:v>861812314156.43164</c:v>
                </c:pt>
                <c:pt idx="5">
                  <c:v>861812314156.43164</c:v>
                </c:pt>
                <c:pt idx="6">
                  <c:v>861812314156.43164</c:v>
                </c:pt>
                <c:pt idx="7">
                  <c:v>861812314156.43164</c:v>
                </c:pt>
                <c:pt idx="8">
                  <c:v>861812314156.43164</c:v>
                </c:pt>
                <c:pt idx="9">
                  <c:v>861812314156.43164</c:v>
                </c:pt>
                <c:pt idx="10">
                  <c:v>861812314156.43164</c:v>
                </c:pt>
                <c:pt idx="11">
                  <c:v>861812314156.43164</c:v>
                </c:pt>
                <c:pt idx="12">
                  <c:v>861812314156.43164</c:v>
                </c:pt>
                <c:pt idx="13">
                  <c:v>861812314156.43164</c:v>
                </c:pt>
                <c:pt idx="14">
                  <c:v>861812314156.43164</c:v>
                </c:pt>
                <c:pt idx="15">
                  <c:v>861812314156.43164</c:v>
                </c:pt>
                <c:pt idx="16">
                  <c:v>861812314156.43164</c:v>
                </c:pt>
                <c:pt idx="17">
                  <c:v>861812314156.43164</c:v>
                </c:pt>
                <c:pt idx="18">
                  <c:v>861812314156.43164</c:v>
                </c:pt>
                <c:pt idx="19">
                  <c:v>861812314156.43164</c:v>
                </c:pt>
                <c:pt idx="20">
                  <c:v>861812314156.43164</c:v>
                </c:pt>
                <c:pt idx="21">
                  <c:v>861812314156.43164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8-446D-88CF-20B43413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00576"/>
        <c:axId val="1805486432"/>
      </c:scatterChart>
      <c:valAx>
        <c:axId val="1805500576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86432"/>
        <c:crossesAt val="1000000000"/>
        <c:crossBetween val="midCat"/>
      </c:valAx>
      <c:valAx>
        <c:axId val="1805486432"/>
        <c:scaling>
          <c:logBase val="10"/>
          <c:orientation val="minMax"/>
          <c:max val="1E+20"/>
          <c:min val="1000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Cumulative 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Resistance , Pa.s/m</a:t>
                </a:r>
                <a:r>
                  <a:rPr lang="en-US" sz="10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3707021914213835E-2"/>
              <c:y val="0.1062271008285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5005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62280841399939"/>
          <c:y val="3.2755317864584764E-2"/>
          <c:w val="0.48261516448856512"/>
          <c:h val="0.25974192477690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6506367321611"/>
          <c:y val="0.13117684084138437"/>
          <c:w val="0.80931471042483061"/>
          <c:h val="0.70253423150378369"/>
        </c:manualLayout>
      </c:layout>
      <c:scatterChart>
        <c:scatterStyle val="lineMarker"/>
        <c:varyColors val="0"/>
        <c:ser>
          <c:idx val="2"/>
          <c:order val="0"/>
          <c:tx>
            <c:v>Perivascular</c:v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triangle"/>
              <c:size val="10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E5-46A3-AC34-E395651D45F5}"/>
              </c:ext>
            </c:extLst>
          </c:dPt>
          <c:xVal>
            <c:numRef>
              <c:f>'Final-Para'!$AR$3:$AR$15</c:f>
              <c:numCache>
                <c:formatCode>0.00E+00</c:formatCode>
                <c:ptCount val="13"/>
                <c:pt idx="0">
                  <c:v>5.9999999999999997E-7</c:v>
                </c:pt>
                <c:pt idx="1">
                  <c:v>6.0000000000000002E-6</c:v>
                </c:pt>
                <c:pt idx="2">
                  <c:v>2.1000000000000002E-5</c:v>
                </c:pt>
                <c:pt idx="3">
                  <c:v>6.0000000000000002E-5</c:v>
                </c:pt>
                <c:pt idx="4">
                  <c:v>5.9999999999999995E-4</c:v>
                </c:pt>
                <c:pt idx="5">
                  <c:v>5.9999999999999993E-3</c:v>
                </c:pt>
                <c:pt idx="6">
                  <c:v>5.9999999999999991E-2</c:v>
                </c:pt>
                <c:pt idx="7">
                  <c:v>0.59999999999999987</c:v>
                </c:pt>
                <c:pt idx="8">
                  <c:v>5.9999999999999991</c:v>
                </c:pt>
                <c:pt idx="9">
                  <c:v>59.999999999999986</c:v>
                </c:pt>
                <c:pt idx="10">
                  <c:v>599.99999999999989</c:v>
                </c:pt>
                <c:pt idx="11">
                  <c:v>5999.9999999999991</c:v>
                </c:pt>
                <c:pt idx="12">
                  <c:v>59999.999999999985</c:v>
                </c:pt>
              </c:numCache>
            </c:numRef>
          </c:xVal>
          <c:yVal>
            <c:numRef>
              <c:f>'Final-Para'!$AQ$3:$AQ$15</c:f>
              <c:numCache>
                <c:formatCode>0.00E+00</c:formatCode>
                <c:ptCount val="13"/>
                <c:pt idx="0">
                  <c:v>0.40566401134976871</c:v>
                </c:pt>
                <c:pt idx="1">
                  <c:v>4.0566401134976875</c:v>
                </c:pt>
                <c:pt idx="2">
                  <c:v>14.198240397241905</c:v>
                </c:pt>
                <c:pt idx="3">
                  <c:v>40.566401134976871</c:v>
                </c:pt>
                <c:pt idx="4">
                  <c:v>405.66401134976871</c:v>
                </c:pt>
                <c:pt idx="5">
                  <c:v>4056.6401134976868</c:v>
                </c:pt>
                <c:pt idx="6">
                  <c:v>40566.401134976863</c:v>
                </c:pt>
                <c:pt idx="7">
                  <c:v>405664.01134976867</c:v>
                </c:pt>
                <c:pt idx="8">
                  <c:v>4056640.1134976866</c:v>
                </c:pt>
                <c:pt idx="9">
                  <c:v>40566401.134976864</c:v>
                </c:pt>
                <c:pt idx="10">
                  <c:v>405664011.34976864</c:v>
                </c:pt>
                <c:pt idx="11">
                  <c:v>4056640113.4976859</c:v>
                </c:pt>
                <c:pt idx="12">
                  <c:v>40566401134.97686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5-46A3-AC34-E395651D45F5}"/>
            </c:ext>
          </c:extLst>
        </c:ser>
        <c:ser>
          <c:idx val="0"/>
          <c:order val="1"/>
          <c:tx>
            <c:v>Paravascular</c:v>
          </c:tx>
          <c:spPr>
            <a:ln w="381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7E7-4AFB-AA48-391EEABDA205}"/>
              </c:ext>
            </c:extLst>
          </c:dPt>
          <c:xVal>
            <c:numRef>
              <c:f>'Final-Para'!$AC$4:$AC$12</c:f>
              <c:numCache>
                <c:formatCode>0.00E+00</c:formatCode>
                <c:ptCount val="9"/>
                <c:pt idx="0">
                  <c:v>5.9999999999999997E-7</c:v>
                </c:pt>
                <c:pt idx="1">
                  <c:v>6.0000000000000002E-6</c:v>
                </c:pt>
                <c:pt idx="2">
                  <c:v>2.1000000000000002E-5</c:v>
                </c:pt>
                <c:pt idx="3">
                  <c:v>6.0000000000000002E-5</c:v>
                </c:pt>
                <c:pt idx="4">
                  <c:v>5.9999999999999995E-4</c:v>
                </c:pt>
                <c:pt idx="5">
                  <c:v>5.9999999999999993E-3</c:v>
                </c:pt>
                <c:pt idx="6">
                  <c:v>5.9999999999999991E-2</c:v>
                </c:pt>
                <c:pt idx="7">
                  <c:v>0.59999999999999987</c:v>
                </c:pt>
                <c:pt idx="8">
                  <c:v>5.9999999999999991</c:v>
                </c:pt>
              </c:numCache>
            </c:numRef>
          </c:xVal>
          <c:yVal>
            <c:numRef>
              <c:f>'Final-Para'!$X$4:$X$12</c:f>
              <c:numCache>
                <c:formatCode>0.00E+00</c:formatCode>
                <c:ptCount val="9"/>
                <c:pt idx="0">
                  <c:v>1.3423240194599352E-2</c:v>
                </c:pt>
                <c:pt idx="1">
                  <c:v>0.13423240194599353</c:v>
                </c:pt>
                <c:pt idx="2">
                  <c:v>0.46981340681097739</c:v>
                </c:pt>
                <c:pt idx="3">
                  <c:v>1.3423240194599351</c:v>
                </c:pt>
                <c:pt idx="4">
                  <c:v>13.423240194599352</c:v>
                </c:pt>
                <c:pt idx="5">
                  <c:v>134.2324019459935</c:v>
                </c:pt>
                <c:pt idx="6">
                  <c:v>1342.324019459935</c:v>
                </c:pt>
                <c:pt idx="7">
                  <c:v>13423.24019459935</c:v>
                </c:pt>
                <c:pt idx="8">
                  <c:v>134232.40194599348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AFB-AA48-391EEABDA205}"/>
            </c:ext>
          </c:extLst>
        </c:ser>
        <c:ser>
          <c:idx val="1"/>
          <c:order val="2"/>
          <c:tx>
            <c:v>Luminal</c:v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"/>
            <c:marker>
              <c:symbol val="square"/>
              <c:size val="10"/>
              <c:spPr>
                <a:solidFill>
                  <a:schemeClr val="tx1">
                    <a:lumMod val="95000"/>
                    <a:lumOff val="5000"/>
                  </a:schemeClr>
                </a:solidFill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7E7-4AFB-AA48-391EEABDA205}"/>
              </c:ext>
            </c:extLst>
          </c:dPt>
          <c:xVal>
            <c:numRef>
              <c:f>'Final-Para'!$AD$9:$AD$16</c:f>
              <c:numCache>
                <c:formatCode>0.00E+00</c:formatCode>
                <c:ptCount val="8"/>
                <c:pt idx="0">
                  <c:v>5.9999999999999991E-2</c:v>
                </c:pt>
                <c:pt idx="1">
                  <c:v>0.59999999999999987</c:v>
                </c:pt>
                <c:pt idx="2">
                  <c:v>5.9999999999999991</c:v>
                </c:pt>
                <c:pt idx="3">
                  <c:v>59.999999999999986</c:v>
                </c:pt>
                <c:pt idx="4">
                  <c:v>3600</c:v>
                </c:pt>
                <c:pt idx="5">
                  <c:v>599.99999999999989</c:v>
                </c:pt>
                <c:pt idx="6">
                  <c:v>5999.9999999999991</c:v>
                </c:pt>
                <c:pt idx="7">
                  <c:v>59999.999999999985</c:v>
                </c:pt>
              </c:numCache>
            </c:numRef>
          </c:xVal>
          <c:yVal>
            <c:numRef>
              <c:f>'Final-Para'!$AA$9:$AA$16</c:f>
              <c:numCache>
                <c:formatCode>0.00E+00</c:formatCode>
                <c:ptCount val="8"/>
                <c:pt idx="0">
                  <c:v>1.335495171308545E-3</c:v>
                </c:pt>
                <c:pt idx="1">
                  <c:v>1.3354951713085449E-2</c:v>
                </c:pt>
                <c:pt idx="2">
                  <c:v>0.13354951713085447</c:v>
                </c:pt>
                <c:pt idx="3">
                  <c:v>1.3354951713085446</c:v>
                </c:pt>
                <c:pt idx="4">
                  <c:v>80.129710278512704</c:v>
                </c:pt>
                <c:pt idx="5">
                  <c:v>13.354951713085446</c:v>
                </c:pt>
                <c:pt idx="6">
                  <c:v>133.5495171308545</c:v>
                </c:pt>
                <c:pt idx="7">
                  <c:v>1335.4951713085447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7-4AFB-AA48-391EEABD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96768"/>
        <c:axId val="1805497312"/>
      </c:scatterChart>
      <c:valAx>
        <c:axId val="1805496768"/>
        <c:scaling>
          <c:logBase val="10"/>
          <c:orientation val="minMax"/>
          <c:max val="100000"/>
          <c:min val="1.0000000000000005E-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131186313057151"/>
              <c:y val="0.91132573330521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97312"/>
        <c:crossesAt val="1.0000000000000003E-4"/>
        <c:crossBetween val="midCat"/>
        <c:majorUnit val="100"/>
      </c:valAx>
      <c:valAx>
        <c:axId val="1805497312"/>
        <c:scaling>
          <c:logBase val="10"/>
          <c:orientation val="minMax"/>
          <c:max val="100000"/>
          <c:min val="1.0000000000000003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Pressure, mmHg</a:t>
                </a:r>
              </a:p>
            </c:rich>
          </c:tx>
          <c:layout>
            <c:manualLayout>
              <c:xMode val="edge"/>
              <c:yMode val="edge"/>
              <c:x val="1.457083005052587E-2"/>
              <c:y val="0.28098341961404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96768"/>
        <c:crossesAt val="1.0000000000000005E-7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373236810735406"/>
          <c:y val="2.7761191376723358E-2"/>
          <c:w val="0.69464244182854251"/>
          <c:h val="7.30279262922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3429207212334"/>
          <c:y val="0.12326822639686853"/>
          <c:w val="0.81720446423413395"/>
          <c:h val="0.74311688826230937"/>
        </c:manualLayout>
      </c:layout>
      <c:scatterChart>
        <c:scatterStyle val="lineMarker"/>
        <c:varyColors val="0"/>
        <c:ser>
          <c:idx val="3"/>
          <c:order val="3"/>
          <c:tx>
            <c:v>Required Resistance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'Final-Para'!$Z$26:$Z$48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7-4FE5-99DE-E4152A6522B6}"/>
            </c:ext>
          </c:extLst>
        </c:ser>
        <c:ser>
          <c:idx val="5"/>
          <c:order val="4"/>
          <c:tx>
            <c:v>Para-MCA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'Final-Para'!$AC$26:$AC$48</c:f>
              <c:numCache>
                <c:formatCode>General</c:formatCode>
                <c:ptCount val="23"/>
                <c:pt idx="0">
                  <c:v>29799254768.517307</c:v>
                </c:pt>
                <c:pt idx="1">
                  <c:v>63618338184.936241</c:v>
                </c:pt>
                <c:pt idx="2">
                  <c:v>101999512882.46756</c:v>
                </c:pt>
                <c:pt idx="3">
                  <c:v>145558191070.86658</c:v>
                </c:pt>
                <c:pt idx="4">
                  <c:v>194992802191.36853</c:v>
                </c:pt>
                <c:pt idx="5">
                  <c:v>251095991688.20016</c:v>
                </c:pt>
                <c:pt idx="6">
                  <c:v>314767330460.23737</c:v>
                </c:pt>
                <c:pt idx="7">
                  <c:v>387027738778.95654</c:v>
                </c:pt>
                <c:pt idx="8">
                  <c:v>469035855948.95697</c:v>
                </c:pt>
                <c:pt idx="9">
                  <c:v>562106618185.79736</c:v>
                </c:pt>
                <c:pt idx="10">
                  <c:v>667732342592.93213</c:v>
                </c:pt>
                <c:pt idx="11">
                  <c:v>787606655302.87744</c:v>
                </c:pt>
                <c:pt idx="12">
                  <c:v>923651647451.69458</c:v>
                </c:pt>
                <c:pt idx="13">
                  <c:v>1078048694411.6656</c:v>
                </c:pt>
                <c:pt idx="14">
                  <c:v>1253273432444.5298</c:v>
                </c:pt>
                <c:pt idx="15">
                  <c:v>1452135453598.6396</c:v>
                </c:pt>
                <c:pt idx="16">
                  <c:v>1677823355326.7656</c:v>
                </c:pt>
                <c:pt idx="17">
                  <c:v>1933955867160.0415</c:v>
                </c:pt>
                <c:pt idx="18">
                  <c:v>2224639874214.4058</c:v>
                </c:pt>
                <c:pt idx="19">
                  <c:v>2554536267891.2202</c:v>
                </c:pt>
                <c:pt idx="20">
                  <c:v>2928934679636.7061</c:v>
                </c:pt>
                <c:pt idx="21">
                  <c:v>3353838296057.7612</c:v>
                </c:pt>
                <c:pt idx="22">
                  <c:v>3836060115338.4033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7-4FE5-99DE-E4152A6522B6}"/>
            </c:ext>
          </c:extLst>
        </c:ser>
        <c:ser>
          <c:idx val="4"/>
          <c:order val="5"/>
          <c:tx>
            <c:v>Para-PCA2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'Final-Para'!$AB$26:$AB$47</c:f>
              <c:numCache>
                <c:formatCode>General</c:formatCode>
                <c:ptCount val="22"/>
                <c:pt idx="0">
                  <c:v>112191933983341.08</c:v>
                </c:pt>
                <c:pt idx="1">
                  <c:v>203901961762638.88</c:v>
                </c:pt>
                <c:pt idx="2">
                  <c:v>278869286922827.75</c:v>
                </c:pt>
                <c:pt idx="3">
                  <c:v>340150479151864.94</c:v>
                </c:pt>
                <c:pt idx="4">
                  <c:v>390244096777780.88</c:v>
                </c:pt>
                <c:pt idx="5">
                  <c:v>431192558052371.5</c:v>
                </c:pt>
                <c:pt idx="6">
                  <c:v>464665414680102.25</c:v>
                </c:pt>
                <c:pt idx="7">
                  <c:v>492027422822661.38</c:v>
                </c:pt>
                <c:pt idx="8">
                  <c:v>514394186971892.25</c:v>
                </c:pt>
                <c:pt idx="9">
                  <c:v>532677645404506.06</c:v>
                </c:pt>
                <c:pt idx="10">
                  <c:v>547623251752691.69</c:v>
                </c:pt>
                <c:pt idx="11">
                  <c:v>559840368658565.5</c:v>
                </c:pt>
                <c:pt idx="12">
                  <c:v>569827112723312.5</c:v>
                </c:pt>
                <c:pt idx="13">
                  <c:v>577990663729917.63</c:v>
                </c:pt>
                <c:pt idx="14">
                  <c:v>584663866187633</c:v>
                </c:pt>
                <c:pt idx="15">
                  <c:v>590118800076773.63</c:v>
                </c:pt>
                <c:pt idx="16">
                  <c:v>594577874100594.25</c:v>
                </c:pt>
                <c:pt idx="17">
                  <c:v>598222893738594.75</c:v>
                </c:pt>
                <c:pt idx="18">
                  <c:v>601202473824153.75</c:v>
                </c:pt>
                <c:pt idx="19">
                  <c:v>603638097872294.63</c:v>
                </c:pt>
                <c:pt idx="20">
                  <c:v>605629071208649.63</c:v>
                </c:pt>
                <c:pt idx="21">
                  <c:v>607256569848721.75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7-4FE5-99DE-E4152A6522B6}"/>
            </c:ext>
          </c:extLst>
        </c:ser>
        <c:ser>
          <c:idx val="6"/>
          <c:order val="6"/>
          <c:tx>
            <c:v>Para-ACA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'Final-Para'!$AD$26:$AD$47</c:f>
              <c:numCache>
                <c:formatCode>General</c:formatCode>
                <c:ptCount val="22"/>
                <c:pt idx="0">
                  <c:v>114139233642.35962</c:v>
                </c:pt>
                <c:pt idx="1">
                  <c:v>243675502036.40198</c:v>
                </c:pt>
                <c:pt idx="2">
                  <c:v>390685818243.97473</c:v>
                </c:pt>
                <c:pt idx="3">
                  <c:v>557527378058.77441</c:v>
                </c:pt>
                <c:pt idx="4">
                  <c:v>746875355802.948</c:v>
                </c:pt>
                <c:pt idx="5">
                  <c:v>961765798661.46484</c:v>
                </c:pt>
                <c:pt idx="6">
                  <c:v>1205644307331.4653</c:v>
                </c:pt>
                <c:pt idx="7">
                  <c:v>1482421283542.8401</c:v>
                </c:pt>
                <c:pt idx="8">
                  <c:v>1796534630300.9553</c:v>
                </c:pt>
                <c:pt idx="9">
                  <c:v>2153020910201.0283</c:v>
                </c:pt>
                <c:pt idx="10">
                  <c:v>2557596102782.2393</c:v>
                </c:pt>
                <c:pt idx="11">
                  <c:v>3016747255802.7861</c:v>
                </c:pt>
                <c:pt idx="12">
                  <c:v>3537836499992.6147</c:v>
                </c:pt>
                <c:pt idx="13">
                  <c:v>4129219095079.2832</c:v>
                </c:pt>
                <c:pt idx="14">
                  <c:v>4800377399862.9395</c:v>
                </c:pt>
                <c:pt idx="15">
                  <c:v>5562072914446.1123</c:v>
                </c:pt>
                <c:pt idx="16">
                  <c:v>6426518832496.9082</c:v>
                </c:pt>
                <c:pt idx="17">
                  <c:v>7407575870286.6279</c:v>
                </c:pt>
                <c:pt idx="18">
                  <c:v>8520974512467.7148</c:v>
                </c:pt>
                <c:pt idx="19">
                  <c:v>9784567238129.8047</c:v>
                </c:pt>
                <c:pt idx="20">
                  <c:v>11218614771382.016</c:v>
                </c:pt>
                <c:pt idx="21">
                  <c:v>12846110946266.375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C7-4FE5-99DE-E4152A6522B6}"/>
            </c:ext>
          </c:extLst>
        </c:ser>
        <c:ser>
          <c:idx val="7"/>
          <c:order val="7"/>
          <c:tx>
            <c:v>Peri-PCA2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'Final-Para'!$AP$26:$AP$47</c:f>
              <c:numCache>
                <c:formatCode>General</c:formatCode>
                <c:ptCount val="22"/>
                <c:pt idx="0">
                  <c:v>16107660990337.982</c:v>
                </c:pt>
                <c:pt idx="1">
                  <c:v>20119573601679.508</c:v>
                </c:pt>
                <c:pt idx="2">
                  <c:v>22492449298727.848</c:v>
                </c:pt>
                <c:pt idx="3">
                  <c:v>24493167739834.344</c:v>
                </c:pt>
                <c:pt idx="4">
                  <c:v>26542107667461.039</c:v>
                </c:pt>
                <c:pt idx="5">
                  <c:v>28914983364509.383</c:v>
                </c:pt>
                <c:pt idx="6">
                  <c:v>31906211386237.055</c:v>
                </c:pt>
                <c:pt idx="7">
                  <c:v>35918123997578.586</c:v>
                </c:pt>
                <c:pt idx="8">
                  <c:v>41559596373671.039</c:v>
                </c:pt>
                <c:pt idx="9">
                  <c:v>49793615752710.273</c:v>
                </c:pt>
                <c:pt idx="10">
                  <c:v>62178785815947.297</c:v>
                </c:pt>
                <c:pt idx="11">
                  <c:v>81276039146084.406</c:v>
                </c:pt>
                <c:pt idx="12">
                  <c:v>111342403502153.81</c:v>
                </c:pt>
                <c:pt idx="13">
                  <c:v>159524257558659.56</c:v>
                </c:pt>
                <c:pt idx="14">
                  <c:v>237923451129198.19</c:v>
                </c:pt>
                <c:pt idx="15">
                  <c:v>367196040574721.44</c:v>
                </c:pt>
                <c:pt idx="16">
                  <c:v>582854667438302.63</c:v>
                </c:pt>
                <c:pt idx="17">
                  <c:v>946361635242897.13</c:v>
                </c:pt>
                <c:pt idx="18">
                  <c:v>1564746592815671</c:v>
                </c:pt>
                <c:pt idx="19">
                  <c:v>2625453233289436</c:v>
                </c:pt>
                <c:pt idx="20">
                  <c:v>4458493883288377.5</c:v>
                </c:pt>
                <c:pt idx="21">
                  <c:v>1.4026245859339282E+16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1-48A6-9DB2-6A0DA63B438C}"/>
            </c:ext>
          </c:extLst>
        </c:ser>
        <c:ser>
          <c:idx val="8"/>
          <c:order val="8"/>
          <c:tx>
            <c:v>Peri-MCA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'Final-Para'!$AQ$26:$AQ$48</c:f>
              <c:numCache>
                <c:formatCode>General</c:formatCode>
                <c:ptCount val="23"/>
                <c:pt idx="0">
                  <c:v>8062042590219.7949</c:v>
                </c:pt>
                <c:pt idx="1">
                  <c:v>10071237009080.566</c:v>
                </c:pt>
                <c:pt idx="2">
                  <c:v>11259951856885.463</c:v>
                </c:pt>
                <c:pt idx="3">
                  <c:v>12262341800730.514</c:v>
                </c:pt>
                <c:pt idx="4">
                  <c:v>13288875204912.328</c:v>
                </c:pt>
                <c:pt idx="5">
                  <c:v>14477590052717.225</c:v>
                </c:pt>
                <c:pt idx="6">
                  <c:v>15975863677314.447</c:v>
                </c:pt>
                <c:pt idx="7">
                  <c:v>17985058096175.219</c:v>
                </c:pt>
                <c:pt idx="8">
                  <c:v>20809863211143.844</c:v>
                </c:pt>
                <c:pt idx="9">
                  <c:v>24932114287650.352</c:v>
                </c:pt>
                <c:pt idx="10">
                  <c:v>31131587445263.883</c:v>
                </c:pt>
                <c:pt idx="11">
                  <c:v>40689416623898.617</c:v>
                </c:pt>
                <c:pt idx="12">
                  <c:v>55735063987679.93</c:v>
                </c:pt>
                <c:pt idx="13">
                  <c:v>79843074550034.953</c:v>
                </c:pt>
                <c:pt idx="14">
                  <c:v>119066321442163.45</c:v>
                </c:pt>
                <c:pt idx="15">
                  <c:v>183735645051077.31</c:v>
                </c:pt>
                <c:pt idx="16">
                  <c:v>291611441812550.88</c:v>
                </c:pt>
                <c:pt idx="17">
                  <c:v>473430789928712.25</c:v>
                </c:pt>
                <c:pt idx="18">
                  <c:v>782717165464663.75</c:v>
                </c:pt>
                <c:pt idx="19">
                  <c:v>1313205068246112.8</c:v>
                </c:pt>
                <c:pt idx="20">
                  <c:v>2229919292242009.5</c:v>
                </c:pt>
                <c:pt idx="21">
                  <c:v>3824825140148503</c:v>
                </c:pt>
                <c:pt idx="22">
                  <c:v>8571251582903232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1-48A6-9DB2-6A0DA63B438C}"/>
            </c:ext>
          </c:extLst>
        </c:ser>
        <c:ser>
          <c:idx val="9"/>
          <c:order val="9"/>
          <c:tx>
            <c:v>Peri-ACA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'Final-Para'!$AR$26:$AR$47</c:f>
              <c:numCache>
                <c:formatCode>General</c:formatCode>
                <c:ptCount val="22"/>
                <c:pt idx="0">
                  <c:v>16107660990337.982</c:v>
                </c:pt>
                <c:pt idx="1">
                  <c:v>20119573601679.508</c:v>
                </c:pt>
                <c:pt idx="2">
                  <c:v>22492449298727.848</c:v>
                </c:pt>
                <c:pt idx="3">
                  <c:v>24493167739834.344</c:v>
                </c:pt>
                <c:pt idx="4">
                  <c:v>26542107667461.039</c:v>
                </c:pt>
                <c:pt idx="5">
                  <c:v>28914983364509.383</c:v>
                </c:pt>
                <c:pt idx="6">
                  <c:v>31906211386237.055</c:v>
                </c:pt>
                <c:pt idx="7">
                  <c:v>35918123997578.586</c:v>
                </c:pt>
                <c:pt idx="8">
                  <c:v>41559596373671.039</c:v>
                </c:pt>
                <c:pt idx="9">
                  <c:v>49793615752710.273</c:v>
                </c:pt>
                <c:pt idx="10">
                  <c:v>62178785815947.297</c:v>
                </c:pt>
                <c:pt idx="11">
                  <c:v>81276039146084.406</c:v>
                </c:pt>
                <c:pt idx="12">
                  <c:v>111342403502153.81</c:v>
                </c:pt>
                <c:pt idx="13">
                  <c:v>159524257558659.56</c:v>
                </c:pt>
                <c:pt idx="14">
                  <c:v>237923451129198.22</c:v>
                </c:pt>
                <c:pt idx="15">
                  <c:v>367196040574721.44</c:v>
                </c:pt>
                <c:pt idx="16">
                  <c:v>582854667438302.63</c:v>
                </c:pt>
                <c:pt idx="17">
                  <c:v>946361635242897.13</c:v>
                </c:pt>
                <c:pt idx="18">
                  <c:v>1564746592815671</c:v>
                </c:pt>
                <c:pt idx="19">
                  <c:v>2625453233289435.5</c:v>
                </c:pt>
                <c:pt idx="20">
                  <c:v>4458493883288377</c:v>
                </c:pt>
                <c:pt idx="21">
                  <c:v>1.1634307865326556E+16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48A6-9DB2-6A0DA63B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79360"/>
        <c:axId val="1805509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PCA2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'Final-Para'!$V$26:$V$47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'Final-Para'!$W$26:$W$47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112191933983341.08</c:v>
                      </c:pt>
                      <c:pt idx="1">
                        <c:v>91710027779297.813</c:v>
                      </c:pt>
                      <c:pt idx="2">
                        <c:v>74967325160188.891</c:v>
                      </c:pt>
                      <c:pt idx="3">
                        <c:v>61281192229037.18</c:v>
                      </c:pt>
                      <c:pt idx="4">
                        <c:v>50093617625915.906</c:v>
                      </c:pt>
                      <c:pt idx="5">
                        <c:v>40948461274590.625</c:v>
                      </c:pt>
                      <c:pt idx="6">
                        <c:v>33472856627730.723</c:v>
                      </c:pt>
                      <c:pt idx="7">
                        <c:v>27362008142559.152</c:v>
                      </c:pt>
                      <c:pt idx="8">
                        <c:v>22366764149230.895</c:v>
                      </c:pt>
                      <c:pt idx="9">
                        <c:v>18283458432613.793</c:v>
                      </c:pt>
                      <c:pt idx="10">
                        <c:v>14945606348185.648</c:v>
                      </c:pt>
                      <c:pt idx="11">
                        <c:v>12217116905873.816</c:v>
                      </c:pt>
                      <c:pt idx="12">
                        <c:v>9986744064746.9785</c:v>
                      </c:pt>
                      <c:pt idx="13">
                        <c:v>8163551006605.1533</c:v>
                      </c:pt>
                      <c:pt idx="14">
                        <c:v>6673202457715.3779</c:v>
                      </c:pt>
                      <c:pt idx="15">
                        <c:v>5454933889140.6318</c:v>
                      </c:pt>
                      <c:pt idx="16">
                        <c:v>4459074023820.6748</c:v>
                      </c:pt>
                      <c:pt idx="17">
                        <c:v>3645019638000.5493</c:v>
                      </c:pt>
                      <c:pt idx="18">
                        <c:v>2979580085559.0293</c:v>
                      </c:pt>
                      <c:pt idx="19">
                        <c:v>2435624048140.8936</c:v>
                      </c:pt>
                      <c:pt idx="20">
                        <c:v>1990973336354.9519</c:v>
                      </c:pt>
                      <c:pt idx="21">
                        <c:v>1627498640072.1663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DC7-4FE5-99DE-E4152A6522B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MCA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'Final-Para'!$V$26:$V$48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'Final-Para'!$X$26:$X$48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29799254768.517307</c:v>
                      </c:pt>
                      <c:pt idx="1">
                        <c:v>33819083416.418934</c:v>
                      </c:pt>
                      <c:pt idx="2">
                        <c:v>38381174697.531326</c:v>
                      </c:pt>
                      <c:pt idx="3">
                        <c:v>43558678188.399002</c:v>
                      </c:pt>
                      <c:pt idx="4">
                        <c:v>49434611120.501953</c:v>
                      </c:pt>
                      <c:pt idx="5">
                        <c:v>56103189496.831627</c:v>
                      </c:pt>
                      <c:pt idx="6">
                        <c:v>63671338772.037209</c:v>
                      </c:pt>
                      <c:pt idx="7">
                        <c:v>72260408318.719162</c:v>
                      </c:pt>
                      <c:pt idx="8">
                        <c:v>82008117170.000412</c:v>
                      </c:pt>
                      <c:pt idx="9">
                        <c:v>93070762236.840408</c:v>
                      </c:pt>
                      <c:pt idx="10">
                        <c:v>105625724407.13472</c:v>
                      </c:pt>
                      <c:pt idx="11">
                        <c:v>119874312709.94533</c:v>
                      </c:pt>
                      <c:pt idx="12">
                        <c:v>136044992148.81708</c:v>
                      </c:pt>
                      <c:pt idx="13">
                        <c:v>154397046959.97107</c:v>
                      </c:pt>
                      <c:pt idx="14">
                        <c:v>175224738032.86411</c:v>
                      </c:pt>
                      <c:pt idx="15">
                        <c:v>198862021154.10989</c:v>
                      </c:pt>
                      <c:pt idx="16">
                        <c:v>225687901728.12589</c:v>
                      </c:pt>
                      <c:pt idx="17">
                        <c:v>256132511833.27588</c:v>
                      </c:pt>
                      <c:pt idx="18">
                        <c:v>290684007054.36414</c:v>
                      </c:pt>
                      <c:pt idx="19">
                        <c:v>329896393676.81427</c:v>
                      </c:pt>
                      <c:pt idx="20">
                        <c:v>374398411745.48596</c:v>
                      </c:pt>
                      <c:pt idx="21">
                        <c:v>424903616421.05499</c:v>
                      </c:pt>
                      <c:pt idx="22">
                        <c:v>482221819280.64203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C7-4FE5-99DE-E4152A6522B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ACA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'Final-Para'!$V$26:$V$47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'Final-Para'!$Y$26:$Y$47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114139233642.35962</c:v>
                      </c:pt>
                      <c:pt idx="1">
                        <c:v>129536268394.04236</c:v>
                      </c:pt>
                      <c:pt idx="2">
                        <c:v>147010316207.57275</c:v>
                      </c:pt>
                      <c:pt idx="3">
                        <c:v>166841559814.79974</c:v>
                      </c:pt>
                      <c:pt idx="4">
                        <c:v>189347977744.17355</c:v>
                      </c:pt>
                      <c:pt idx="5">
                        <c:v>214890442858.51685</c:v>
                      </c:pt>
                      <c:pt idx="6">
                        <c:v>243878508670.00049</c:v>
                      </c:pt>
                      <c:pt idx="7">
                        <c:v>276776976211.37476</c:v>
                      </c:pt>
                      <c:pt idx="8">
                        <c:v>314113346758.1153</c:v>
                      </c:pt>
                      <c:pt idx="9">
                        <c:v>356486279900.073</c:v>
                      </c:pt>
                      <c:pt idx="10">
                        <c:v>404575192581.211</c:v>
                      </c:pt>
                      <c:pt idx="11">
                        <c:v>459151153020.54706</c:v>
                      </c:pt>
                      <c:pt idx="12">
                        <c:v>521089244189.82861</c:v>
                      </c:pt>
                      <c:pt idx="13">
                        <c:v>591382595086.66821</c:v>
                      </c:pt>
                      <c:pt idx="14">
                        <c:v>671158304783.65674</c:v>
                      </c:pt>
                      <c:pt idx="15">
                        <c:v>761695514583.17261</c:v>
                      </c:pt>
                      <c:pt idx="16">
                        <c:v>864445918050.79614</c:v>
                      </c:pt>
                      <c:pt idx="17">
                        <c:v>981057037789.71948</c:v>
                      </c:pt>
                      <c:pt idx="18">
                        <c:v>1113398642181.0869</c:v>
                      </c:pt>
                      <c:pt idx="19">
                        <c:v>1263592725662.0896</c:v>
                      </c:pt>
                      <c:pt idx="20">
                        <c:v>1434047533252.2117</c:v>
                      </c:pt>
                      <c:pt idx="21">
                        <c:v>1627496174884.3601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C7-4FE5-99DE-E4152A6522B6}"/>
                  </c:ext>
                </c:extLst>
              </c15:ser>
            </c15:filteredScatterSeries>
          </c:ext>
        </c:extLst>
      </c:scatterChart>
      <c:valAx>
        <c:axId val="1805479360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78150777153164"/>
              <c:y val="0.93208854302826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509280"/>
        <c:crosses val="autoZero"/>
        <c:crossBetween val="midCat"/>
      </c:valAx>
      <c:valAx>
        <c:axId val="1805509280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Resistance, Pa.s/m</a:t>
                </a:r>
                <a:r>
                  <a:rPr lang="en-US" sz="1300" b="1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5600461852357833E-3"/>
              <c:y val="0.31524750874108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4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68362222707104"/>
          <c:y val="5.922393645564494E-3"/>
          <c:w val="0.7780599013077627"/>
          <c:h val="0.24073731613068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299357</xdr:colOff>
      <xdr:row>2</xdr:row>
      <xdr:rowOff>179294</xdr:rowOff>
    </xdr:from>
    <xdr:to>
      <xdr:col>55</xdr:col>
      <xdr:colOff>353155</xdr:colOff>
      <xdr:row>25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C7D95-8051-4F0E-9165-1FA7F64B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207819</xdr:colOff>
      <xdr:row>36</xdr:row>
      <xdr:rowOff>111990</xdr:rowOff>
    </xdr:from>
    <xdr:to>
      <xdr:col>11</xdr:col>
      <xdr:colOff>358589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DB28B-4908-4C3B-B33C-BF80C57A9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0.11813</cdr:x>
      <cdr:y>0.85019</cdr:y>
    </cdr:from>
    <cdr:to>
      <cdr:x>0.99185</cdr:x>
      <cdr:y>0.95331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1EEE1C-5580-4DD2-B161-BE7567BE0E20}"/>
            </a:ext>
          </a:extLst>
        </cdr:cNvPr>
        <cdr:cNvSpPr txBox="1"/>
      </cdr:nvSpPr>
      <cdr:spPr>
        <a:xfrm xmlns:a="http://schemas.openxmlformats.org/drawingml/2006/main">
          <a:off x="866587" y="3264639"/>
          <a:ext cx="6409765" cy="395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30            29           28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27           26          25           24            23           22          21          20         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481852</xdr:colOff>
      <xdr:row>1</xdr:row>
      <xdr:rowOff>17930</xdr:rowOff>
    </xdr:from>
    <xdr:to>
      <xdr:col>40</xdr:col>
      <xdr:colOff>457200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93E4B-E121-4E88-87B7-4F51B3E0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7473</xdr:colOff>
      <xdr:row>22</xdr:row>
      <xdr:rowOff>76201</xdr:rowOff>
    </xdr:from>
    <xdr:to>
      <xdr:col>40</xdr:col>
      <xdr:colOff>71719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65237-83B1-498F-A72B-6B862C48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418165</xdr:colOff>
      <xdr:row>43</xdr:row>
      <xdr:rowOff>48746</xdr:rowOff>
    </xdr:from>
    <xdr:to>
      <xdr:col>14</xdr:col>
      <xdr:colOff>815340</xdr:colOff>
      <xdr:row>59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3387B-614B-4153-91F2-A0FF592F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481852</xdr:colOff>
      <xdr:row>1</xdr:row>
      <xdr:rowOff>17930</xdr:rowOff>
    </xdr:from>
    <xdr:to>
      <xdr:col>40</xdr:col>
      <xdr:colOff>457200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B3EFA-0314-42D4-91F1-21600105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7473</xdr:colOff>
      <xdr:row>22</xdr:row>
      <xdr:rowOff>76201</xdr:rowOff>
    </xdr:from>
    <xdr:to>
      <xdr:col>40</xdr:col>
      <xdr:colOff>71719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B6DDE-7906-4E8E-A237-8A62D754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4.5" x14ac:dyDescent="0.35"/>
  <sheetData>
    <row r="1" spans="1:3" x14ac:dyDescent="0.35">
      <c r="A1" t="s">
        <v>84</v>
      </c>
    </row>
    <row r="2" spans="1:3" ht="409.5" x14ac:dyDescent="0.35">
      <c r="B2" t="s">
        <v>85</v>
      </c>
      <c r="C2" s="38" t="s">
        <v>170</v>
      </c>
    </row>
    <row r="3" spans="1:3" x14ac:dyDescent="0.35">
      <c r="B3" t="s">
        <v>86</v>
      </c>
      <c r="C3" t="s">
        <v>171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32"/>
  <sheetViews>
    <sheetView workbookViewId="0">
      <selection activeCell="N7" sqref="N7"/>
    </sheetView>
  </sheetViews>
  <sheetFormatPr defaultRowHeight="14.5" x14ac:dyDescent="0.35"/>
  <cols>
    <col min="4" max="4" width="11.81640625" bestFit="1" customWidth="1"/>
    <col min="5" max="5" width="9.54296875" customWidth="1"/>
    <col min="9" max="9" width="12.90625" customWidth="1"/>
    <col min="10" max="10" width="10.81640625" bestFit="1" customWidth="1"/>
    <col min="12" max="12" width="8.90625" customWidth="1"/>
    <col min="13" max="13" width="12" bestFit="1" customWidth="1"/>
    <col min="14" max="14" width="9.6328125" customWidth="1"/>
    <col min="17" max="17" width="10" customWidth="1"/>
    <col min="20" max="20" width="6.36328125" customWidth="1"/>
  </cols>
  <sheetData>
    <row r="1" spans="2:20" x14ac:dyDescent="0.35">
      <c r="B1" t="s">
        <v>28</v>
      </c>
      <c r="C1">
        <v>1E-3</v>
      </c>
      <c r="E1" s="1" t="s">
        <v>33</v>
      </c>
      <c r="F1" s="2">
        <f>F2*7*10^-7</f>
        <v>6.9509999999999993E-4</v>
      </c>
      <c r="G1" t="s">
        <v>53</v>
      </c>
      <c r="H1">
        <f>1.2/1000</f>
        <v>1.1999999999999999E-3</v>
      </c>
      <c r="J1" t="s">
        <v>88</v>
      </c>
      <c r="K1">
        <v>1.26</v>
      </c>
      <c r="M1" t="s">
        <v>115</v>
      </c>
      <c r="N1">
        <f>2*(0.5^(16/3.67))*C1</f>
        <v>9.7417648899176843E-5</v>
      </c>
    </row>
    <row r="2" spans="2:20" ht="15" thickBot="1" x14ac:dyDescent="0.4">
      <c r="B2" t="s">
        <v>26</v>
      </c>
      <c r="C2">
        <f>'Final-Peri'!I11</f>
        <v>29</v>
      </c>
      <c r="E2" s="3" t="s">
        <v>34</v>
      </c>
      <c r="F2" s="4">
        <v>993</v>
      </c>
      <c r="J2" t="s">
        <v>116</v>
      </c>
      <c r="K2">
        <v>0.66518999999999995</v>
      </c>
    </row>
    <row r="3" spans="2:20" x14ac:dyDescent="0.35">
      <c r="B3" t="s">
        <v>25</v>
      </c>
      <c r="C3" t="s">
        <v>87</v>
      </c>
      <c r="D3" t="s">
        <v>169</v>
      </c>
      <c r="E3" t="s">
        <v>89</v>
      </c>
      <c r="J3" t="s">
        <v>32</v>
      </c>
      <c r="L3" t="s">
        <v>29</v>
      </c>
      <c r="T3" t="s">
        <v>30</v>
      </c>
    </row>
    <row r="4" spans="2:20" x14ac:dyDescent="0.35">
      <c r="B4">
        <v>0</v>
      </c>
      <c r="C4">
        <f t="shared" ref="C4:C31" si="0">(($K$2^(-4)-1)-(($K$2^(-2)-1)^2/(LN(($K$2^(-1))))))^-1</f>
        <v>4.6861993776949964</v>
      </c>
      <c r="E4">
        <f>(160*$F$1)/(3.1415*(0.5)^(0.817438692098092*B4)*$C$1^3)</f>
        <v>35402196.402992189</v>
      </c>
      <c r="J4">
        <f>E4*C4</f>
        <v>165901750.75273803</v>
      </c>
      <c r="L4">
        <f>J4/(2^B4)</f>
        <v>165901750.75273803</v>
      </c>
      <c r="T4">
        <f>SUM(R4:R25)</f>
        <v>0</v>
      </c>
    </row>
    <row r="5" spans="2:20" x14ac:dyDescent="0.35">
      <c r="B5">
        <v>1</v>
      </c>
      <c r="C5">
        <f t="shared" si="0"/>
        <v>4.6861993776949964</v>
      </c>
      <c r="E5">
        <f t="shared" ref="E5:E31" si="1">(160*$F$1)/(3.1415*(0.5)^(0.817438692098092*B5)*$C$1^3)</f>
        <v>62388389.240949914</v>
      </c>
      <c r="J5">
        <f t="shared" ref="J5:J31" si="2">E5*C5</f>
        <v>292364430.83633268</v>
      </c>
      <c r="L5">
        <f t="shared" ref="L5:L31" si="3">J5/(2^B5)</f>
        <v>146182215.41816634</v>
      </c>
    </row>
    <row r="6" spans="2:20" x14ac:dyDescent="0.35">
      <c r="B6">
        <f>B5+1</f>
        <v>2</v>
      </c>
      <c r="C6">
        <f t="shared" si="0"/>
        <v>4.6861993776949964</v>
      </c>
      <c r="E6">
        <f t="shared" si="1"/>
        <v>109945469.70400111</v>
      </c>
      <c r="J6">
        <f t="shared" si="2"/>
        <v>515226391.70727408</v>
      </c>
      <c r="L6">
        <f t="shared" si="3"/>
        <v>128806597.92681852</v>
      </c>
      <c r="N6" s="41">
        <f>(SUM(L21:L32))</f>
        <v>97438855015.031982</v>
      </c>
    </row>
    <row r="7" spans="2:20" x14ac:dyDescent="0.35">
      <c r="B7">
        <f t="shared" ref="B7:B25" si="4">B6+1</f>
        <v>3</v>
      </c>
      <c r="C7">
        <f t="shared" si="0"/>
        <v>4.6861993776949964</v>
      </c>
      <c r="E7">
        <f t="shared" si="1"/>
        <v>193754101.61253557</v>
      </c>
      <c r="J7">
        <f t="shared" si="2"/>
        <v>907970350.40251732</v>
      </c>
      <c r="L7">
        <f t="shared" si="3"/>
        <v>113496293.80031466</v>
      </c>
    </row>
    <row r="8" spans="2:20" x14ac:dyDescent="0.35">
      <c r="B8">
        <f t="shared" si="4"/>
        <v>4</v>
      </c>
      <c r="C8">
        <f t="shared" si="0"/>
        <v>4.6861993776949964</v>
      </c>
      <c r="E8">
        <f t="shared" si="1"/>
        <v>341447919.52546066</v>
      </c>
      <c r="J8">
        <f t="shared" si="2"/>
        <v>1600093027.995465</v>
      </c>
      <c r="L8">
        <f t="shared" si="3"/>
        <v>100005814.24971657</v>
      </c>
    </row>
    <row r="9" spans="2:20" x14ac:dyDescent="0.35">
      <c r="B9">
        <f t="shared" si="4"/>
        <v>5</v>
      </c>
      <c r="C9">
        <f t="shared" si="0"/>
        <v>4.6861993776949964</v>
      </c>
      <c r="E9">
        <f t="shared" si="1"/>
        <v>601724973.96422887</v>
      </c>
      <c r="J9">
        <f t="shared" si="2"/>
        <v>2819803198.5347071</v>
      </c>
      <c r="L9">
        <f t="shared" si="3"/>
        <v>88118849.954209596</v>
      </c>
      <c r="N9" t="s">
        <v>113</v>
      </c>
    </row>
    <row r="10" spans="2:20" x14ac:dyDescent="0.35">
      <c r="B10">
        <f t="shared" si="4"/>
        <v>6</v>
      </c>
      <c r="C10">
        <f t="shared" si="0"/>
        <v>4.6861993776949964</v>
      </c>
      <c r="E10">
        <f t="shared" si="1"/>
        <v>1060404599.3176804</v>
      </c>
      <c r="J10">
        <f t="shared" si="2"/>
        <v>4969267373.4274254</v>
      </c>
      <c r="L10">
        <f t="shared" si="3"/>
        <v>77644802.709803522</v>
      </c>
      <c r="N10">
        <f>(SUM(L21:L31))</f>
        <v>122018133.05398364</v>
      </c>
    </row>
    <row r="11" spans="2:20" x14ac:dyDescent="0.35">
      <c r="B11">
        <f t="shared" si="4"/>
        <v>7</v>
      </c>
      <c r="C11">
        <f t="shared" si="0"/>
        <v>4.6861993776949964</v>
      </c>
      <c r="E11">
        <f t="shared" si="1"/>
        <v>1868724023.279341</v>
      </c>
      <c r="J11">
        <f t="shared" si="2"/>
        <v>8757213354.975338</v>
      </c>
      <c r="L11">
        <f t="shared" si="3"/>
        <v>68415729.335744828</v>
      </c>
    </row>
    <row r="12" spans="2:20" x14ac:dyDescent="0.35">
      <c r="B12">
        <f t="shared" si="4"/>
        <v>8</v>
      </c>
      <c r="C12">
        <f t="shared" si="0"/>
        <v>4.6861993776949964</v>
      </c>
      <c r="E12">
        <f t="shared" si="1"/>
        <v>3293204761.1150918</v>
      </c>
      <c r="J12">
        <f t="shared" si="2"/>
        <v>15432614102.159742</v>
      </c>
      <c r="L12">
        <f t="shared" si="3"/>
        <v>60283648.836561494</v>
      </c>
    </row>
    <row r="13" spans="2:20" x14ac:dyDescent="0.35">
      <c r="B13">
        <f t="shared" si="4"/>
        <v>9</v>
      </c>
      <c r="C13">
        <f t="shared" si="0"/>
        <v>4.6861993776949964</v>
      </c>
      <c r="E13">
        <f t="shared" si="1"/>
        <v>5803530892.4853201</v>
      </c>
      <c r="J13">
        <f t="shared" si="2"/>
        <v>27196502856.798393</v>
      </c>
      <c r="L13">
        <f t="shared" si="3"/>
        <v>53118169.642184362</v>
      </c>
    </row>
    <row r="14" spans="2:20" x14ac:dyDescent="0.35">
      <c r="B14">
        <f t="shared" si="4"/>
        <v>10</v>
      </c>
      <c r="C14">
        <f t="shared" si="0"/>
        <v>4.6861993776949964</v>
      </c>
      <c r="E14">
        <f t="shared" si="1"/>
        <v>10227414710.959843</v>
      </c>
      <c r="J14">
        <f t="shared" si="2"/>
        <v>47927704453.928665</v>
      </c>
      <c r="L14">
        <f t="shared" si="3"/>
        <v>46804398.880789712</v>
      </c>
    </row>
    <row r="15" spans="2:20" x14ac:dyDescent="0.35">
      <c r="B15">
        <f t="shared" si="4"/>
        <v>11</v>
      </c>
      <c r="C15">
        <f t="shared" si="0"/>
        <v>4.6861993776949964</v>
      </c>
      <c r="E15">
        <f t="shared" si="1"/>
        <v>18023512514.665615</v>
      </c>
      <c r="J15">
        <f t="shared" si="2"/>
        <v>84461773130.103989</v>
      </c>
      <c r="L15">
        <f t="shared" si="3"/>
        <v>41241100.161183588</v>
      </c>
    </row>
    <row r="16" spans="2:20" x14ac:dyDescent="0.35">
      <c r="B16">
        <f t="shared" si="4"/>
        <v>12</v>
      </c>
      <c r="C16">
        <f t="shared" si="0"/>
        <v>4.6861993776949964</v>
      </c>
      <c r="E16">
        <f t="shared" si="1"/>
        <v>31762377154.629066</v>
      </c>
      <c r="J16">
        <f t="shared" si="2"/>
        <v>148844832056.13651</v>
      </c>
      <c r="L16">
        <f t="shared" si="3"/>
        <v>36339070.326205201</v>
      </c>
    </row>
    <row r="17" spans="2:12" x14ac:dyDescent="0.35">
      <c r="B17">
        <f t="shared" si="4"/>
        <v>13</v>
      </c>
      <c r="C17">
        <f t="shared" si="0"/>
        <v>4.6861993776949964</v>
      </c>
      <c r="E17">
        <f t="shared" si="1"/>
        <v>55974028463.764153</v>
      </c>
      <c r="J17">
        <f t="shared" si="2"/>
        <v>262305457353.97357</v>
      </c>
      <c r="L17">
        <f t="shared" si="3"/>
        <v>32019709.149654977</v>
      </c>
    </row>
    <row r="18" spans="2:12" x14ac:dyDescent="0.35">
      <c r="B18">
        <f t="shared" si="4"/>
        <v>14</v>
      </c>
      <c r="C18">
        <f t="shared" si="0"/>
        <v>4.6861993776949964</v>
      </c>
      <c r="E18">
        <f t="shared" si="1"/>
        <v>98641605041.380234</v>
      </c>
      <c r="J18">
        <f t="shared" si="2"/>
        <v>462254228159.75165</v>
      </c>
      <c r="L18">
        <f t="shared" si="3"/>
        <v>28213759.042953592</v>
      </c>
    </row>
    <row r="19" spans="2:12" x14ac:dyDescent="0.35">
      <c r="B19">
        <f t="shared" si="4"/>
        <v>15</v>
      </c>
      <c r="C19">
        <f t="shared" si="0"/>
        <v>4.6861993776949964</v>
      </c>
      <c r="E19">
        <f t="shared" si="1"/>
        <v>173833588758.73401</v>
      </c>
      <c r="J19">
        <f t="shared" si="2"/>
        <v>814618855463.66724</v>
      </c>
      <c r="L19">
        <f t="shared" si="3"/>
        <v>24860194.563710548</v>
      </c>
    </row>
    <row r="20" spans="2:12" x14ac:dyDescent="0.35">
      <c r="B20">
        <f t="shared" si="4"/>
        <v>16</v>
      </c>
      <c r="C20">
        <f t="shared" si="0"/>
        <v>4.6861993776949964</v>
      </c>
      <c r="E20">
        <f t="shared" si="1"/>
        <v>306342506978.30933</v>
      </c>
      <c r="J20">
        <f t="shared" si="2"/>
        <v>1435582065563.2783</v>
      </c>
      <c r="L20">
        <f t="shared" si="3"/>
        <v>21905243.920338109</v>
      </c>
    </row>
    <row r="21" spans="2:12" x14ac:dyDescent="0.35">
      <c r="B21">
        <f t="shared" si="4"/>
        <v>17</v>
      </c>
      <c r="C21">
        <f t="shared" si="0"/>
        <v>4.6861993776949964</v>
      </c>
      <c r="D21">
        <f t="shared" ref="D21:D24" si="5">2^(1/3.67)*D22</f>
        <v>97.417648899176925</v>
      </c>
      <c r="E21">
        <f t="shared" si="1"/>
        <v>539859599355.13531</v>
      </c>
      <c r="J21">
        <f t="shared" si="2"/>
        <v>2529889718540.7051</v>
      </c>
      <c r="L21">
        <f t="shared" si="3"/>
        <v>19301526.783300057</v>
      </c>
    </row>
    <row r="22" spans="2:12" x14ac:dyDescent="0.35">
      <c r="B22">
        <f>B21+1</f>
        <v>18</v>
      </c>
      <c r="C22">
        <f t="shared" si="0"/>
        <v>4.6861993776949964</v>
      </c>
      <c r="D22">
        <f t="shared" si="5"/>
        <v>80.651624975952217</v>
      </c>
      <c r="E22">
        <f t="shared" si="1"/>
        <v>951380824981.3772</v>
      </c>
      <c r="J22">
        <f t="shared" si="2"/>
        <v>4458360229978.6816</v>
      </c>
      <c r="L22">
        <f t="shared" si="3"/>
        <v>17007294.578470923</v>
      </c>
    </row>
    <row r="23" spans="2:12" x14ac:dyDescent="0.35">
      <c r="B23">
        <f t="shared" si="4"/>
        <v>19</v>
      </c>
      <c r="C23">
        <f t="shared" si="0"/>
        <v>4.6861993776949964</v>
      </c>
      <c r="D23">
        <f t="shared" si="5"/>
        <v>66.771110622816479</v>
      </c>
      <c r="E23">
        <f t="shared" si="1"/>
        <v>1676594201943.2871</v>
      </c>
      <c r="J23">
        <f t="shared" si="2"/>
        <v>7856854705793.6709</v>
      </c>
      <c r="L23">
        <f t="shared" si="3"/>
        <v>14985761.081302015</v>
      </c>
    </row>
    <row r="24" spans="2:12" x14ac:dyDescent="0.35">
      <c r="B24">
        <f t="shared" si="4"/>
        <v>20</v>
      </c>
      <c r="C24">
        <f t="shared" si="0"/>
        <v>4.6861993776949964</v>
      </c>
      <c r="D24">
        <f t="shared" si="5"/>
        <v>55.279496416020699</v>
      </c>
      <c r="E24">
        <f t="shared" si="1"/>
        <v>2954619269360.2759</v>
      </c>
      <c r="J24">
        <f t="shared" si="2"/>
        <v>13845934981401.77</v>
      </c>
      <c r="L24">
        <f t="shared" si="3"/>
        <v>13204512.578393716</v>
      </c>
    </row>
    <row r="25" spans="2:12" x14ac:dyDescent="0.35">
      <c r="B25">
        <f t="shared" si="4"/>
        <v>21</v>
      </c>
      <c r="C25">
        <f t="shared" si="0"/>
        <v>4.6861993776949964</v>
      </c>
      <c r="D25">
        <f t="shared" ref="D25:D30" si="6">2^(1/3.67)*D26</f>
        <v>45.765641690025063</v>
      </c>
      <c r="E25">
        <f t="shared" si="1"/>
        <v>5206850302092.5479</v>
      </c>
      <c r="J25">
        <f t="shared" si="2"/>
        <v>24400338645417.102</v>
      </c>
      <c r="L25">
        <f t="shared" si="3"/>
        <v>11634988.138874579</v>
      </c>
    </row>
    <row r="26" spans="2:12" x14ac:dyDescent="0.35">
      <c r="B26">
        <v>22</v>
      </c>
      <c r="C26">
        <f t="shared" si="0"/>
        <v>4.6861993776949964</v>
      </c>
      <c r="D26">
        <f t="shared" si="6"/>
        <v>37.88916497243541</v>
      </c>
      <c r="E26">
        <f t="shared" si="1"/>
        <v>9175899700360.1758</v>
      </c>
      <c r="J26">
        <f t="shared" si="2"/>
        <v>43000095465619.563</v>
      </c>
      <c r="L26">
        <f t="shared" si="3"/>
        <v>10252021.662144557</v>
      </c>
    </row>
    <row r="27" spans="2:12" x14ac:dyDescent="0.35">
      <c r="B27">
        <v>23</v>
      </c>
      <c r="C27">
        <f t="shared" si="0"/>
        <v>4.6861993776949964</v>
      </c>
      <c r="D27">
        <f t="shared" si="6"/>
        <v>31.368266002513469</v>
      </c>
      <c r="E27">
        <f t="shared" si="1"/>
        <v>16170454387219.889</v>
      </c>
      <c r="J27">
        <f t="shared" si="2"/>
        <v>75777973286435.172</v>
      </c>
      <c r="L27">
        <f t="shared" si="3"/>
        <v>9033438.359074017</v>
      </c>
    </row>
    <row r="28" spans="2:12" x14ac:dyDescent="0.35">
      <c r="B28">
        <v>24</v>
      </c>
      <c r="C28">
        <f t="shared" si="0"/>
        <v>4.6861993776949964</v>
      </c>
      <c r="D28">
        <f t="shared" si="6"/>
        <v>25.969643636123546</v>
      </c>
      <c r="E28">
        <f t="shared" si="1"/>
        <v>28496780002825.887</v>
      </c>
      <c r="J28">
        <f t="shared" si="2"/>
        <v>133541592715553.89</v>
      </c>
      <c r="L28">
        <f t="shared" si="3"/>
        <v>7959699.196550482</v>
      </c>
    </row>
    <row r="29" spans="2:12" x14ac:dyDescent="0.35">
      <c r="B29">
        <v>25</v>
      </c>
      <c r="C29">
        <f t="shared" si="0"/>
        <v>4.6861993776949964</v>
      </c>
      <c r="D29">
        <f t="shared" si="6"/>
        <v>21.500148925452628</v>
      </c>
      <c r="E29">
        <f t="shared" si="1"/>
        <v>50219149758170.125</v>
      </c>
      <c r="J29">
        <f t="shared" si="2"/>
        <v>235336948345108.66</v>
      </c>
      <c r="L29">
        <f t="shared" si="3"/>
        <v>7013587.604317327</v>
      </c>
    </row>
    <row r="30" spans="2:12" x14ac:dyDescent="0.35">
      <c r="B30">
        <v>26</v>
      </c>
      <c r="C30">
        <f t="shared" si="0"/>
        <v>4.6861993776949964</v>
      </c>
      <c r="D30">
        <f t="shared" si="6"/>
        <v>17.799874741971706</v>
      </c>
      <c r="E30">
        <f t="shared" si="1"/>
        <v>88499928840501.813</v>
      </c>
      <c r="J30">
        <f t="shared" si="2"/>
        <v>414728311458411.06</v>
      </c>
      <c r="L30">
        <f t="shared" si="3"/>
        <v>6179933.4206940392</v>
      </c>
    </row>
    <row r="31" spans="2:12" x14ac:dyDescent="0.35">
      <c r="B31">
        <v>27</v>
      </c>
      <c r="C31">
        <f t="shared" si="0"/>
        <v>4.6861993776949964</v>
      </c>
      <c r="D31">
        <f>2^(1/3.67)*D32</f>
        <v>14.736434706961557</v>
      </c>
      <c r="E31">
        <f t="shared" si="1"/>
        <v>155961171037143.09</v>
      </c>
      <c r="J31">
        <f t="shared" si="2"/>
        <v>730865142658842.88</v>
      </c>
      <c r="L31">
        <f t="shared" si="3"/>
        <v>5445369.6508619403</v>
      </c>
    </row>
    <row r="32" spans="2:12" x14ac:dyDescent="0.35">
      <c r="B32">
        <v>28</v>
      </c>
      <c r="D32">
        <f>'ACA2-Peri'!J1</f>
        <v>12.200226744319544</v>
      </c>
      <c r="L32">
        <f>'ACA2-Peri'!FK38</f>
        <v>97316836881.977997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4"/>
  <sheetViews>
    <sheetView workbookViewId="0">
      <selection activeCell="E5" sqref="E5"/>
    </sheetView>
  </sheetViews>
  <sheetFormatPr defaultRowHeight="14.5" x14ac:dyDescent="0.35"/>
  <cols>
    <col min="5" max="5" width="13.08984375" customWidth="1"/>
    <col min="6" max="6" width="13.36328125" customWidth="1"/>
    <col min="8" max="8" width="9.81640625" customWidth="1"/>
    <col min="10" max="10" width="9.54296875" customWidth="1"/>
    <col min="13" max="13" width="8.1796875" customWidth="1"/>
    <col min="17" max="17" width="11.6328125" customWidth="1"/>
  </cols>
  <sheetData>
    <row r="1" spans="1:23" x14ac:dyDescent="0.35">
      <c r="B1" t="s">
        <v>139</v>
      </c>
      <c r="C1">
        <f>20/1000000</f>
        <v>2.0000000000000002E-5</v>
      </c>
      <c r="E1" s="1" t="s">
        <v>33</v>
      </c>
      <c r="F1" s="2">
        <f>F2*7*10^-7</f>
        <v>6.9509999999999993E-4</v>
      </c>
      <c r="J1" t="s">
        <v>88</v>
      </c>
      <c r="K1">
        <v>0.13</v>
      </c>
      <c r="L1" t="s">
        <v>134</v>
      </c>
      <c r="M1">
        <f>'Final-Peri'!B34</f>
        <v>96636764160</v>
      </c>
      <c r="O1" t="s">
        <v>135</v>
      </c>
      <c r="P1">
        <f>130/1000000</f>
        <v>1.2999999999999999E-4</v>
      </c>
      <c r="Q1">
        <f>(20*10^-6)/(0.5^(10/3.54))</f>
        <v>1.4170892876925627E-4</v>
      </c>
    </row>
    <row r="2" spans="1:23" ht="15" thickBot="1" x14ac:dyDescent="0.4">
      <c r="E2" s="3" t="s">
        <v>34</v>
      </c>
      <c r="F2" s="4">
        <v>993</v>
      </c>
      <c r="J2" t="s">
        <v>116</v>
      </c>
      <c r="K2">
        <v>0.94072086838359703</v>
      </c>
      <c r="M2">
        <f>LN(M1)/LN(2)</f>
        <v>36.491853096329677</v>
      </c>
      <c r="O2" t="s">
        <v>25</v>
      </c>
      <c r="P2">
        <f>3.54*((LN(2/13))/(LN(0.5)))</f>
        <v>9.559556602219466</v>
      </c>
    </row>
    <row r="4" spans="1:23" x14ac:dyDescent="0.35">
      <c r="C4" t="s">
        <v>25</v>
      </c>
      <c r="D4" t="s">
        <v>87</v>
      </c>
      <c r="E4" t="s">
        <v>101</v>
      </c>
      <c r="F4" t="s">
        <v>89</v>
      </c>
      <c r="H4" t="s">
        <v>32</v>
      </c>
      <c r="I4" t="s">
        <v>80</v>
      </c>
      <c r="J4" t="s">
        <v>29</v>
      </c>
      <c r="K4" t="s">
        <v>80</v>
      </c>
      <c r="Q4" s="5"/>
      <c r="R4" s="5"/>
      <c r="S4" s="5"/>
      <c r="T4" s="5"/>
      <c r="U4" s="5"/>
      <c r="V4" s="37"/>
      <c r="W4" s="5"/>
    </row>
    <row r="5" spans="1:23" x14ac:dyDescent="0.35">
      <c r="A5" t="s">
        <v>138</v>
      </c>
      <c r="B5">
        <v>36</v>
      </c>
      <c r="C5">
        <v>0</v>
      </c>
      <c r="D5">
        <f>(($K$2^(-4)-1)-(($K$2^(-2)-1)^2/(LN(($K$2^(-1))))))^-1</f>
        <v>2905.6197044200044</v>
      </c>
      <c r="E5">
        <f>0.5*C1</f>
        <v>1.0000000000000001E-5</v>
      </c>
      <c r="F5">
        <f>(160*$F$1)/(3.1415*E5^3)</f>
        <v>35402196402992.18</v>
      </c>
      <c r="H5">
        <f>F5*D5</f>
        <v>1.0286531944828107E+17</v>
      </c>
      <c r="J5">
        <f>H5/M1</f>
        <v>1064453.2683024087</v>
      </c>
      <c r="M5" t="s">
        <v>29</v>
      </c>
    </row>
    <row r="6" spans="1:23" x14ac:dyDescent="0.35">
      <c r="B6">
        <v>35</v>
      </c>
      <c r="C6">
        <v>1</v>
      </c>
      <c r="D6">
        <f t="shared" ref="D6:D14" si="0">(($K$2^(-4)-1)-(($K$2^(-2)-1)^2/(LN(($K$2^(-1))))))^-1</f>
        <v>2905.6197044200044</v>
      </c>
      <c r="E6">
        <f>0.5*(20*10^-6)/(0.5^(2/3.54))</f>
        <v>1.479358542490593E-5</v>
      </c>
      <c r="F6">
        <f t="shared" ref="F6:F13" si="1">(160*$F$1)/(3.1415*E6^3)</f>
        <v>10934775611792.957</v>
      </c>
      <c r="H6">
        <f t="shared" ref="H6:H14" si="2">F6*D6</f>
        <v>3.1772299481036924E+16</v>
      </c>
      <c r="J6">
        <f t="shared" ref="J6:J14" si="3">H6/2^B6</f>
        <v>924695.61731666687</v>
      </c>
      <c r="M6">
        <f>SUM(J5:J14)</f>
        <v>14246506.924193326</v>
      </c>
    </row>
    <row r="7" spans="1:23" x14ac:dyDescent="0.35">
      <c r="B7">
        <v>34</v>
      </c>
      <c r="C7">
        <v>2</v>
      </c>
      <c r="D7">
        <f t="shared" si="0"/>
        <v>2905.6197044200044</v>
      </c>
      <c r="E7">
        <f>0.5*(20*10^-6)/(0.5^(3/3.54))</f>
        <v>1.7993272857006851E-5</v>
      </c>
      <c r="F7">
        <f t="shared" si="1"/>
        <v>6077146552876.7295</v>
      </c>
      <c r="H7">
        <f t="shared" si="2"/>
        <v>1.7657876770686732E+16</v>
      </c>
      <c r="J7">
        <f t="shared" si="3"/>
        <v>1027823.7035199262</v>
      </c>
    </row>
    <row r="8" spans="1:23" x14ac:dyDescent="0.35">
      <c r="B8">
        <v>33</v>
      </c>
      <c r="C8">
        <v>3</v>
      </c>
      <c r="D8">
        <f t="shared" si="0"/>
        <v>2905.6197044200044</v>
      </c>
      <c r="E8">
        <f>0.5*(20*10^-6)/(0.5^(4/3.54))</f>
        <v>2.1885016972398921E-5</v>
      </c>
      <c r="F8">
        <f t="shared" si="1"/>
        <v>3377454786114.7969</v>
      </c>
      <c r="H8">
        <f t="shared" si="2"/>
        <v>9813599177322806</v>
      </c>
      <c r="J8">
        <f t="shared" si="3"/>
        <v>1142453.3065085772</v>
      </c>
    </row>
    <row r="9" spans="1:23" x14ac:dyDescent="0.35">
      <c r="B9">
        <v>32</v>
      </c>
      <c r="C9">
        <v>4</v>
      </c>
      <c r="D9">
        <f t="shared" si="0"/>
        <v>2905.6197044200044</v>
      </c>
      <c r="E9">
        <f>0.5*(20*10^-6)/(0.5^(5/3.54))</f>
        <v>2.661850190837721E-5</v>
      </c>
      <c r="F9">
        <f t="shared" si="1"/>
        <v>1877065285985.2366</v>
      </c>
      <c r="H9">
        <f t="shared" si="2"/>
        <v>5454037881441474</v>
      </c>
      <c r="J9">
        <f t="shared" si="3"/>
        <v>1269867.1504486059</v>
      </c>
    </row>
    <row r="10" spans="1:23" x14ac:dyDescent="0.35">
      <c r="B10">
        <v>31</v>
      </c>
      <c r="C10">
        <v>5</v>
      </c>
      <c r="D10">
        <f t="shared" si="0"/>
        <v>2905.6197044200044</v>
      </c>
      <c r="E10">
        <f>0.5*(20*10^-6)/(0.5^(6/3.54))</f>
        <v>3.2375786810669956E-5</v>
      </c>
      <c r="F10">
        <f t="shared" si="1"/>
        <v>1043203924545.7667</v>
      </c>
      <c r="H10">
        <f t="shared" si="2"/>
        <v>3031153878888459.5</v>
      </c>
      <c r="J10">
        <f t="shared" si="3"/>
        <v>1411491.0172710472</v>
      </c>
    </row>
    <row r="11" spans="1:23" x14ac:dyDescent="0.35">
      <c r="B11">
        <v>30</v>
      </c>
      <c r="C11">
        <v>6</v>
      </c>
      <c r="D11">
        <f t="shared" si="0"/>
        <v>2905.6197044200044</v>
      </c>
      <c r="E11">
        <f>0.5*(20*10^-6)/(0.5^(7/3.54))</f>
        <v>3.9378308186459989E-5</v>
      </c>
      <c r="F11">
        <f t="shared" si="1"/>
        <v>579774415047.30273</v>
      </c>
      <c r="H11">
        <f t="shared" si="2"/>
        <v>1684603964480024.8</v>
      </c>
      <c r="J11">
        <f t="shared" si="3"/>
        <v>1568909.7014069788</v>
      </c>
    </row>
    <row r="12" spans="1:23" x14ac:dyDescent="0.35">
      <c r="B12">
        <v>29</v>
      </c>
      <c r="C12">
        <v>7</v>
      </c>
      <c r="D12">
        <f t="shared" si="0"/>
        <v>2905.6197044200044</v>
      </c>
      <c r="E12">
        <f>0.5*(20*10^-6)/(0.5^(8/3.54))</f>
        <v>4.7895396788218894E-5</v>
      </c>
      <c r="F12">
        <f t="shared" si="1"/>
        <v>322217319580.92865</v>
      </c>
      <c r="H12">
        <f t="shared" si="2"/>
        <v>936240992879744</v>
      </c>
      <c r="J12">
        <f t="shared" si="3"/>
        <v>1743884.7438986301</v>
      </c>
    </row>
    <row r="13" spans="1:23" x14ac:dyDescent="0.35">
      <c r="B13">
        <v>28</v>
      </c>
      <c r="C13">
        <v>8</v>
      </c>
      <c r="D13">
        <f t="shared" si="0"/>
        <v>2905.6197044200044</v>
      </c>
      <c r="E13">
        <f>0.5*(20*10^-6)/(0.5^(9/3.54))</f>
        <v>5.8254636604466829E-5</v>
      </c>
      <c r="F13">
        <f t="shared" si="1"/>
        <v>179076548297.57809</v>
      </c>
      <c r="H13">
        <f t="shared" si="2"/>
        <v>520328347332963.5</v>
      </c>
      <c r="J13">
        <f t="shared" si="3"/>
        <v>1938374.1443342101</v>
      </c>
    </row>
    <row r="14" spans="1:23" x14ac:dyDescent="0.35">
      <c r="B14">
        <v>27</v>
      </c>
      <c r="C14">
        <v>9</v>
      </c>
      <c r="D14">
        <f t="shared" si="0"/>
        <v>2905.6197044200044</v>
      </c>
      <c r="E14">
        <f>0.5*(20*10^-6)/(0.5^(10/3.54))</f>
        <v>7.0854464384628133E-5</v>
      </c>
      <c r="F14">
        <f>(160*$F$1)/(3.1415*E14^3)</f>
        <v>99524166459.712662</v>
      </c>
      <c r="H14">
        <f t="shared" si="2"/>
        <v>289179379131317.63</v>
      </c>
      <c r="J14">
        <f t="shared" si="3"/>
        <v>2154554.2711862745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F37"/>
  <sheetViews>
    <sheetView tabSelected="1" topLeftCell="A10" zoomScale="85" zoomScaleNormal="85" workbookViewId="0">
      <selection activeCell="K25" sqref="K25"/>
    </sheetView>
  </sheetViews>
  <sheetFormatPr defaultRowHeight="14.5" x14ac:dyDescent="0.35"/>
  <cols>
    <col min="1" max="1" width="6.1796875" customWidth="1"/>
    <col min="3" max="3" width="31.54296875" customWidth="1"/>
    <col min="4" max="4" width="12.54296875" customWidth="1"/>
    <col min="5" max="5" width="10.453125" customWidth="1"/>
    <col min="6" max="6" width="10.90625" customWidth="1"/>
    <col min="9" max="9" width="29.54296875" customWidth="1"/>
    <col min="10" max="10" width="11" customWidth="1"/>
    <col min="11" max="11" width="10.81640625" customWidth="1"/>
    <col min="14" max="14" width="7.90625" customWidth="1"/>
    <col min="15" max="15" width="29.453125" customWidth="1"/>
    <col min="16" max="16" width="9.453125" customWidth="1"/>
    <col min="21" max="21" width="14.36328125" customWidth="1"/>
    <col min="22" max="22" width="16.54296875" customWidth="1"/>
    <col min="23" max="23" width="13.08984375" customWidth="1"/>
    <col min="24" max="24" width="19.81640625" customWidth="1"/>
    <col min="25" max="25" width="12.453125" customWidth="1"/>
    <col min="26" max="27" width="12.90625" customWidth="1"/>
    <col min="28" max="28" width="16.81640625" customWidth="1"/>
    <col min="29" max="29" width="12.81640625" bestFit="1" customWidth="1"/>
    <col min="30" max="30" width="14.453125" customWidth="1"/>
    <col min="31" max="31" width="13" customWidth="1"/>
    <col min="32" max="32" width="19" customWidth="1"/>
    <col min="33" max="33" width="12.1796875" customWidth="1"/>
    <col min="34" max="34" width="11.36328125" customWidth="1"/>
    <col min="35" max="35" width="9.08984375" customWidth="1"/>
    <col min="36" max="36" width="9.1796875" customWidth="1"/>
    <col min="37" max="37" width="9.54296875" customWidth="1"/>
    <col min="39" max="39" width="10.54296875" customWidth="1"/>
    <col min="40" max="40" width="14.36328125" customWidth="1"/>
  </cols>
  <sheetData>
    <row r="2" spans="1:58" ht="15" thickBot="1" x14ac:dyDescent="0.4"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58" ht="15.5" thickTop="1" thickBot="1" x14ac:dyDescent="0.4">
      <c r="A3" s="49"/>
      <c r="G3" s="49"/>
      <c r="M3" s="49"/>
      <c r="S3" s="64"/>
      <c r="T3" s="68"/>
      <c r="BE3" t="s">
        <v>10</v>
      </c>
      <c r="BF3" t="s">
        <v>119</v>
      </c>
    </row>
    <row r="4" spans="1:58" ht="15" thickBot="1" x14ac:dyDescent="0.4">
      <c r="A4" s="49"/>
      <c r="B4" s="59"/>
      <c r="C4" s="50" t="s">
        <v>156</v>
      </c>
      <c r="G4" s="49"/>
      <c r="I4" s="50" t="s">
        <v>126</v>
      </c>
      <c r="M4" s="49"/>
      <c r="O4" s="50" t="s">
        <v>132</v>
      </c>
      <c r="S4" s="49"/>
      <c r="T4" s="68"/>
      <c r="V4" s="50" t="s">
        <v>156</v>
      </c>
      <c r="BE4">
        <f>3000*(0.5)^(22/3.67)</f>
        <v>47.052399003770169</v>
      </c>
      <c r="BF4">
        <f>2000*(0.5)^(22/3.67)</f>
        <v>31.368266002513447</v>
      </c>
    </row>
    <row r="5" spans="1:58" x14ac:dyDescent="0.35">
      <c r="A5" s="49"/>
      <c r="B5" s="59"/>
      <c r="G5" s="49"/>
      <c r="M5" s="49"/>
      <c r="S5" s="49"/>
      <c r="T5" s="68"/>
      <c r="W5" t="s">
        <v>119</v>
      </c>
      <c r="X5" t="s">
        <v>118</v>
      </c>
      <c r="AA5" t="s">
        <v>10</v>
      </c>
      <c r="AB5" t="s">
        <v>118</v>
      </c>
      <c r="AE5" t="s">
        <v>82</v>
      </c>
      <c r="AF5" t="s">
        <v>118</v>
      </c>
    </row>
    <row r="6" spans="1:58" x14ac:dyDescent="0.35">
      <c r="A6" s="49"/>
      <c r="B6" s="66"/>
      <c r="C6" s="53" t="s">
        <v>129</v>
      </c>
      <c r="D6" s="53"/>
      <c r="E6" s="53">
        <f>'Final-Peri'!H24</f>
        <v>1.7019970394636856E+18</v>
      </c>
      <c r="F6" s="54" t="s">
        <v>118</v>
      </c>
      <c r="G6" s="49"/>
      <c r="M6" s="49"/>
      <c r="S6" s="49"/>
      <c r="T6" s="68"/>
      <c r="V6" t="s">
        <v>134</v>
      </c>
      <c r="W6" t="s">
        <v>120</v>
      </c>
      <c r="X6" t="s">
        <v>121</v>
      </c>
      <c r="Y6" t="s">
        <v>146</v>
      </c>
      <c r="AA6" t="s">
        <v>120</v>
      </c>
      <c r="AB6" t="s">
        <v>121</v>
      </c>
      <c r="AC6" t="s">
        <v>146</v>
      </c>
      <c r="AE6" t="s">
        <v>120</v>
      </c>
      <c r="AF6" t="s">
        <v>121</v>
      </c>
      <c r="AG6" t="s">
        <v>146</v>
      </c>
      <c r="AI6" t="s">
        <v>134</v>
      </c>
      <c r="AJ6" t="s">
        <v>150</v>
      </c>
      <c r="AK6" t="s">
        <v>151</v>
      </c>
    </row>
    <row r="7" spans="1:58" x14ac:dyDescent="0.35">
      <c r="A7" s="49"/>
      <c r="B7" s="59"/>
      <c r="G7" s="49"/>
      <c r="M7" s="49"/>
      <c r="S7" s="49"/>
      <c r="T7" s="68"/>
      <c r="U7" t="s">
        <v>153</v>
      </c>
      <c r="V7">
        <v>0</v>
      </c>
      <c r="W7">
        <f>'PCA2-Peri'!FQ38</f>
        <v>97942283879.078064</v>
      </c>
      <c r="X7">
        <f>0.5*W7</f>
        <v>48971141939.539032</v>
      </c>
      <c r="Y7">
        <f>X7</f>
        <v>48971141939.539032</v>
      </c>
      <c r="AA7">
        <f>'MCA-Peri'!GC43</f>
        <v>24492145639.61565</v>
      </c>
      <c r="AB7">
        <f>0.5*AA7</f>
        <v>12246072819.807825</v>
      </c>
      <c r="AC7">
        <f>AB7</f>
        <v>12246072819.807825</v>
      </c>
      <c r="AE7">
        <f>'ACA2-Peri'!FQ38</f>
        <v>97942283879.078064</v>
      </c>
      <c r="AF7">
        <f>0.5*AE7</f>
        <v>48971141939.539032</v>
      </c>
      <c r="AG7">
        <f>AF7</f>
        <v>48971141939.539032</v>
      </c>
      <c r="AI7">
        <v>0</v>
      </c>
      <c r="AJ7">
        <f t="shared" ref="AJ7:AJ9" si="0">((1/X7)+(1/AB7)+(1/AF7))^-1</f>
        <v>8163317896.9097357</v>
      </c>
      <c r="AK7">
        <f t="shared" ref="AK7:AK9" si="1">AJ7</f>
        <v>8163317896.9097357</v>
      </c>
      <c r="AN7">
        <v>5</v>
      </c>
      <c r="AP7">
        <v>861812314156.43164</v>
      </c>
    </row>
    <row r="8" spans="1:58" x14ac:dyDescent="0.35">
      <c r="A8" s="49"/>
      <c r="B8" s="59"/>
      <c r="G8" s="49"/>
      <c r="M8" s="49"/>
      <c r="S8" s="49"/>
      <c r="T8" s="68"/>
      <c r="V8">
        <v>1</v>
      </c>
      <c r="W8">
        <f>'PCA2-Peri'!FK38</f>
        <v>97316836881.977997</v>
      </c>
      <c r="X8">
        <f>0.5*W8</f>
        <v>48658418440.988998</v>
      </c>
      <c r="Y8">
        <f>X8</f>
        <v>48658418440.988998</v>
      </c>
      <c r="AA8">
        <f>'MCA-Peri'!FW43</f>
        <v>24339950637.31218</v>
      </c>
      <c r="AB8">
        <f>0.5*AA8</f>
        <v>12169975318.65609</v>
      </c>
      <c r="AC8">
        <f>AB8</f>
        <v>12169975318.65609</v>
      </c>
      <c r="AE8">
        <f>'ACA2-Peri'!FK38</f>
        <v>97316836881.977997</v>
      </c>
      <c r="AF8">
        <f>0.5*AE8</f>
        <v>48658418440.988998</v>
      </c>
      <c r="AG8">
        <f>AF8</f>
        <v>48658418440.988998</v>
      </c>
      <c r="AI8">
        <f t="shared" ref="AI8:AI34" si="2">AI7+1</f>
        <v>1</v>
      </c>
      <c r="AJ8">
        <f t="shared" si="0"/>
        <v>8112123037.1117964</v>
      </c>
      <c r="AK8">
        <f t="shared" si="1"/>
        <v>8112123037.1117964</v>
      </c>
      <c r="AP8">
        <v>861812314156.43164</v>
      </c>
    </row>
    <row r="9" spans="1:58" x14ac:dyDescent="0.35">
      <c r="A9" s="49"/>
      <c r="B9" s="66"/>
      <c r="C9" s="56" t="s">
        <v>130</v>
      </c>
      <c r="D9" s="56" t="s">
        <v>120</v>
      </c>
      <c r="E9" s="56" t="s">
        <v>121</v>
      </c>
      <c r="F9" s="57"/>
      <c r="G9" s="49"/>
      <c r="I9" s="55" t="s">
        <v>131</v>
      </c>
      <c r="J9" s="56" t="s">
        <v>120</v>
      </c>
      <c r="K9" s="56" t="s">
        <v>121</v>
      </c>
      <c r="L9" s="57"/>
      <c r="M9" s="49"/>
      <c r="O9" t="s">
        <v>136</v>
      </c>
      <c r="P9">
        <f>Venous!M6</f>
        <v>14246506.924193326</v>
      </c>
      <c r="Q9" t="s">
        <v>118</v>
      </c>
      <c r="S9" s="49"/>
      <c r="T9" s="68"/>
      <c r="V9">
        <f t="shared" ref="V9:V35" si="3">V8+1</f>
        <v>2</v>
      </c>
      <c r="W9">
        <f>'PCA2-Peri'!FE38</f>
        <v>129251799781.74957</v>
      </c>
      <c r="X9">
        <f>0.5*W9</f>
        <v>64625899890.874786</v>
      </c>
      <c r="Y9">
        <f>X9+Y8</f>
        <v>113284318331.86378</v>
      </c>
      <c r="AA9">
        <f>'MCA-Peri'!FQ43</f>
        <v>32330595248.396309</v>
      </c>
      <c r="AB9">
        <f>0.5*AA9</f>
        <v>16165297624.198154</v>
      </c>
      <c r="AC9">
        <f>AB9+AC8</f>
        <v>28335272942.854244</v>
      </c>
      <c r="AE9">
        <f>'ACA2-Peri'!FE38</f>
        <v>129251799781.74957</v>
      </c>
      <c r="AF9">
        <f>0.5*AE9</f>
        <v>64625899890.874786</v>
      </c>
      <c r="AG9">
        <f>AF9+AG8</f>
        <v>113284318331.86378</v>
      </c>
      <c r="AI9">
        <f t="shared" si="2"/>
        <v>2</v>
      </c>
      <c r="AJ9">
        <f t="shared" si="0"/>
        <v>10774903779.958151</v>
      </c>
      <c r="AK9">
        <f t="shared" si="1"/>
        <v>10774903779.958151</v>
      </c>
      <c r="AP9">
        <v>861812314156.43164</v>
      </c>
    </row>
    <row r="10" spans="1:58" x14ac:dyDescent="0.35">
      <c r="A10" s="49"/>
      <c r="B10" s="66"/>
      <c r="C10" s="59" t="s">
        <v>119</v>
      </c>
      <c r="D10" s="59">
        <f>'PCA2-Peri'!N9</f>
        <v>5.3979257361979843E+18</v>
      </c>
      <c r="E10" s="59">
        <f>0.5*D10</f>
        <v>2.6989628680989921E+18</v>
      </c>
      <c r="F10" s="60" t="s">
        <v>118</v>
      </c>
      <c r="G10" s="49"/>
      <c r="I10" s="58" t="s">
        <v>119</v>
      </c>
      <c r="J10" s="59">
        <f>'PCA2-Para'!N6</f>
        <v>284420258456.79651</v>
      </c>
      <c r="K10" s="59">
        <f>0.5*J10</f>
        <v>142210129228.39825</v>
      </c>
      <c r="L10" s="60" t="s">
        <v>118</v>
      </c>
      <c r="M10" s="49"/>
      <c r="S10" s="49"/>
      <c r="T10" s="68"/>
      <c r="V10">
        <f t="shared" si="3"/>
        <v>3</v>
      </c>
      <c r="W10">
        <f>'PCA2-Peri'!EY38</f>
        <v>193476962491.97122</v>
      </c>
      <c r="X10">
        <f>0.5*W10</f>
        <v>96738481245.985611</v>
      </c>
      <c r="Y10">
        <f t="shared" ref="Y10:Y35" si="4">X10+Y9</f>
        <v>210022799577.8494</v>
      </c>
      <c r="AA10">
        <f>'MCA-Peri'!FK43</f>
        <v>48398335302.485847</v>
      </c>
      <c r="AB10">
        <f>AA10*0.5</f>
        <v>24199167651.242924</v>
      </c>
      <c r="AC10">
        <f t="shared" ref="AC10:AC37" si="5">AB10+AC9</f>
        <v>52534440594.097168</v>
      </c>
      <c r="AE10">
        <f>'ACA2-Peri'!EY38</f>
        <v>193476962491.97122</v>
      </c>
      <c r="AF10">
        <f>0.5*AE10</f>
        <v>96738481245.985611</v>
      </c>
      <c r="AG10">
        <f t="shared" ref="AG10:AG35" si="6">AF10+AG9</f>
        <v>210022799577.8494</v>
      </c>
      <c r="AI10">
        <f t="shared" si="2"/>
        <v>3</v>
      </c>
      <c r="AJ10">
        <f t="shared" ref="AJ10:AJ35" si="7">((1/X10)+(1/AB10)+(1/AF10))^-1</f>
        <v>16129544395.900421</v>
      </c>
      <c r="AK10">
        <f>AJ10</f>
        <v>16129544395.900421</v>
      </c>
      <c r="AP10">
        <v>861812314156.43164</v>
      </c>
    </row>
    <row r="11" spans="1:58" x14ac:dyDescent="0.35">
      <c r="A11" s="49"/>
      <c r="B11" s="66"/>
      <c r="C11" s="59" t="s">
        <v>10</v>
      </c>
      <c r="D11" s="59">
        <f>'MCA-Peri'!N9</f>
        <v>3.0016438992159834E+19</v>
      </c>
      <c r="E11" s="59">
        <f t="shared" ref="E11:E12" si="8">0.5*D11</f>
        <v>1.5008219496079917E+19</v>
      </c>
      <c r="F11" s="60" t="s">
        <v>118</v>
      </c>
      <c r="G11" s="49"/>
      <c r="I11" s="58" t="s">
        <v>10</v>
      </c>
      <c r="J11" s="59">
        <f>'MCA-Para'!N6</f>
        <v>24368020377.766598</v>
      </c>
      <c r="K11" s="59">
        <f t="shared" ref="K11:K12" si="9">0.5*J11</f>
        <v>12184010188.883299</v>
      </c>
      <c r="L11" s="60" t="s">
        <v>118</v>
      </c>
      <c r="M11" s="49"/>
      <c r="O11" t="s">
        <v>137</v>
      </c>
      <c r="P11">
        <f>Venous!J5</f>
        <v>1064453.2683024087</v>
      </c>
      <c r="S11" s="49"/>
      <c r="T11" s="68"/>
      <c r="V11">
        <f t="shared" si="3"/>
        <v>4</v>
      </c>
      <c r="W11">
        <f>'PCA2-Peri'!ES38</f>
        <v>309326280539.75751</v>
      </c>
      <c r="X11">
        <f t="shared" ref="X11:X35" si="10">0.5*W11</f>
        <v>154663140269.87875</v>
      </c>
      <c r="Y11">
        <f t="shared" si="4"/>
        <v>364685939847.72815</v>
      </c>
      <c r="AA11">
        <f>'MCA-Peri'!FE43</f>
        <v>77379669230.230316</v>
      </c>
      <c r="AB11">
        <f t="shared" ref="AB11:AB37" si="11">AA11*0.5</f>
        <v>38689834615.115158</v>
      </c>
      <c r="AC11">
        <f t="shared" si="5"/>
        <v>91224275209.212326</v>
      </c>
      <c r="AE11">
        <f>'ACA2-Peri'!ES38</f>
        <v>309326280539.75751</v>
      </c>
      <c r="AF11">
        <f t="shared" ref="AF11:AF35" si="12">0.5*AE11</f>
        <v>154663140269.87875</v>
      </c>
      <c r="AG11">
        <f t="shared" si="6"/>
        <v>364685939847.72815</v>
      </c>
      <c r="AI11">
        <f t="shared" si="2"/>
        <v>4</v>
      </c>
      <c r="AJ11">
        <f t="shared" si="7"/>
        <v>25787876517.212887</v>
      </c>
      <c r="AK11">
        <f>AK10+AJ11</f>
        <v>41917420913.113312</v>
      </c>
      <c r="AP11">
        <v>861812314156.43164</v>
      </c>
    </row>
    <row r="12" spans="1:58" x14ac:dyDescent="0.35">
      <c r="A12" s="49"/>
      <c r="B12" s="66"/>
      <c r="C12" s="59" t="s">
        <v>82</v>
      </c>
      <c r="D12" s="59">
        <f>'ACA2-Peri'!N9</f>
        <v>4.4032008105169275E+18</v>
      </c>
      <c r="E12" s="59">
        <f t="shared" si="8"/>
        <v>2.2016004052584637E+18</v>
      </c>
      <c r="F12" s="60" t="s">
        <v>118</v>
      </c>
      <c r="G12" s="49"/>
      <c r="I12" s="58" t="s">
        <v>82</v>
      </c>
      <c r="J12" s="59">
        <f>'ACA2-Para'!N6</f>
        <v>97438855015.031982</v>
      </c>
      <c r="K12" s="59">
        <f t="shared" si="9"/>
        <v>48719427507.515991</v>
      </c>
      <c r="L12" s="60" t="s">
        <v>118</v>
      </c>
      <c r="M12" s="49"/>
      <c r="S12" s="49"/>
      <c r="T12" s="68"/>
      <c r="V12">
        <f t="shared" si="3"/>
        <v>5</v>
      </c>
      <c r="W12">
        <f>'PCA2-Peri'!EM38</f>
        <v>566728192700.32239</v>
      </c>
      <c r="X12">
        <f t="shared" si="10"/>
        <v>283364096350.16119</v>
      </c>
      <c r="Y12">
        <f t="shared" si="4"/>
        <v>648050036197.8894</v>
      </c>
      <c r="AA12">
        <f>'MCA-Peri'!EY43</f>
        <v>128984785887.98361</v>
      </c>
      <c r="AB12">
        <f t="shared" si="11"/>
        <v>64492392943.991806</v>
      </c>
      <c r="AC12">
        <f t="shared" si="5"/>
        <v>155716668153.20413</v>
      </c>
      <c r="AE12">
        <f>'ACA2-Peri'!EM38</f>
        <v>515620493540.16229</v>
      </c>
      <c r="AF12">
        <f t="shared" si="12"/>
        <v>257810246770.08115</v>
      </c>
      <c r="AG12">
        <f t="shared" si="6"/>
        <v>622496186617.80933</v>
      </c>
      <c r="AI12">
        <f t="shared" si="2"/>
        <v>5</v>
      </c>
      <c r="AJ12">
        <f t="shared" si="7"/>
        <v>43642289328.427956</v>
      </c>
      <c r="AK12">
        <f t="shared" ref="AK12:AK35" si="13">AK11+AJ12</f>
        <v>85559710241.54126</v>
      </c>
      <c r="AP12">
        <v>861812314156.43164</v>
      </c>
    </row>
    <row r="13" spans="1:58" x14ac:dyDescent="0.35">
      <c r="A13" s="49"/>
      <c r="B13" s="66"/>
      <c r="C13" s="59"/>
      <c r="D13" s="59"/>
      <c r="E13" s="59"/>
      <c r="F13" s="60"/>
      <c r="G13" s="49"/>
      <c r="I13" s="58"/>
      <c r="J13" s="59"/>
      <c r="K13" s="59"/>
      <c r="L13" s="60"/>
      <c r="M13" s="49"/>
      <c r="S13" s="49"/>
      <c r="T13" s="68"/>
      <c r="V13">
        <f t="shared" si="3"/>
        <v>6</v>
      </c>
      <c r="W13">
        <f>'PCA2-Peri'!EG38</f>
        <v>884602737434.32324</v>
      </c>
      <c r="X13">
        <f t="shared" si="10"/>
        <v>442301368717.16162</v>
      </c>
      <c r="Y13">
        <f t="shared" si="4"/>
        <v>1090351404915.051</v>
      </c>
      <c r="AA13">
        <f>'MCA-Peri'!ES43</f>
        <v>221282786664.19379</v>
      </c>
      <c r="AB13">
        <f t="shared" si="11"/>
        <v>110641393332.09689</v>
      </c>
      <c r="AC13">
        <f t="shared" si="5"/>
        <v>266358061485.30103</v>
      </c>
      <c r="AE13">
        <f>'ACA2-Peri'!EG38</f>
        <v>884602737434.32324</v>
      </c>
      <c r="AF13">
        <f t="shared" si="12"/>
        <v>442301368717.16162</v>
      </c>
      <c r="AG13">
        <f t="shared" si="6"/>
        <v>1064797555334.9709</v>
      </c>
      <c r="AI13">
        <f t="shared" si="2"/>
        <v>6</v>
      </c>
      <c r="AJ13">
        <f t="shared" si="7"/>
        <v>73746245010.079803</v>
      </c>
      <c r="AK13">
        <f t="shared" si="13"/>
        <v>159305955251.62106</v>
      </c>
      <c r="AP13">
        <v>861812314156.43164</v>
      </c>
    </row>
    <row r="14" spans="1:58" x14ac:dyDescent="0.35">
      <c r="A14" s="49"/>
      <c r="B14" s="66"/>
      <c r="C14" s="51" t="s">
        <v>147</v>
      </c>
      <c r="D14" s="51"/>
      <c r="E14" s="51">
        <f>((1/E10)+(1/E11)+(1/E12))^-1</f>
        <v>1.1218838373130737E+18</v>
      </c>
      <c r="F14" s="62" t="s">
        <v>118</v>
      </c>
      <c r="G14" s="49"/>
      <c r="I14" s="61"/>
      <c r="J14" s="51"/>
      <c r="K14" s="51"/>
      <c r="L14" s="62"/>
      <c r="M14" s="49"/>
      <c r="S14" s="49"/>
      <c r="T14" s="68"/>
      <c r="V14">
        <f t="shared" si="3"/>
        <v>7</v>
      </c>
      <c r="W14">
        <f>'PCA2-Peri'!EA38</f>
        <v>1549876377213.3938</v>
      </c>
      <c r="X14">
        <f t="shared" si="10"/>
        <v>774938188606.6969</v>
      </c>
      <c r="Y14">
        <f t="shared" si="4"/>
        <v>1865289593521.748</v>
      </c>
      <c r="AA14">
        <f>'MCA-Peri'!EM43</f>
        <v>387688332353.0509</v>
      </c>
      <c r="AB14">
        <f t="shared" si="11"/>
        <v>193844166176.52545</v>
      </c>
      <c r="AC14">
        <f t="shared" si="5"/>
        <v>460202227661.82648</v>
      </c>
      <c r="AE14">
        <f>'ACA2-Peri'!EA38</f>
        <v>1549876377213.3938</v>
      </c>
      <c r="AF14">
        <f t="shared" si="12"/>
        <v>774938188606.6969</v>
      </c>
      <c r="AG14">
        <f t="shared" si="6"/>
        <v>1839735743941.668</v>
      </c>
      <c r="AI14">
        <f t="shared" si="2"/>
        <v>7</v>
      </c>
      <c r="AJ14">
        <f t="shared" si="7"/>
        <v>129205075147.26903</v>
      </c>
      <c r="AK14">
        <f t="shared" si="13"/>
        <v>288511030398.89008</v>
      </c>
      <c r="AP14">
        <v>861812314156.43164</v>
      </c>
    </row>
    <row r="15" spans="1:58" x14ac:dyDescent="0.35">
      <c r="A15" s="49"/>
      <c r="B15" s="59"/>
      <c r="G15" s="49"/>
      <c r="M15" s="49"/>
      <c r="S15" s="49"/>
      <c r="T15" s="68"/>
      <c r="V15">
        <f t="shared" si="3"/>
        <v>8</v>
      </c>
      <c r="W15">
        <f>'PCA2-Peri'!DU38</f>
        <v>3532921169905.0684</v>
      </c>
      <c r="X15">
        <f t="shared" si="10"/>
        <v>1766460584952.5342</v>
      </c>
      <c r="Y15">
        <f t="shared" si="4"/>
        <v>3631750178474.2822</v>
      </c>
      <c r="AA15">
        <f>'MCA-Peri'!EG43</f>
        <v>690176809080.98682</v>
      </c>
      <c r="AB15">
        <f t="shared" si="11"/>
        <v>345088404540.49341</v>
      </c>
      <c r="AC15">
        <f t="shared" si="5"/>
        <v>805290632202.31982</v>
      </c>
      <c r="AE15">
        <f>'ACA2-Peri'!DU38</f>
        <v>3532921169905.0684</v>
      </c>
      <c r="AF15">
        <f t="shared" si="12"/>
        <v>1766460584952.5342</v>
      </c>
      <c r="AG15">
        <f t="shared" si="6"/>
        <v>3606196328894.2021</v>
      </c>
      <c r="AI15">
        <f t="shared" si="2"/>
        <v>8</v>
      </c>
      <c r="AJ15">
        <f t="shared" si="7"/>
        <v>248137989931.05243</v>
      </c>
      <c r="AK15">
        <f t="shared" si="13"/>
        <v>536649020329.9425</v>
      </c>
      <c r="AM15" t="s">
        <v>154</v>
      </c>
      <c r="AN15">
        <f>(10*10^-6)/(0.5^(AI14/3.67))*1000000</f>
        <v>37.512123872069537</v>
      </c>
      <c r="AO15" t="s">
        <v>155</v>
      </c>
      <c r="AP15">
        <v>861812314156.43164</v>
      </c>
    </row>
    <row r="16" spans="1:58" x14ac:dyDescent="0.35">
      <c r="A16" s="49"/>
      <c r="B16" s="66"/>
      <c r="C16" s="56" t="s">
        <v>122</v>
      </c>
      <c r="D16" s="56" t="s">
        <v>120</v>
      </c>
      <c r="E16" s="56" t="s">
        <v>121</v>
      </c>
      <c r="F16" s="57"/>
      <c r="G16" s="49"/>
      <c r="I16" s="55" t="s">
        <v>122</v>
      </c>
      <c r="J16" s="56"/>
      <c r="K16" s="56"/>
      <c r="L16" s="57"/>
      <c r="M16" s="49"/>
      <c r="S16" s="49"/>
      <c r="T16" s="68"/>
      <c r="V16">
        <f t="shared" si="3"/>
        <v>9</v>
      </c>
      <c r="W16">
        <f>'PCA2-Peri'!DO38</f>
        <v>6369099798717.4316</v>
      </c>
      <c r="X16">
        <f t="shared" si="10"/>
        <v>3184549899358.7158</v>
      </c>
      <c r="Y16">
        <f t="shared" si="4"/>
        <v>6816300077832.998</v>
      </c>
      <c r="AA16">
        <f>'MCA-Peri'!EA43</f>
        <v>1244189217867.123</v>
      </c>
      <c r="AB16">
        <f t="shared" si="11"/>
        <v>622094608933.56152</v>
      </c>
      <c r="AC16">
        <f t="shared" si="5"/>
        <v>1427385241135.8813</v>
      </c>
      <c r="AE16">
        <f>'ACA2-Peri'!DO38</f>
        <v>6369099798717.4316</v>
      </c>
      <c r="AF16">
        <f t="shared" si="12"/>
        <v>3184549899358.7158</v>
      </c>
      <c r="AG16">
        <f t="shared" si="6"/>
        <v>6790746228252.918</v>
      </c>
      <c r="AI16">
        <f t="shared" si="2"/>
        <v>9</v>
      </c>
      <c r="AJ16">
        <f t="shared" si="7"/>
        <v>447326264165.21191</v>
      </c>
      <c r="AK16">
        <f t="shared" si="13"/>
        <v>983975284495.15442</v>
      </c>
      <c r="AP16">
        <v>861812314156.43164</v>
      </c>
    </row>
    <row r="17" spans="1:42" x14ac:dyDescent="0.35">
      <c r="A17" s="49"/>
      <c r="B17" s="66"/>
      <c r="C17" s="59" t="s">
        <v>119</v>
      </c>
      <c r="D17" s="59">
        <f>'PCA2-Peri'!FK38</f>
        <v>97316836881.977997</v>
      </c>
      <c r="E17" s="59">
        <f>0.5*D17</f>
        <v>48658418440.988998</v>
      </c>
      <c r="F17" s="60" t="s">
        <v>118</v>
      </c>
      <c r="G17" s="49"/>
      <c r="I17" s="58" t="s">
        <v>119</v>
      </c>
      <c r="J17" s="59">
        <f t="shared" ref="J17:K19" si="14">D17</f>
        <v>97316836881.977997</v>
      </c>
      <c r="K17" s="59">
        <f t="shared" si="14"/>
        <v>48658418440.988998</v>
      </c>
      <c r="L17" s="60" t="s">
        <v>118</v>
      </c>
      <c r="M17" s="49"/>
      <c r="S17" s="49"/>
      <c r="T17" s="68"/>
      <c r="V17">
        <f t="shared" si="3"/>
        <v>10</v>
      </c>
      <c r="W17">
        <f>'PCA2-Peri'!DI38</f>
        <v>11598589132283.893</v>
      </c>
      <c r="X17">
        <f t="shared" si="10"/>
        <v>5799294566141.9463</v>
      </c>
      <c r="Y17">
        <f t="shared" si="4"/>
        <v>12615594643974.945</v>
      </c>
      <c r="AA17">
        <f>'MCA-Peri'!DU43</f>
        <v>2900933062359.8218</v>
      </c>
      <c r="AB17">
        <f t="shared" si="11"/>
        <v>1450466531179.9109</v>
      </c>
      <c r="AC17">
        <f t="shared" si="5"/>
        <v>2877851772315.792</v>
      </c>
      <c r="AE17">
        <f>'ACA2-Peri'!DI38</f>
        <v>11598589132283.893</v>
      </c>
      <c r="AF17">
        <f t="shared" si="12"/>
        <v>5799294566141.9463</v>
      </c>
      <c r="AG17">
        <f t="shared" si="6"/>
        <v>12590040794394.863</v>
      </c>
      <c r="AI17">
        <f t="shared" si="2"/>
        <v>10</v>
      </c>
      <c r="AJ17">
        <f t="shared" si="7"/>
        <v>966834780860.89539</v>
      </c>
      <c r="AK17">
        <f t="shared" si="13"/>
        <v>1950810065356.0498</v>
      </c>
      <c r="AP17">
        <v>861812314156.43164</v>
      </c>
    </row>
    <row r="18" spans="1:42" x14ac:dyDescent="0.35">
      <c r="A18" s="49"/>
      <c r="B18" s="66"/>
      <c r="C18" s="59" t="s">
        <v>10</v>
      </c>
      <c r="D18" s="59">
        <f>'MCA-Peri'!FW43</f>
        <v>24339950637.31218</v>
      </c>
      <c r="E18" s="59">
        <f t="shared" ref="E18:E19" si="15">0.5*D18</f>
        <v>12169975318.65609</v>
      </c>
      <c r="F18" s="60" t="s">
        <v>123</v>
      </c>
      <c r="G18" s="49"/>
      <c r="I18" s="58" t="s">
        <v>10</v>
      </c>
      <c r="J18" s="59">
        <f t="shared" si="14"/>
        <v>24339950637.31218</v>
      </c>
      <c r="K18" s="59">
        <f t="shared" si="14"/>
        <v>12169975318.65609</v>
      </c>
      <c r="L18" s="60" t="s">
        <v>123</v>
      </c>
      <c r="M18" s="49"/>
      <c r="S18" s="49"/>
      <c r="T18" s="68"/>
      <c r="V18">
        <f t="shared" si="3"/>
        <v>11</v>
      </c>
      <c r="W18">
        <f>'PCA2-Peri'!DC38</f>
        <v>21297507859378.055</v>
      </c>
      <c r="X18">
        <f t="shared" si="10"/>
        <v>10648753929689.027</v>
      </c>
      <c r="Y18">
        <f t="shared" si="4"/>
        <v>23264348573663.973</v>
      </c>
      <c r="AA18">
        <f>'MCA-Peri'!DO43</f>
        <v>5326512609468.2051</v>
      </c>
      <c r="AB18">
        <f t="shared" si="11"/>
        <v>2663256304734.1025</v>
      </c>
      <c r="AC18">
        <f t="shared" si="5"/>
        <v>5541108077049.8945</v>
      </c>
      <c r="AE18">
        <f>'ACA2-Peri'!DC38</f>
        <v>21297507859378.055</v>
      </c>
      <c r="AF18">
        <f t="shared" si="12"/>
        <v>10648753929689.027</v>
      </c>
      <c r="AG18">
        <f t="shared" si="6"/>
        <v>23238794724083.891</v>
      </c>
      <c r="AI18">
        <f t="shared" si="2"/>
        <v>11</v>
      </c>
      <c r="AJ18">
        <f t="shared" si="7"/>
        <v>1775266845863.9993</v>
      </c>
      <c r="AK18">
        <f t="shared" si="13"/>
        <v>3726076911220.0488</v>
      </c>
      <c r="AP18">
        <v>861812314156.43164</v>
      </c>
    </row>
    <row r="19" spans="1:42" x14ac:dyDescent="0.35">
      <c r="A19" s="49"/>
      <c r="B19" s="66"/>
      <c r="C19" s="59" t="s">
        <v>82</v>
      </c>
      <c r="D19" s="59">
        <f>'ACA2-Peri'!FK38</f>
        <v>97316836881.977997</v>
      </c>
      <c r="E19" s="59">
        <f t="shared" si="15"/>
        <v>48658418440.988998</v>
      </c>
      <c r="F19" s="60" t="s">
        <v>124</v>
      </c>
      <c r="G19" s="49"/>
      <c r="I19" s="58" t="s">
        <v>82</v>
      </c>
      <c r="J19" s="59">
        <f t="shared" si="14"/>
        <v>97316836881.977997</v>
      </c>
      <c r="K19" s="59">
        <f t="shared" si="14"/>
        <v>48658418440.988998</v>
      </c>
      <c r="L19" s="60" t="s">
        <v>124</v>
      </c>
      <c r="M19" s="49"/>
      <c r="S19" s="49"/>
      <c r="T19" s="68"/>
      <c r="V19">
        <f t="shared" si="3"/>
        <v>12</v>
      </c>
      <c r="W19">
        <f>'PCA2-Peri'!CW38</f>
        <v>39378005375629.289</v>
      </c>
      <c r="X19">
        <f t="shared" si="10"/>
        <v>19689002687814.645</v>
      </c>
      <c r="Y19">
        <f t="shared" si="4"/>
        <v>42953351261478.617</v>
      </c>
      <c r="AA19">
        <f>'MCA-Peri'!DI43</f>
        <v>9848047961165.7793</v>
      </c>
      <c r="AB19">
        <f t="shared" si="11"/>
        <v>4924023980582.8896</v>
      </c>
      <c r="AC19">
        <f t="shared" si="5"/>
        <v>10465132057632.785</v>
      </c>
      <c r="AE19">
        <f>'ACA2-Peri'!CW38</f>
        <v>39378005375629.289</v>
      </c>
      <c r="AF19">
        <f t="shared" si="12"/>
        <v>19689002687814.645</v>
      </c>
      <c r="AG19">
        <f t="shared" si="6"/>
        <v>42927797411898.531</v>
      </c>
      <c r="AI19">
        <f t="shared" si="2"/>
        <v>12</v>
      </c>
      <c r="AJ19">
        <f t="shared" si="7"/>
        <v>3282288490503.2603</v>
      </c>
      <c r="AK19">
        <f t="shared" si="13"/>
        <v>7008365401723.3086</v>
      </c>
      <c r="AM19" t="s">
        <v>157</v>
      </c>
      <c r="AN19">
        <f>(10*10^-6)/(0.5^(AI19/3.67))*1000000</f>
        <v>96.448230397536051</v>
      </c>
      <c r="AO19" t="s">
        <v>155</v>
      </c>
    </row>
    <row r="20" spans="1:42" x14ac:dyDescent="0.35">
      <c r="A20" s="49"/>
      <c r="B20" s="66"/>
      <c r="C20" s="59"/>
      <c r="D20" s="59"/>
      <c r="E20" s="59"/>
      <c r="F20" s="60"/>
      <c r="G20" s="49"/>
      <c r="I20" s="58"/>
      <c r="J20" s="59"/>
      <c r="K20" s="59"/>
      <c r="L20" s="60"/>
      <c r="M20" s="49"/>
      <c r="S20" s="49"/>
      <c r="T20" s="68"/>
      <c r="V20">
        <f t="shared" si="3"/>
        <v>13</v>
      </c>
      <c r="W20">
        <f>'PCA2-Peri'!CQ38</f>
        <v>73235148175875.406</v>
      </c>
      <c r="X20">
        <f t="shared" si="10"/>
        <v>36617574087937.703</v>
      </c>
      <c r="Y20">
        <f t="shared" si="4"/>
        <v>79570925349416.313</v>
      </c>
      <c r="AA20">
        <f>'MCA-Peri'!DC43</f>
        <v>18314675590579.5</v>
      </c>
      <c r="AB20">
        <f t="shared" si="11"/>
        <v>9157337795289.75</v>
      </c>
      <c r="AC20">
        <f t="shared" si="5"/>
        <v>19622469852922.535</v>
      </c>
      <c r="AE20">
        <f>'ACA2-Peri'!CQ38</f>
        <v>73235148175875.406</v>
      </c>
      <c r="AF20">
        <f t="shared" si="12"/>
        <v>36617574087937.703</v>
      </c>
      <c r="AG20">
        <f t="shared" si="6"/>
        <v>79545371499836.234</v>
      </c>
      <c r="AI20">
        <f t="shared" si="2"/>
        <v>13</v>
      </c>
      <c r="AJ20">
        <f t="shared" si="7"/>
        <v>6104237440296.0352</v>
      </c>
      <c r="AK20">
        <f t="shared" si="13"/>
        <v>13112602842019.344</v>
      </c>
    </row>
    <row r="21" spans="1:42" x14ac:dyDescent="0.35">
      <c r="A21" s="49"/>
      <c r="B21" s="66"/>
      <c r="C21" s="51" t="s">
        <v>148</v>
      </c>
      <c r="D21" s="51"/>
      <c r="E21" s="51">
        <f>((1/E17)+(1/E18)+(1/E19))^-1</f>
        <v>8112123037.1117964</v>
      </c>
      <c r="F21" s="62" t="s">
        <v>118</v>
      </c>
      <c r="G21" s="49"/>
      <c r="I21" s="61" t="s">
        <v>149</v>
      </c>
      <c r="J21" s="51"/>
      <c r="K21" s="51">
        <f>((1/E17)+(1/E18)+(1/E19))^-1</f>
        <v>8112123037.1117964</v>
      </c>
      <c r="L21" s="62" t="s">
        <v>118</v>
      </c>
      <c r="M21" s="49"/>
      <c r="S21" s="49"/>
      <c r="T21" s="68"/>
      <c r="V21">
        <f t="shared" si="3"/>
        <v>14</v>
      </c>
      <c r="W21">
        <f>'PCA2-Peri'!CK38</f>
        <v>136887435966919.58</v>
      </c>
      <c r="X21">
        <f t="shared" si="10"/>
        <v>68443717983459.789</v>
      </c>
      <c r="Y21">
        <f t="shared" si="4"/>
        <v>148014643332876.09</v>
      </c>
      <c r="AA21">
        <f>'MCA-Peri'!CW43</f>
        <v>34231634531687.707</v>
      </c>
      <c r="AB21">
        <f t="shared" si="11"/>
        <v>17115817265843.854</v>
      </c>
      <c r="AC21">
        <f t="shared" si="5"/>
        <v>36738287118766.391</v>
      </c>
      <c r="AE21">
        <f>'ACA2-Peri'!CK38</f>
        <v>136887435966919.58</v>
      </c>
      <c r="AF21">
        <f t="shared" si="12"/>
        <v>68443717983459.789</v>
      </c>
      <c r="AG21">
        <f t="shared" si="6"/>
        <v>147989089483296.03</v>
      </c>
      <c r="AI21">
        <f t="shared" si="2"/>
        <v>14</v>
      </c>
      <c r="AJ21">
        <f t="shared" si="7"/>
        <v>11409458465964.594</v>
      </c>
      <c r="AK21">
        <f t="shared" si="13"/>
        <v>24522061307983.938</v>
      </c>
    </row>
    <row r="22" spans="1:42" x14ac:dyDescent="0.35">
      <c r="A22" s="49"/>
      <c r="B22" s="59"/>
      <c r="G22" s="49"/>
      <c r="M22" s="49"/>
      <c r="S22" s="49"/>
      <c r="T22" s="68"/>
      <c r="V22">
        <f t="shared" si="3"/>
        <v>15</v>
      </c>
      <c r="W22">
        <f>'PCA2-Peri'!CE38</f>
        <v>256977696209461.88</v>
      </c>
      <c r="X22">
        <f t="shared" si="10"/>
        <v>128488848104730.94</v>
      </c>
      <c r="Y22">
        <f t="shared" si="4"/>
        <v>276503491437607.03</v>
      </c>
      <c r="AA22">
        <f>'MCA-Peri'!CQ43</f>
        <v>64260651237498.875</v>
      </c>
      <c r="AB22">
        <f t="shared" si="11"/>
        <v>32130325618749.438</v>
      </c>
      <c r="AC22">
        <f t="shared" si="5"/>
        <v>68868612737515.828</v>
      </c>
      <c r="AE22">
        <f>'ACA2-Peri'!CE38</f>
        <v>256977696209461.88</v>
      </c>
      <c r="AF22">
        <f t="shared" si="12"/>
        <v>128488848104730.94</v>
      </c>
      <c r="AG22">
        <f t="shared" si="6"/>
        <v>276477937588026.97</v>
      </c>
      <c r="AI22">
        <f t="shared" si="2"/>
        <v>15</v>
      </c>
      <c r="AJ22">
        <f t="shared" si="7"/>
        <v>21418413755010.703</v>
      </c>
      <c r="AK22">
        <f t="shared" si="13"/>
        <v>45940475062994.641</v>
      </c>
    </row>
    <row r="23" spans="1:42" x14ac:dyDescent="0.35">
      <c r="A23" s="49"/>
      <c r="B23" s="59"/>
      <c r="G23" s="49"/>
      <c r="M23" s="49"/>
      <c r="S23" s="49"/>
      <c r="T23" s="68"/>
      <c r="V23">
        <f t="shared" si="3"/>
        <v>16</v>
      </c>
      <c r="W23">
        <f>'PCA2-Peri'!BY38</f>
        <v>378213219111912.13</v>
      </c>
      <c r="X23">
        <f t="shared" si="10"/>
        <v>189106609555956.06</v>
      </c>
      <c r="Y23">
        <f t="shared" si="4"/>
        <v>465610100993563.13</v>
      </c>
      <c r="AA23">
        <f>'MCA-Peri'!CK43</f>
        <v>121092161803059.64</v>
      </c>
      <c r="AB23">
        <f t="shared" si="11"/>
        <v>60546080901529.82</v>
      </c>
      <c r="AC23">
        <f t="shared" si="5"/>
        <v>129414693639045.66</v>
      </c>
      <c r="AE23">
        <f>'ACA2-Peri'!BY38</f>
        <v>378213219111912.13</v>
      </c>
      <c r="AF23">
        <f t="shared" si="12"/>
        <v>189106609555956.06</v>
      </c>
      <c r="AG23">
        <f t="shared" si="6"/>
        <v>465584547143983</v>
      </c>
      <c r="AI23">
        <f t="shared" si="2"/>
        <v>16</v>
      </c>
      <c r="AJ23">
        <f t="shared" si="7"/>
        <v>36910733176107.25</v>
      </c>
      <c r="AK23">
        <f t="shared" si="13"/>
        <v>82851208239101.891</v>
      </c>
    </row>
    <row r="24" spans="1:42" x14ac:dyDescent="0.35">
      <c r="A24" s="49"/>
      <c r="B24" s="66"/>
      <c r="C24" s="53" t="s">
        <v>125</v>
      </c>
      <c r="D24" s="53"/>
      <c r="E24" s="53">
        <f>E14+E6</f>
        <v>2.8238808767767593E+18</v>
      </c>
      <c r="F24" s="54" t="s">
        <v>118</v>
      </c>
      <c r="G24" s="49"/>
      <c r="I24" s="52" t="s">
        <v>128</v>
      </c>
      <c r="J24" s="53"/>
      <c r="K24" s="53">
        <f>((1/K10)+(1/K11)+(1/K12))^-1</f>
        <v>9121397420.6055946</v>
      </c>
      <c r="L24" s="54" t="s">
        <v>118</v>
      </c>
      <c r="M24" s="49"/>
      <c r="S24" s="49"/>
      <c r="T24" s="68"/>
      <c r="V24">
        <f t="shared" si="3"/>
        <v>17</v>
      </c>
      <c r="W24">
        <f>'PCA2-Peri'!BS38</f>
        <v>792565322457610</v>
      </c>
      <c r="X24">
        <f t="shared" si="10"/>
        <v>396282661228805</v>
      </c>
      <c r="Y24">
        <f t="shared" si="4"/>
        <v>861892762222368.13</v>
      </c>
      <c r="AA24">
        <f>'MCA-Peri'!CE43</f>
        <v>228953151779137.81</v>
      </c>
      <c r="AB24">
        <f t="shared" si="11"/>
        <v>114476575889568.91</v>
      </c>
      <c r="AC24">
        <f t="shared" si="5"/>
        <v>243891269528614.56</v>
      </c>
      <c r="AE24">
        <f>'ACA2-Peri'!BS38</f>
        <v>792565322457610</v>
      </c>
      <c r="AF24">
        <f t="shared" si="12"/>
        <v>396282661228805</v>
      </c>
      <c r="AG24">
        <f t="shared" si="6"/>
        <v>861867208372788</v>
      </c>
      <c r="AI24">
        <f t="shared" si="2"/>
        <v>17</v>
      </c>
      <c r="AJ24">
        <f t="shared" si="7"/>
        <v>72556755704112.734</v>
      </c>
      <c r="AK24">
        <f t="shared" si="13"/>
        <v>155407963943214.63</v>
      </c>
    </row>
    <row r="25" spans="1:42" x14ac:dyDescent="0.35">
      <c r="A25" s="49"/>
      <c r="B25" s="59"/>
      <c r="G25" s="49"/>
      <c r="M25" s="49"/>
      <c r="S25" s="49"/>
      <c r="T25" s="68"/>
      <c r="V25">
        <f t="shared" si="3"/>
        <v>18</v>
      </c>
      <c r="W25">
        <f>'PCA2-Peri'!BM38</f>
        <v>1356185054533158.3</v>
      </c>
      <c r="X25">
        <f t="shared" si="10"/>
        <v>678092527266579.13</v>
      </c>
      <c r="Y25">
        <f t="shared" si="4"/>
        <v>1539985289488947.3</v>
      </c>
      <c r="AA25">
        <f>'MCA-Peri'!BY43</f>
        <v>339104144432722.19</v>
      </c>
      <c r="AB25">
        <f t="shared" si="11"/>
        <v>169552072216361.09</v>
      </c>
      <c r="AC25">
        <f t="shared" si="5"/>
        <v>413443341744975.63</v>
      </c>
      <c r="AE25">
        <f>'ACA2-Peri'!BM38</f>
        <v>1356185054533158.3</v>
      </c>
      <c r="AF25">
        <f t="shared" si="12"/>
        <v>678092527266579.13</v>
      </c>
      <c r="AG25">
        <f t="shared" si="6"/>
        <v>1539959735639367</v>
      </c>
      <c r="AI25">
        <f t="shared" si="2"/>
        <v>18</v>
      </c>
      <c r="AJ25">
        <f t="shared" si="7"/>
        <v>113028282879070.7</v>
      </c>
      <c r="AK25">
        <f t="shared" si="13"/>
        <v>268436246822285.31</v>
      </c>
    </row>
    <row r="26" spans="1:42" x14ac:dyDescent="0.35">
      <c r="A26" s="49"/>
      <c r="B26" s="59"/>
      <c r="G26" s="49"/>
      <c r="M26" s="49"/>
      <c r="S26" s="49"/>
      <c r="T26" s="68"/>
      <c r="V26">
        <f t="shared" si="3"/>
        <v>19</v>
      </c>
      <c r="W26">
        <f>'PCA2-Peri'!BG38</f>
        <v>2578821266941628.5</v>
      </c>
      <c r="X26">
        <f t="shared" si="10"/>
        <v>1289410633470814.3</v>
      </c>
      <c r="Y26">
        <f t="shared" si="4"/>
        <v>2829395922959761.5</v>
      </c>
      <c r="AA26">
        <f>'MCA-Peri'!BS43</f>
        <v>724319778596940.38</v>
      </c>
      <c r="AB26">
        <f t="shared" si="11"/>
        <v>362159889298470.19</v>
      </c>
      <c r="AC26">
        <f t="shared" si="5"/>
        <v>775603231043445.75</v>
      </c>
      <c r="AE26">
        <f>'ACA2-Peri'!BG38</f>
        <v>2578821266941628.5</v>
      </c>
      <c r="AF26">
        <f t="shared" si="12"/>
        <v>1289410633470814.3</v>
      </c>
      <c r="AG26">
        <f t="shared" si="6"/>
        <v>2829370369110181</v>
      </c>
      <c r="AI26">
        <f t="shared" si="2"/>
        <v>19</v>
      </c>
      <c r="AJ26">
        <f t="shared" si="7"/>
        <v>231894403282393.53</v>
      </c>
      <c r="AK26">
        <f t="shared" si="13"/>
        <v>500330650104678.88</v>
      </c>
    </row>
    <row r="27" spans="1:42" x14ac:dyDescent="0.35">
      <c r="A27" s="49"/>
      <c r="B27" s="59"/>
      <c r="C27" s="51"/>
      <c r="D27" s="51"/>
      <c r="E27" s="51"/>
      <c r="F27" s="51"/>
      <c r="G27" s="65"/>
      <c r="M27" s="49"/>
      <c r="S27" s="49"/>
      <c r="T27" s="68"/>
      <c r="V27">
        <f t="shared" si="3"/>
        <v>20</v>
      </c>
      <c r="W27">
        <f>'PCA2-Peri'!BA38</f>
        <v>5162478548867949</v>
      </c>
      <c r="X27">
        <f t="shared" si="10"/>
        <v>2581239274433974.5</v>
      </c>
      <c r="Y27">
        <f t="shared" si="4"/>
        <v>5410635197393736</v>
      </c>
      <c r="AA27">
        <f>'MCA-Peri'!BM43</f>
        <v>1290778231461474.5</v>
      </c>
      <c r="AB27">
        <f t="shared" si="11"/>
        <v>645389115730737.25</v>
      </c>
      <c r="AC27">
        <f t="shared" si="5"/>
        <v>1420992346774183</v>
      </c>
      <c r="AE27">
        <f>'ACA2-Peri'!BA38</f>
        <v>5162478548867949</v>
      </c>
      <c r="AF27">
        <f t="shared" si="12"/>
        <v>2581239274433974.5</v>
      </c>
      <c r="AG27">
        <f t="shared" si="6"/>
        <v>5410609643544156</v>
      </c>
      <c r="AI27">
        <f t="shared" si="2"/>
        <v>20</v>
      </c>
      <c r="AJ27">
        <f t="shared" si="7"/>
        <v>430241787460910</v>
      </c>
      <c r="AK27">
        <f t="shared" si="13"/>
        <v>930572437565588.88</v>
      </c>
    </row>
    <row r="28" spans="1:42" x14ac:dyDescent="0.35">
      <c r="A28" s="49"/>
      <c r="B28" s="66"/>
      <c r="C28" s="44" t="s">
        <v>143</v>
      </c>
      <c r="D28" s="44">
        <v>0.13</v>
      </c>
      <c r="E28" s="44" t="s">
        <v>145</v>
      </c>
      <c r="F28" s="44">
        <f>D28*0.00000001666</f>
        <v>2.1658000000000001E-9</v>
      </c>
      <c r="G28" s="70" t="s">
        <v>66</v>
      </c>
      <c r="M28" s="49"/>
      <c r="S28" s="49"/>
      <c r="T28" s="68"/>
      <c r="V28">
        <f t="shared" si="3"/>
        <v>21</v>
      </c>
      <c r="W28">
        <f>'PCA2-Peri'!AU38</f>
        <v>1.0332980801195592E+16</v>
      </c>
      <c r="X28">
        <f t="shared" si="10"/>
        <v>5166490400597796</v>
      </c>
      <c r="Y28">
        <f t="shared" si="4"/>
        <v>1.0577125597991532E+16</v>
      </c>
      <c r="AA28">
        <f>'MCA-Peri'!BG43</f>
        <v>2583506208926976</v>
      </c>
      <c r="AB28">
        <f t="shared" si="11"/>
        <v>1291753104463488</v>
      </c>
      <c r="AC28">
        <f t="shared" si="5"/>
        <v>2712745451237671</v>
      </c>
      <c r="AE28">
        <f>'ACA2-Peri'!AU38</f>
        <v>1.0332980801195592E+16</v>
      </c>
      <c r="AF28">
        <f t="shared" si="12"/>
        <v>5166490400597796</v>
      </c>
      <c r="AG28">
        <f t="shared" si="6"/>
        <v>1.0577100044141952E+16</v>
      </c>
      <c r="AI28">
        <f t="shared" si="2"/>
        <v>21</v>
      </c>
      <c r="AJ28">
        <f t="shared" si="7"/>
        <v>861139733396896.25</v>
      </c>
      <c r="AK28">
        <f t="shared" si="13"/>
        <v>1791712170962485</v>
      </c>
    </row>
    <row r="29" spans="1:42" x14ac:dyDescent="0.35">
      <c r="A29" s="49"/>
      <c r="B29" s="66"/>
      <c r="C29" s="44" t="s">
        <v>141</v>
      </c>
      <c r="D29" s="44">
        <v>14</v>
      </c>
      <c r="E29" s="44" t="s">
        <v>144</v>
      </c>
      <c r="F29" s="44">
        <f>D29*133.322365</f>
        <v>1866.5131099999999</v>
      </c>
      <c r="G29" s="70" t="s">
        <v>72</v>
      </c>
      <c r="H29" s="73" t="s">
        <v>140</v>
      </c>
      <c r="I29" s="74"/>
      <c r="J29" s="74">
        <v>0.13</v>
      </c>
      <c r="K29" s="74" t="s">
        <v>70</v>
      </c>
      <c r="L29" s="74">
        <f>J29*0.00000001666</f>
        <v>2.1658000000000001E-9</v>
      </c>
      <c r="M29" s="75" t="s">
        <v>66</v>
      </c>
      <c r="N29" s="73" t="s">
        <v>140</v>
      </c>
      <c r="O29" s="74"/>
      <c r="P29" s="74">
        <v>0.13</v>
      </c>
      <c r="Q29" s="74" t="s">
        <v>70</v>
      </c>
      <c r="R29" s="74">
        <f>P29*0.00000001666</f>
        <v>2.1658000000000001E-9</v>
      </c>
      <c r="S29" s="75" t="s">
        <v>66</v>
      </c>
      <c r="T29" s="68"/>
      <c r="V29">
        <f t="shared" si="3"/>
        <v>22</v>
      </c>
      <c r="W29">
        <f>'PCA2-Peri'!AO38</f>
        <v>2.0679248415622732E+16</v>
      </c>
      <c r="X29">
        <f t="shared" si="10"/>
        <v>1.0339624207811366E+16</v>
      </c>
      <c r="Y29">
        <f t="shared" si="4"/>
        <v>2.0916749805802896E+16</v>
      </c>
      <c r="AA29">
        <f>'MCA-Peri'!BA43</f>
        <v>5170262467016163</v>
      </c>
      <c r="AB29">
        <f t="shared" si="11"/>
        <v>2585131233508081.5</v>
      </c>
      <c r="AC29">
        <f t="shared" si="5"/>
        <v>5297876684745752</v>
      </c>
      <c r="AE29">
        <f>'ACA2-Peri'!AO38</f>
        <v>2.0679248415622732E+16</v>
      </c>
      <c r="AF29">
        <f t="shared" si="12"/>
        <v>1.0339624207811366E+16</v>
      </c>
      <c r="AG29">
        <f t="shared" si="6"/>
        <v>2.091672425195332E+16</v>
      </c>
      <c r="AI29">
        <f t="shared" si="2"/>
        <v>22</v>
      </c>
      <c r="AJ29">
        <f t="shared" si="7"/>
        <v>1723370779087052.5</v>
      </c>
      <c r="AK29">
        <f t="shared" si="13"/>
        <v>3515082950049537.5</v>
      </c>
    </row>
    <row r="30" spans="1:42" ht="15" thickBot="1" x14ac:dyDescent="0.4">
      <c r="A30" s="49"/>
      <c r="B30" s="67"/>
      <c r="C30" s="71" t="s">
        <v>142</v>
      </c>
      <c r="D30" s="71">
        <f>F29/F28</f>
        <v>861812314156.43164</v>
      </c>
      <c r="E30" s="71" t="s">
        <v>118</v>
      </c>
      <c r="F30" s="71"/>
      <c r="G30" s="72"/>
      <c r="H30" s="76" t="s">
        <v>133</v>
      </c>
      <c r="I30" s="71"/>
      <c r="J30" s="71">
        <f>L29*K24</f>
        <v>19.755122533547599</v>
      </c>
      <c r="K30" s="71" t="s">
        <v>72</v>
      </c>
      <c r="L30" s="71">
        <f>J30*0.0075006157584566</f>
        <v>0.14817558338536818</v>
      </c>
      <c r="M30" s="72" t="s">
        <v>44</v>
      </c>
      <c r="N30" s="71" t="s">
        <v>133</v>
      </c>
      <c r="O30" s="71"/>
      <c r="P30" s="71">
        <f>R29*P9</f>
        <v>3.0855084696417907E-2</v>
      </c>
      <c r="Q30" s="71" t="s">
        <v>72</v>
      </c>
      <c r="R30" s="71">
        <f>P30*0.0075006157584566</f>
        <v>2.3143213450246524E-4</v>
      </c>
      <c r="S30" s="72" t="s">
        <v>44</v>
      </c>
      <c r="T30" s="68"/>
      <c r="V30">
        <f t="shared" si="3"/>
        <v>23</v>
      </c>
      <c r="W30">
        <f>'PCA2-Peri'!AI38</f>
        <v>4.1380623735512072E+16</v>
      </c>
      <c r="X30">
        <f t="shared" si="10"/>
        <v>2.0690311867756036E+16</v>
      </c>
      <c r="Y30">
        <f t="shared" si="4"/>
        <v>4.1607061673558928E+16</v>
      </c>
      <c r="AA30">
        <f>'MCA-Peri'!AU43</f>
        <v>1.0345924190038462E+16</v>
      </c>
      <c r="AB30">
        <f t="shared" si="11"/>
        <v>5172962095019231</v>
      </c>
      <c r="AC30">
        <f t="shared" si="5"/>
        <v>1.0470838779764984E+16</v>
      </c>
      <c r="AE30">
        <f>'ACA2-Peri'!AI38</f>
        <v>4.1380623735512072E+16</v>
      </c>
      <c r="AF30">
        <f t="shared" si="12"/>
        <v>2.0690311867756036E+16</v>
      </c>
      <c r="AG30">
        <f t="shared" si="6"/>
        <v>4.160703611970936E+16</v>
      </c>
      <c r="AI30">
        <f t="shared" si="2"/>
        <v>23</v>
      </c>
      <c r="AJ30">
        <f t="shared" si="7"/>
        <v>3448556030657872.5</v>
      </c>
      <c r="AK30">
        <f t="shared" si="13"/>
        <v>6963638980707410</v>
      </c>
    </row>
    <row r="31" spans="1:42" ht="15" thickTop="1" x14ac:dyDescent="0.35">
      <c r="A31" s="59"/>
      <c r="B31" s="59"/>
      <c r="T31" s="68"/>
      <c r="V31">
        <f t="shared" si="3"/>
        <v>24</v>
      </c>
      <c r="W31">
        <f>'PCA2-Peri'!AC38</f>
        <v>8.2798014109597056E+16</v>
      </c>
      <c r="X31">
        <f t="shared" si="10"/>
        <v>4.1399007054798528E+16</v>
      </c>
      <c r="Y31">
        <f t="shared" si="4"/>
        <v>8.3006068728357456E+16</v>
      </c>
      <c r="AA31">
        <f>'MCA-Peri'!AO43</f>
        <v>2.070064604684494E+16</v>
      </c>
      <c r="AB31">
        <f t="shared" si="11"/>
        <v>1.035032302342247E+16</v>
      </c>
      <c r="AC31">
        <f t="shared" si="5"/>
        <v>2.0821161803187456E+16</v>
      </c>
      <c r="AE31">
        <f>'ACA2-Peri'!AC38</f>
        <v>8.2798014109597056E+16</v>
      </c>
      <c r="AF31">
        <f t="shared" si="12"/>
        <v>4.1399007054798528E+16</v>
      </c>
      <c r="AG31">
        <f t="shared" si="6"/>
        <v>8.3006043174507888E+16</v>
      </c>
      <c r="AI31">
        <f t="shared" si="2"/>
        <v>24</v>
      </c>
      <c r="AJ31">
        <f t="shared" si="7"/>
        <v>6900088397672070</v>
      </c>
      <c r="AK31">
        <f t="shared" si="13"/>
        <v>1.386372737837948E+16</v>
      </c>
    </row>
    <row r="32" spans="1:42" x14ac:dyDescent="0.35">
      <c r="T32" s="68"/>
      <c r="U32" t="s">
        <v>152</v>
      </c>
      <c r="V32">
        <f t="shared" si="3"/>
        <v>25</v>
      </c>
      <c r="W32">
        <f>'PCA2-Peri'!W38</f>
        <v>1.656539682009087E+17</v>
      </c>
      <c r="X32">
        <f t="shared" si="10"/>
        <v>8.2826984100454352E+16</v>
      </c>
      <c r="Y32">
        <f t="shared" si="4"/>
        <v>1.6583305282881181E+17</v>
      </c>
      <c r="AA32">
        <f>'MCA-Peri'!AI43</f>
        <v>4.1416593334205064E+16</v>
      </c>
      <c r="AB32">
        <f t="shared" si="11"/>
        <v>2.0708296667102532E+16</v>
      </c>
      <c r="AC32">
        <f t="shared" si="5"/>
        <v>4.1529458470289984E+16</v>
      </c>
      <c r="AE32">
        <f>'ACA2-Peri'!W38</f>
        <v>1.656539682009087E+17</v>
      </c>
      <c r="AF32">
        <f t="shared" si="12"/>
        <v>8.2826984100454352E+16</v>
      </c>
      <c r="AG32">
        <f t="shared" si="6"/>
        <v>1.6583302727496224E+17</v>
      </c>
      <c r="AI32">
        <f t="shared" si="2"/>
        <v>25</v>
      </c>
      <c r="AJ32">
        <f t="shared" si="7"/>
        <v>1.3805186507090332E+16</v>
      </c>
      <c r="AK32">
        <f t="shared" si="13"/>
        <v>2.7668913885469812E+16</v>
      </c>
    </row>
    <row r="33" spans="3:37" x14ac:dyDescent="0.35">
      <c r="T33" s="68"/>
      <c r="V33">
        <f t="shared" si="3"/>
        <v>26</v>
      </c>
      <c r="W33">
        <f>'PCA2-Peri'!Q38</f>
        <v>4.2435051351437984E+17</v>
      </c>
      <c r="X33">
        <f t="shared" si="10"/>
        <v>2.1217525675718992E+17</v>
      </c>
      <c r="Y33">
        <f t="shared" si="4"/>
        <v>3.7800830958600173E+17</v>
      </c>
      <c r="AA33">
        <f>'MCA-Peri'!AC43</f>
        <v>8.2853010338603632E+16</v>
      </c>
      <c r="AB33">
        <f t="shared" si="11"/>
        <v>4.1426505169301816E+16</v>
      </c>
      <c r="AC33">
        <f t="shared" si="5"/>
        <v>8.2955963639591808E+16</v>
      </c>
      <c r="AE33">
        <f>'ACA2-Peri'!Q38</f>
        <v>4.2435051351437984E+17</v>
      </c>
      <c r="AF33">
        <f t="shared" si="12"/>
        <v>2.1217525675718992E+17</v>
      </c>
      <c r="AG33">
        <f t="shared" si="6"/>
        <v>3.7800828403215219E+17</v>
      </c>
      <c r="AI33">
        <f t="shared" si="2"/>
        <v>26</v>
      </c>
      <c r="AJ33">
        <f t="shared" si="7"/>
        <v>2.9792668537742936E+16</v>
      </c>
      <c r="AK33">
        <f t="shared" si="13"/>
        <v>5.7461582423212752E+16</v>
      </c>
    </row>
    <row r="34" spans="3:37" x14ac:dyDescent="0.35">
      <c r="T34" s="68"/>
      <c r="V34">
        <f t="shared" si="3"/>
        <v>27</v>
      </c>
      <c r="W34">
        <f>'PCA2-Peri'!K38</f>
        <v>6.6300952079028749E+17</v>
      </c>
      <c r="X34">
        <f t="shared" si="10"/>
        <v>3.3150476039514374E+17</v>
      </c>
      <c r="Y34">
        <f t="shared" si="4"/>
        <v>7.0951306998114547E+17</v>
      </c>
      <c r="AA34">
        <f>'MCA-Peri'!W43</f>
        <v>1.6574945958207757E+17</v>
      </c>
      <c r="AB34">
        <f t="shared" si="11"/>
        <v>8.2874729791038784E+16</v>
      </c>
      <c r="AC34">
        <f t="shared" si="5"/>
        <v>1.6583069343063059E+17</v>
      </c>
      <c r="AE34">
        <f>'ACA2-Peri'!K38</f>
        <v>6.6300952079028749E+17</v>
      </c>
      <c r="AF34">
        <f t="shared" si="12"/>
        <v>3.3150476039514374E+17</v>
      </c>
      <c r="AG34">
        <f t="shared" si="6"/>
        <v>7.09513044427296E+17</v>
      </c>
      <c r="AI34">
        <f t="shared" si="2"/>
        <v>27</v>
      </c>
      <c r="AJ34">
        <f t="shared" si="7"/>
        <v>5.5250144369713176E+16</v>
      </c>
      <c r="AK34">
        <f t="shared" si="13"/>
        <v>1.1271172679292592E+17</v>
      </c>
    </row>
    <row r="35" spans="3:37" x14ac:dyDescent="0.35">
      <c r="C35" t="s">
        <v>158</v>
      </c>
      <c r="D35">
        <f>E24</f>
        <v>2.8238808767767593E+18</v>
      </c>
      <c r="T35" s="68"/>
      <c r="V35">
        <f t="shared" si="3"/>
        <v>28</v>
      </c>
      <c r="W35">
        <f>'PCA2-Peri'!E38</f>
        <v>3.9788994982934042E+18</v>
      </c>
      <c r="X35">
        <f t="shared" si="10"/>
        <v>1.9894497491467021E+18</v>
      </c>
      <c r="Y35">
        <f t="shared" si="4"/>
        <v>2.6989628191278474E+18</v>
      </c>
      <c r="AA35">
        <f>'MCA-Peri'!Q43</f>
        <v>4.2457343713369779E+17</v>
      </c>
      <c r="AB35">
        <f t="shared" si="11"/>
        <v>2.122867185668489E+17</v>
      </c>
      <c r="AC35">
        <f t="shared" si="5"/>
        <v>3.7811741199747949E+17</v>
      </c>
      <c r="AE35">
        <f>'ACA2-Peri'!E38</f>
        <v>2.9841746237200527E+18</v>
      </c>
      <c r="AF35">
        <f t="shared" si="12"/>
        <v>1.4920873118600264E+18</v>
      </c>
      <c r="AG35">
        <f t="shared" si="6"/>
        <v>2.2016003562873224E+18</v>
      </c>
      <c r="AI35">
        <v>29</v>
      </c>
      <c r="AJ35">
        <f t="shared" si="7"/>
        <v>1.6996789928593683E+17</v>
      </c>
      <c r="AK35">
        <f t="shared" si="13"/>
        <v>2.8267962607886275E+17</v>
      </c>
    </row>
    <row r="36" spans="3:37" x14ac:dyDescent="0.35">
      <c r="C36" t="s">
        <v>159</v>
      </c>
      <c r="D36">
        <f>K24</f>
        <v>9121397420.6055946</v>
      </c>
      <c r="T36" s="68"/>
      <c r="V36">
        <v>28</v>
      </c>
      <c r="AA36">
        <f>'MCA-Peri'!K43</f>
        <v>6.6325236730522509E+17</v>
      </c>
      <c r="AB36">
        <f t="shared" si="11"/>
        <v>3.3162618365261254E+17</v>
      </c>
      <c r="AC36">
        <f t="shared" si="5"/>
        <v>7.0974359565009203E+17</v>
      </c>
      <c r="AI36">
        <v>30</v>
      </c>
    </row>
    <row r="37" spans="3:37" x14ac:dyDescent="0.35">
      <c r="C37" t="s">
        <v>160</v>
      </c>
      <c r="D37">
        <f>P9</f>
        <v>14246506.924193326</v>
      </c>
      <c r="V37">
        <v>29</v>
      </c>
      <c r="AA37">
        <f>'MCA-Peri'!E43</f>
        <v>2.2554208468089398E+18</v>
      </c>
      <c r="AB37">
        <f t="shared" si="11"/>
        <v>1.1277104234044699E+18</v>
      </c>
      <c r="AC37">
        <f t="shared" si="5"/>
        <v>1.8374540190545618E+18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97"/>
  <sheetViews>
    <sheetView zoomScale="85" zoomScaleNormal="85" workbookViewId="0">
      <selection activeCell="A9" sqref="A9:XFD9"/>
    </sheetView>
  </sheetViews>
  <sheetFormatPr defaultColWidth="8.81640625" defaultRowHeight="14.5" x14ac:dyDescent="0.35"/>
  <cols>
    <col min="1" max="1" width="14.81640625" style="5" customWidth="1"/>
    <col min="2" max="2" width="11.54296875" style="5" customWidth="1"/>
    <col min="3" max="3" width="12" style="5" customWidth="1"/>
    <col min="4" max="4" width="11.1796875" style="5" customWidth="1"/>
    <col min="5" max="5" width="10.08984375" style="5" customWidth="1"/>
    <col min="6" max="6" width="14.08984375" style="5" customWidth="1"/>
    <col min="7" max="7" width="15.1796875" style="5" customWidth="1"/>
    <col min="8" max="8" width="13.81640625" style="5" customWidth="1"/>
    <col min="9" max="9" width="10.6328125" style="5" customWidth="1"/>
    <col min="10" max="10" width="10.1796875" style="5" customWidth="1"/>
    <col min="11" max="11" width="11.90625" style="5" customWidth="1"/>
    <col min="12" max="12" width="11.81640625" style="5" bestFit="1" customWidth="1"/>
    <col min="13" max="13" width="12" style="5" customWidth="1"/>
    <col min="14" max="14" width="12.453125" style="5" customWidth="1"/>
    <col min="15" max="15" width="13.81640625" style="5" customWidth="1"/>
    <col min="16" max="16" width="6.36328125" style="5" customWidth="1"/>
    <col min="17" max="17" width="14.08984375" style="5" customWidth="1"/>
    <col min="18" max="18" width="12" style="5" customWidth="1"/>
    <col min="19" max="19" width="12" style="5" bestFit="1" customWidth="1"/>
    <col min="20" max="21" width="8.81640625" style="5"/>
    <col min="22" max="22" width="15.1796875" style="5" customWidth="1"/>
    <col min="23" max="23" width="8.81640625" style="5" customWidth="1"/>
    <col min="24" max="24" width="10.1796875" style="5" customWidth="1"/>
    <col min="25" max="25" width="14.90625" style="5" customWidth="1"/>
    <col min="26" max="26" width="10.1796875" style="5" customWidth="1"/>
    <col min="27" max="27" width="8.81640625" style="5"/>
    <col min="28" max="30" width="12.453125" style="5" bestFit="1" customWidth="1"/>
    <col min="31" max="42" width="8.81640625" style="5"/>
    <col min="43" max="43" width="16.453125" style="5" customWidth="1"/>
    <col min="44" max="44" width="12.453125" style="5" customWidth="1"/>
    <col min="45" max="45" width="16.1796875" style="5" customWidth="1"/>
    <col min="46" max="16384" width="8.81640625" style="5"/>
  </cols>
  <sheetData>
    <row r="1" spans="1:45" x14ac:dyDescent="0.35">
      <c r="H1" s="37" t="s">
        <v>161</v>
      </c>
      <c r="I1" s="5">
        <f>2*((2^(I9-1))+(2^(I8-1))+(2^(I11-1)))</f>
        <v>3221225472</v>
      </c>
      <c r="W1" s="5" t="s">
        <v>68</v>
      </c>
      <c r="Z1" s="5" t="s">
        <v>69</v>
      </c>
    </row>
    <row r="2" spans="1:45" ht="15" thickBot="1" x14ac:dyDescent="0.4">
      <c r="AC2" s="5" t="s">
        <v>70</v>
      </c>
      <c r="AR2" s="37" t="s">
        <v>41</v>
      </c>
      <c r="AS2" s="37" t="s">
        <v>110</v>
      </c>
    </row>
    <row r="3" spans="1:45" ht="13.75" customHeight="1" x14ac:dyDescent="0.3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7" t="s">
        <v>58</v>
      </c>
      <c r="G3" s="8" t="s">
        <v>57</v>
      </c>
      <c r="H3" s="9" t="s">
        <v>23</v>
      </c>
      <c r="I3" s="10" t="s">
        <v>24</v>
      </c>
      <c r="J3" s="5" t="s">
        <v>27</v>
      </c>
      <c r="K3" s="5" t="s">
        <v>30</v>
      </c>
      <c r="L3" s="5" t="s">
        <v>31</v>
      </c>
      <c r="M3" s="5" t="s">
        <v>40</v>
      </c>
      <c r="N3" s="5" t="s">
        <v>51</v>
      </c>
      <c r="O3" s="37" t="s">
        <v>91</v>
      </c>
      <c r="P3" s="11"/>
      <c r="Q3" s="43" t="s">
        <v>93</v>
      </c>
      <c r="R3" s="13"/>
      <c r="V3" s="11" t="s">
        <v>71</v>
      </c>
      <c r="W3" s="12" t="s">
        <v>72</v>
      </c>
      <c r="X3" s="13" t="s">
        <v>44</v>
      </c>
      <c r="Y3" s="11" t="s">
        <v>71</v>
      </c>
      <c r="Z3" s="12" t="s">
        <v>72</v>
      </c>
      <c r="AA3" s="13" t="s">
        <v>44</v>
      </c>
      <c r="AC3" s="5" t="s">
        <v>73</v>
      </c>
      <c r="AD3" s="5" t="s">
        <v>74</v>
      </c>
      <c r="AQ3" s="37" t="s">
        <v>9</v>
      </c>
      <c r="AR3" s="5">
        <f>0.5*('PCA2-Peri'!EA38)</f>
        <v>774938188606.6969</v>
      </c>
      <c r="AS3" s="5">
        <f>'PCA2-Peri'!N12</f>
        <v>5.3979256382557E+18</v>
      </c>
    </row>
    <row r="4" spans="1:45" x14ac:dyDescent="0.35">
      <c r="A4" s="39" t="s">
        <v>5</v>
      </c>
      <c r="B4" s="14">
        <v>125</v>
      </c>
      <c r="C4" s="14">
        <v>2.5</v>
      </c>
      <c r="D4" s="14">
        <v>24</v>
      </c>
      <c r="E4" s="14">
        <f>(D4-1)/10000</f>
        <v>2.3E-3</v>
      </c>
      <c r="F4" s="14">
        <f>B4/1000</f>
        <v>0.125</v>
      </c>
      <c r="G4" s="15">
        <f>(C4*0.5)/1000</f>
        <v>1.25E-3</v>
      </c>
      <c r="H4" s="16">
        <f>E4/1000</f>
        <v>2.3E-6</v>
      </c>
      <c r="I4" s="16"/>
      <c r="J4" s="5">
        <f>G4/(G4+H4)</f>
        <v>0.99816337938193722</v>
      </c>
      <c r="K4" s="5">
        <f>G4+H4</f>
        <v>1.2523E-3</v>
      </c>
      <c r="L4" s="5">
        <f>1/K4^4</f>
        <v>406599160549.34406</v>
      </c>
      <c r="M4" s="5">
        <f>1/((1-J4^4)-((1-J4^2)^2/(LN(1/J4))))</f>
        <v>121171885.38166241</v>
      </c>
      <c r="N4" s="5">
        <f>F4*L4*M4</f>
        <v>6.1585483597956588E+18</v>
      </c>
      <c r="O4" s="5">
        <f>(8*$B$16*N4)/(3.1415*9.81*$B$17)</f>
        <v>1110867123488.9561</v>
      </c>
      <c r="P4" s="17"/>
      <c r="Q4" s="18">
        <f>(8*$B$19*F4)/(3.1415*$B$20*9.81*G4^4)</f>
        <v>15560.059637556451</v>
      </c>
      <c r="R4" s="19"/>
      <c r="V4" s="20">
        <v>1E-14</v>
      </c>
      <c r="W4" s="21" t="e">
        <f>$M$17*V4</f>
        <v>#DIV/0!</v>
      </c>
      <c r="X4" s="22" t="e">
        <f>W4*0.00750061683</f>
        <v>#DIV/0!</v>
      </c>
      <c r="Y4" s="20">
        <v>1E-14</v>
      </c>
      <c r="Z4" s="21">
        <f>$R$18*Y4</f>
        <v>1.7805137918350977E-6</v>
      </c>
      <c r="AA4" s="22">
        <f>Z4*0.00750061683</f>
        <v>1.335495171308545E-8</v>
      </c>
      <c r="AC4" s="23">
        <f>V4*60000000</f>
        <v>5.9999999999999997E-7</v>
      </c>
      <c r="AD4" s="23">
        <f>Y4*60000000</f>
        <v>5.9999999999999997E-7</v>
      </c>
      <c r="AQ4" s="37" t="s">
        <v>10</v>
      </c>
      <c r="AR4" s="5">
        <f>0.5*('MCA-Peri'!EG31)</f>
        <v>0</v>
      </c>
      <c r="AS4" s="5">
        <f>'MCA-Peri'!N12</f>
        <v>3.0016438967667687E+19</v>
      </c>
    </row>
    <row r="5" spans="1:45" x14ac:dyDescent="0.35">
      <c r="A5" s="39" t="s">
        <v>6</v>
      </c>
      <c r="B5" s="14">
        <v>142</v>
      </c>
      <c r="C5" s="14">
        <v>3.6</v>
      </c>
      <c r="D5" s="14">
        <v>24</v>
      </c>
      <c r="E5" s="14">
        <f t="shared" ref="E5:E13" si="0">(D5-1)/10000</f>
        <v>2.3E-3</v>
      </c>
      <c r="F5" s="14">
        <f t="shared" ref="F5:F12" si="1">B5/1000</f>
        <v>0.14199999999999999</v>
      </c>
      <c r="G5" s="15">
        <f t="shared" ref="G5:G13" si="2">(C5*0.5)/1000</f>
        <v>1.8E-3</v>
      </c>
      <c r="H5" s="16">
        <f t="shared" ref="H5:H13" si="3">E5/1000</f>
        <v>2.3E-6</v>
      </c>
      <c r="I5" s="16"/>
      <c r="J5" s="5">
        <f t="shared" ref="J5:J7" si="4">G5/(G5+H5)</f>
        <v>0.99872385285468568</v>
      </c>
      <c r="K5" s="5">
        <f t="shared" ref="K5:K7" si="5">G5+H5</f>
        <v>1.8023E-3</v>
      </c>
      <c r="L5" s="5">
        <f t="shared" ref="L5:L7" si="6">1/K5^4</f>
        <v>94774536505.251526</v>
      </c>
      <c r="M5" s="5">
        <f t="shared" ref="M5:M7" si="7">1/((1-J5^4)-((1-J5^2)^2/(LN(1/J5))))</f>
        <v>361107269.99902129</v>
      </c>
      <c r="N5" s="5">
        <f t="shared" ref="N5:N7" si="8">F5*L5*M5</f>
        <v>4.8597759282824223E+18</v>
      </c>
      <c r="O5" s="5">
        <f t="shared" ref="O5:O7" si="9">(8*$B$16*N5)/(3.1415*9.81*$B$17)</f>
        <v>876597047040.33374</v>
      </c>
      <c r="P5" s="17"/>
      <c r="Q5" s="18">
        <f t="shared" ref="Q5:Q7" si="10">(8*$B$19*F5)/(3.1415*$B$20*9.81*G5^4)</f>
        <v>4110.9256307189708</v>
      </c>
      <c r="R5" s="19"/>
      <c r="V5" s="20">
        <f>V4*10</f>
        <v>1E-13</v>
      </c>
      <c r="W5" s="21" t="e">
        <f t="shared" ref="W5:W6" si="11">$M$17*V5</f>
        <v>#DIV/0!</v>
      </c>
      <c r="X5" s="22" t="e">
        <f t="shared" ref="X5:X6" si="12">W5*0.00750061683</f>
        <v>#DIV/0!</v>
      </c>
      <c r="Y5" s="20">
        <f>Y4*10</f>
        <v>1E-13</v>
      </c>
      <c r="Z5" s="21">
        <f t="shared" ref="Z5:Z16" si="13">$R$18*Y5</f>
        <v>1.7805137918350978E-5</v>
      </c>
      <c r="AA5" s="22">
        <f t="shared" ref="AA5:AA13" si="14">Z5*0.00750061683</f>
        <v>1.3354951713085452E-7</v>
      </c>
      <c r="AC5" s="23">
        <f t="shared" ref="AC5:AC16" si="15">V5*60000000</f>
        <v>6.0000000000000002E-6</v>
      </c>
      <c r="AD5" s="23">
        <f t="shared" ref="AD5:AD16" si="16">Y5*60000000</f>
        <v>6.0000000000000002E-6</v>
      </c>
      <c r="AQ5" s="37" t="s">
        <v>12</v>
      </c>
      <c r="AR5" s="5">
        <f>0.5*('ACA2-Peri'!EA31)</f>
        <v>0</v>
      </c>
      <c r="AS5" s="5">
        <f>'ACA2-Peri'!N12</f>
        <v>4.4032007125746437E+18</v>
      </c>
    </row>
    <row r="6" spans="1:45" x14ac:dyDescent="0.35">
      <c r="A6" s="39" t="s">
        <v>7</v>
      </c>
      <c r="B6" s="14">
        <v>28</v>
      </c>
      <c r="C6" s="14">
        <v>3.3</v>
      </c>
      <c r="D6" s="14">
        <v>24</v>
      </c>
      <c r="E6" s="14">
        <f t="shared" si="0"/>
        <v>2.3E-3</v>
      </c>
      <c r="F6" s="14">
        <f t="shared" si="1"/>
        <v>2.8000000000000001E-2</v>
      </c>
      <c r="G6" s="15">
        <f t="shared" si="2"/>
        <v>1.65E-3</v>
      </c>
      <c r="H6" s="16">
        <f t="shared" si="3"/>
        <v>2.3E-6</v>
      </c>
      <c r="I6" s="16"/>
      <c r="J6" s="5">
        <f t="shared" si="4"/>
        <v>0.99860800096834712</v>
      </c>
      <c r="K6" s="5">
        <f t="shared" si="5"/>
        <v>1.6523E-3</v>
      </c>
      <c r="L6" s="5">
        <f t="shared" si="6"/>
        <v>134166592082.41725</v>
      </c>
      <c r="M6" s="5">
        <f t="shared" si="7"/>
        <v>278257449.81347054</v>
      </c>
      <c r="N6" s="5">
        <f t="shared" si="8"/>
        <v>1.0453199053644925E+18</v>
      </c>
      <c r="O6" s="5">
        <f t="shared" si="9"/>
        <v>188552796626.33527</v>
      </c>
      <c r="P6" s="17"/>
      <c r="Q6" s="18">
        <f t="shared" si="10"/>
        <v>1148.05726375213</v>
      </c>
      <c r="R6" s="19"/>
      <c r="V6" s="20">
        <v>3.5000000000000002E-13</v>
      </c>
      <c r="W6" s="21" t="e">
        <f t="shared" si="11"/>
        <v>#DIV/0!</v>
      </c>
      <c r="X6" s="22" t="e">
        <f t="shared" si="12"/>
        <v>#DIV/0!</v>
      </c>
      <c r="Y6" s="20">
        <f t="shared" ref="Y6:Y12" si="17">Y5*10</f>
        <v>9.9999999999999998E-13</v>
      </c>
      <c r="Z6" s="21">
        <f t="shared" si="13"/>
        <v>1.7805137918350977E-4</v>
      </c>
      <c r="AA6" s="22">
        <f t="shared" si="14"/>
        <v>1.335495171308545E-6</v>
      </c>
      <c r="AC6" s="23">
        <f t="shared" si="15"/>
        <v>2.1000000000000002E-5</v>
      </c>
      <c r="AD6" s="23">
        <f t="shared" si="16"/>
        <v>6.0000000000000002E-5</v>
      </c>
    </row>
    <row r="7" spans="1:45" x14ac:dyDescent="0.35">
      <c r="A7" s="39" t="s">
        <v>8</v>
      </c>
      <c r="B7" s="14">
        <v>13</v>
      </c>
      <c r="C7" s="14">
        <v>2</v>
      </c>
      <c r="D7" s="14">
        <v>24</v>
      </c>
      <c r="E7" s="14">
        <f t="shared" si="0"/>
        <v>2.3E-3</v>
      </c>
      <c r="F7" s="14">
        <f t="shared" si="1"/>
        <v>1.2999999999999999E-2</v>
      </c>
      <c r="G7" s="15">
        <f t="shared" si="2"/>
        <v>1E-3</v>
      </c>
      <c r="H7" s="16">
        <f t="shared" si="3"/>
        <v>2.3E-6</v>
      </c>
      <c r="I7" s="16"/>
      <c r="J7" s="5">
        <f t="shared" si="4"/>
        <v>0.99770527786091989</v>
      </c>
      <c r="K7" s="5">
        <f t="shared" si="5"/>
        <v>1.0023E-3</v>
      </c>
      <c r="L7" s="5">
        <f t="shared" si="6"/>
        <v>990852657635.85144</v>
      </c>
      <c r="M7" s="5">
        <f t="shared" si="7"/>
        <v>62139747.932294853</v>
      </c>
      <c r="N7" s="5">
        <f t="shared" si="8"/>
        <v>8.0042734698597133E+17</v>
      </c>
      <c r="O7" s="5">
        <f t="shared" si="9"/>
        <v>144379547348.02231</v>
      </c>
      <c r="P7" s="17"/>
      <c r="Q7" s="18">
        <f t="shared" si="10"/>
        <v>3950.7963923483171</v>
      </c>
      <c r="R7" s="19"/>
      <c r="V7" s="20">
        <f>V5*10</f>
        <v>9.9999999999999998E-13</v>
      </c>
      <c r="W7" s="21" t="e">
        <f t="shared" ref="W7:W16" si="18">$M$17*V7</f>
        <v>#DIV/0!</v>
      </c>
      <c r="X7" s="22" t="e">
        <f t="shared" ref="X7:X16" si="19">W7*0.00750061683</f>
        <v>#DIV/0!</v>
      </c>
      <c r="Y7" s="20">
        <f t="shared" si="17"/>
        <v>9.9999999999999994E-12</v>
      </c>
      <c r="Z7" s="21">
        <f t="shared" si="13"/>
        <v>1.7805137918350976E-3</v>
      </c>
      <c r="AA7" s="22">
        <f t="shared" si="14"/>
        <v>1.335495171308545E-5</v>
      </c>
      <c r="AC7" s="23">
        <f t="shared" si="15"/>
        <v>6.0000000000000002E-5</v>
      </c>
      <c r="AD7" s="23">
        <f t="shared" si="16"/>
        <v>5.9999999999999995E-4</v>
      </c>
      <c r="AQ7" s="37"/>
      <c r="AR7" s="37"/>
      <c r="AS7"/>
    </row>
    <row r="8" spans="1:45" x14ac:dyDescent="0.35">
      <c r="A8" s="14" t="s">
        <v>9</v>
      </c>
      <c r="B8" s="14">
        <v>60</v>
      </c>
      <c r="C8" s="14">
        <v>2</v>
      </c>
      <c r="D8" s="14">
        <f>I8+1</f>
        <v>30</v>
      </c>
      <c r="E8" s="14">
        <f>(D8-1)/10000</f>
        <v>2.8999999999999998E-3</v>
      </c>
      <c r="F8" s="14">
        <f t="shared" si="1"/>
        <v>0.06</v>
      </c>
      <c r="G8" s="15">
        <f t="shared" si="2"/>
        <v>1E-3</v>
      </c>
      <c r="H8" s="16">
        <f>I8/10000000</f>
        <v>2.9000000000000002E-6</v>
      </c>
      <c r="I8" s="16">
        <f>ROUNDUP((LN(G13/G8)*3.67)/LN(0.5),0)</f>
        <v>29</v>
      </c>
      <c r="P8" s="17"/>
      <c r="Q8" s="18"/>
      <c r="R8" s="19"/>
      <c r="V8" s="20">
        <f t="shared" ref="V8:V16" si="20">V7*10</f>
        <v>9.9999999999999994E-12</v>
      </c>
      <c r="W8" s="21" t="e">
        <f t="shared" si="18"/>
        <v>#DIV/0!</v>
      </c>
      <c r="X8" s="22" t="e">
        <f t="shared" si="19"/>
        <v>#DIV/0!</v>
      </c>
      <c r="Y8" s="20">
        <f t="shared" si="17"/>
        <v>9.9999999999999991E-11</v>
      </c>
      <c r="Z8" s="21">
        <f t="shared" si="13"/>
        <v>1.7805137918350974E-2</v>
      </c>
      <c r="AA8" s="22">
        <f t="shared" si="14"/>
        <v>1.3354951713085447E-4</v>
      </c>
      <c r="AC8" s="23">
        <f t="shared" si="15"/>
        <v>5.9999999999999995E-4</v>
      </c>
      <c r="AD8" s="23">
        <f t="shared" si="16"/>
        <v>5.9999999999999993E-3</v>
      </c>
      <c r="AQ8" s="37"/>
      <c r="AR8" s="37"/>
      <c r="AS8"/>
    </row>
    <row r="9" spans="1:45" x14ac:dyDescent="0.35">
      <c r="A9" s="14" t="s">
        <v>10</v>
      </c>
      <c r="B9" s="14">
        <v>51</v>
      </c>
      <c r="C9" s="14">
        <v>3</v>
      </c>
      <c r="D9" s="14">
        <f>I9+1</f>
        <v>32</v>
      </c>
      <c r="E9" s="14">
        <f>(D9-1)/10000</f>
        <v>3.0999999999999999E-3</v>
      </c>
      <c r="F9" s="14">
        <f t="shared" si="1"/>
        <v>5.0999999999999997E-2</v>
      </c>
      <c r="G9" s="15">
        <f t="shared" si="2"/>
        <v>1.5E-3</v>
      </c>
      <c r="H9" s="16">
        <f>I9/10000000</f>
        <v>3.1E-6</v>
      </c>
      <c r="I9" s="16">
        <f>ROUNDUP((LN(G13/G9)*3.67)/LN(0.5),0)</f>
        <v>31</v>
      </c>
      <c r="P9" s="17"/>
      <c r="Q9" s="18"/>
      <c r="R9" s="19"/>
      <c r="V9" s="20">
        <f t="shared" si="20"/>
        <v>9.9999999999999991E-11</v>
      </c>
      <c r="W9" s="21" t="e">
        <f t="shared" si="18"/>
        <v>#DIV/0!</v>
      </c>
      <c r="X9" s="22" t="e">
        <f t="shared" si="19"/>
        <v>#DIV/0!</v>
      </c>
      <c r="Y9" s="20">
        <f t="shared" si="17"/>
        <v>9.9999999999999986E-10</v>
      </c>
      <c r="Z9" s="21">
        <f t="shared" si="13"/>
        <v>0.17805137918350974</v>
      </c>
      <c r="AA9" s="22">
        <f t="shared" si="14"/>
        <v>1.335495171308545E-3</v>
      </c>
      <c r="AC9" s="23">
        <f t="shared" si="15"/>
        <v>5.9999999999999993E-3</v>
      </c>
      <c r="AD9" s="23">
        <f t="shared" si="16"/>
        <v>5.9999999999999991E-2</v>
      </c>
      <c r="AQ9" s="37" t="s">
        <v>109</v>
      </c>
      <c r="AR9" s="5">
        <f>H24</f>
        <v>1.7019970394636856E+18</v>
      </c>
    </row>
    <row r="10" spans="1:45" x14ac:dyDescent="0.35">
      <c r="A10" s="14" t="s">
        <v>11</v>
      </c>
      <c r="B10" s="14">
        <v>20</v>
      </c>
      <c r="C10" s="14">
        <v>2</v>
      </c>
      <c r="D10" s="14">
        <v>24</v>
      </c>
      <c r="E10" s="14">
        <f t="shared" si="0"/>
        <v>2.3E-3</v>
      </c>
      <c r="F10" s="14">
        <f t="shared" si="1"/>
        <v>0.02</v>
      </c>
      <c r="G10" s="15">
        <f t="shared" si="2"/>
        <v>1E-3</v>
      </c>
      <c r="H10" s="16">
        <f t="shared" si="3"/>
        <v>2.3E-6</v>
      </c>
      <c r="I10" s="16"/>
      <c r="P10" s="17" t="s">
        <v>5</v>
      </c>
      <c r="Q10" s="18">
        <f>Q4/2</f>
        <v>7780.0298187782255</v>
      </c>
      <c r="R10" s="19"/>
      <c r="V10" s="20">
        <f t="shared" si="20"/>
        <v>9.9999999999999986E-10</v>
      </c>
      <c r="W10" s="21" t="e">
        <f t="shared" si="18"/>
        <v>#DIV/0!</v>
      </c>
      <c r="X10" s="22" t="e">
        <f t="shared" si="19"/>
        <v>#DIV/0!</v>
      </c>
      <c r="Y10" s="20">
        <f t="shared" si="17"/>
        <v>9.9999999999999986E-9</v>
      </c>
      <c r="Z10" s="21">
        <f t="shared" si="13"/>
        <v>1.7805137918350975</v>
      </c>
      <c r="AA10" s="22">
        <f t="shared" si="14"/>
        <v>1.3354951713085449E-2</v>
      </c>
      <c r="AC10" s="23">
        <f t="shared" si="15"/>
        <v>5.9999999999999991E-2</v>
      </c>
      <c r="AD10" s="23">
        <f t="shared" si="16"/>
        <v>0.59999999999999987</v>
      </c>
      <c r="AQ10" s="37" t="s">
        <v>29</v>
      </c>
      <c r="AR10" s="5" t="e">
        <f>M19</f>
        <v>#DIV/0!</v>
      </c>
    </row>
    <row r="11" spans="1:45" x14ac:dyDescent="0.35">
      <c r="A11" s="14" t="s">
        <v>12</v>
      </c>
      <c r="B11" s="14">
        <v>45</v>
      </c>
      <c r="C11" s="14">
        <v>2</v>
      </c>
      <c r="D11" s="14">
        <f>I11+1</f>
        <v>30</v>
      </c>
      <c r="E11" s="14">
        <f>(D11-1)/10000</f>
        <v>2.8999999999999998E-3</v>
      </c>
      <c r="F11" s="14">
        <f t="shared" si="1"/>
        <v>4.4999999999999998E-2</v>
      </c>
      <c r="G11" s="15">
        <f t="shared" si="2"/>
        <v>1E-3</v>
      </c>
      <c r="H11" s="16">
        <f>I11/10000000</f>
        <v>2.9000000000000002E-6</v>
      </c>
      <c r="I11" s="16">
        <f>ROUNDUP((LN(G13/G11)*3.67)/LN(0.5),0)</f>
        <v>29</v>
      </c>
      <c r="P11" s="17" t="s">
        <v>8</v>
      </c>
      <c r="Q11" s="18">
        <f>Q7/2</f>
        <v>1975.3981961741586</v>
      </c>
      <c r="R11" s="19"/>
      <c r="V11" s="20">
        <f t="shared" si="20"/>
        <v>9.9999999999999986E-9</v>
      </c>
      <c r="W11" s="21" t="e">
        <f t="shared" si="18"/>
        <v>#DIV/0!</v>
      </c>
      <c r="X11" s="22" t="e">
        <f t="shared" si="19"/>
        <v>#DIV/0!</v>
      </c>
      <c r="Y11" s="20">
        <f t="shared" si="17"/>
        <v>9.9999999999999982E-8</v>
      </c>
      <c r="Z11" s="21">
        <f t="shared" si="13"/>
        <v>17.805137918350972</v>
      </c>
      <c r="AA11" s="22">
        <f t="shared" si="14"/>
        <v>0.13354951713085447</v>
      </c>
      <c r="AC11" s="23">
        <f t="shared" si="15"/>
        <v>0.59999999999999987</v>
      </c>
      <c r="AD11" s="23">
        <f t="shared" si="16"/>
        <v>5.9999999999999991</v>
      </c>
    </row>
    <row r="12" spans="1:45" x14ac:dyDescent="0.35">
      <c r="A12" s="14" t="s">
        <v>13</v>
      </c>
      <c r="B12" s="14">
        <v>1.5</v>
      </c>
      <c r="C12" s="14">
        <v>0.1</v>
      </c>
      <c r="D12" s="14">
        <v>3</v>
      </c>
      <c r="E12" s="14">
        <f t="shared" si="0"/>
        <v>2.0000000000000001E-4</v>
      </c>
      <c r="F12" s="14">
        <f t="shared" si="1"/>
        <v>1.5E-3</v>
      </c>
      <c r="G12" s="15">
        <f t="shared" si="2"/>
        <v>5.0000000000000002E-5</v>
      </c>
      <c r="H12" s="16">
        <f t="shared" si="3"/>
        <v>2.0000000000000002E-7</v>
      </c>
      <c r="I12" s="16"/>
      <c r="P12" s="17" t="s">
        <v>20</v>
      </c>
      <c r="Q12" s="18">
        <f>Q11+Q10+Q6</f>
        <v>10903.485278704513</v>
      </c>
      <c r="R12" s="19"/>
      <c r="V12" s="20">
        <f t="shared" si="20"/>
        <v>9.9999999999999982E-8</v>
      </c>
      <c r="W12" s="21" t="e">
        <f t="shared" si="18"/>
        <v>#DIV/0!</v>
      </c>
      <c r="X12" s="22" t="e">
        <f t="shared" si="19"/>
        <v>#DIV/0!</v>
      </c>
      <c r="Y12" s="20">
        <f t="shared" si="17"/>
        <v>9.9999999999999974E-7</v>
      </c>
      <c r="Z12" s="21">
        <f t="shared" si="13"/>
        <v>178.05137918350971</v>
      </c>
      <c r="AA12" s="22">
        <f t="shared" si="14"/>
        <v>1.3354951713085446</v>
      </c>
      <c r="AC12" s="23">
        <f t="shared" si="15"/>
        <v>5.9999999999999991</v>
      </c>
      <c r="AD12" s="23">
        <f t="shared" si="16"/>
        <v>59.999999999999986</v>
      </c>
    </row>
    <row r="13" spans="1:45" ht="15" thickBot="1" x14ac:dyDescent="0.4">
      <c r="A13" s="14" t="s">
        <v>41</v>
      </c>
      <c r="B13" s="14"/>
      <c r="C13" s="14">
        <v>0.01</v>
      </c>
      <c r="D13" s="14">
        <v>2</v>
      </c>
      <c r="E13" s="14">
        <f t="shared" si="0"/>
        <v>1E-4</v>
      </c>
      <c r="F13" s="14"/>
      <c r="G13" s="15">
        <f t="shared" si="2"/>
        <v>5.0000000000000004E-6</v>
      </c>
      <c r="H13" s="24">
        <f t="shared" si="3"/>
        <v>1.0000000000000001E-7</v>
      </c>
      <c r="I13" s="24"/>
      <c r="P13" s="17" t="s">
        <v>56</v>
      </c>
      <c r="Q13" s="18">
        <f>Q5/2</f>
        <v>2055.4628153594854</v>
      </c>
      <c r="R13" s="19"/>
      <c r="V13" s="20">
        <f t="shared" si="20"/>
        <v>9.9999999999999974E-7</v>
      </c>
      <c r="W13" s="21" t="e">
        <f t="shared" si="18"/>
        <v>#DIV/0!</v>
      </c>
      <c r="X13" s="22" t="e">
        <f t="shared" si="19"/>
        <v>#DIV/0!</v>
      </c>
      <c r="Y13" s="20">
        <v>6.0000000000000002E-5</v>
      </c>
      <c r="Z13" s="21">
        <f t="shared" si="13"/>
        <v>10683.082751010586</v>
      </c>
      <c r="AA13" s="22">
        <f t="shared" si="14"/>
        <v>80.129710278512704</v>
      </c>
      <c r="AC13" s="23">
        <f t="shared" si="15"/>
        <v>59.999999999999986</v>
      </c>
      <c r="AD13" s="23">
        <f t="shared" si="16"/>
        <v>3600</v>
      </c>
    </row>
    <row r="14" spans="1:45" ht="15" thickBot="1" x14ac:dyDescent="0.4">
      <c r="P14" s="17" t="s">
        <v>22</v>
      </c>
      <c r="Q14" s="18">
        <f>((1/Q13)+(1/Q12))^-1</f>
        <v>1729.4388700007705</v>
      </c>
      <c r="R14" s="19">
        <f>Q14*1025*9.8</f>
        <v>17372213.449157741</v>
      </c>
      <c r="S14" s="5" t="s">
        <v>61</v>
      </c>
      <c r="V14" s="20">
        <f t="shared" si="20"/>
        <v>9.9999999999999974E-6</v>
      </c>
      <c r="W14" s="21" t="e">
        <f t="shared" si="18"/>
        <v>#DIV/0!</v>
      </c>
      <c r="X14" s="22" t="e">
        <f t="shared" si="19"/>
        <v>#DIV/0!</v>
      </c>
      <c r="Y14" s="20">
        <f>Y12*10</f>
        <v>9.9999999999999974E-6</v>
      </c>
      <c r="Z14" s="21">
        <f t="shared" si="13"/>
        <v>1780.5137918350972</v>
      </c>
      <c r="AA14" s="22">
        <f>Z14*0.00750061683</f>
        <v>13.354951713085446</v>
      </c>
      <c r="AC14" s="23">
        <f t="shared" si="15"/>
        <v>599.99999999999989</v>
      </c>
      <c r="AD14" s="23">
        <f t="shared" si="16"/>
        <v>599.99999999999989</v>
      </c>
    </row>
    <row r="15" spans="1:45" ht="15" thickBot="1" x14ac:dyDescent="0.4">
      <c r="F15" s="25" t="s">
        <v>42</v>
      </c>
      <c r="P15" s="17"/>
      <c r="Q15" s="18"/>
      <c r="R15" s="19"/>
      <c r="V15" s="26">
        <f t="shared" si="20"/>
        <v>9.9999999999999978E-5</v>
      </c>
      <c r="W15" s="27" t="e">
        <f t="shared" si="18"/>
        <v>#DIV/0!</v>
      </c>
      <c r="X15" s="28" t="e">
        <f t="shared" si="19"/>
        <v>#DIV/0!</v>
      </c>
      <c r="Y15" s="26">
        <f>Y14*10</f>
        <v>9.9999999999999978E-5</v>
      </c>
      <c r="Z15" s="27">
        <f t="shared" si="13"/>
        <v>17805.137918350974</v>
      </c>
      <c r="AA15" s="28">
        <f>Z15*0.00750061683</f>
        <v>133.5495171308545</v>
      </c>
      <c r="AC15" s="23">
        <f t="shared" si="15"/>
        <v>5999.9999999999991</v>
      </c>
      <c r="AD15" s="23">
        <f t="shared" si="16"/>
        <v>5999.9999999999991</v>
      </c>
    </row>
    <row r="16" spans="1:45" ht="15" thickBot="1" x14ac:dyDescent="0.4">
      <c r="A16" s="29" t="s">
        <v>14</v>
      </c>
      <c r="B16" s="5">
        <f>6.9/10000</f>
        <v>6.9000000000000008E-4</v>
      </c>
      <c r="D16" s="48" t="s">
        <v>117</v>
      </c>
      <c r="E16" s="13">
        <f>(2/'PCA2-Peri'!EY38+2/'MCA-Peri'!FK43+2/'ACA2-Peri'!EY38)^-1</f>
        <v>16129544395.900421</v>
      </c>
      <c r="F16" s="30" t="s">
        <v>16</v>
      </c>
      <c r="G16" s="13">
        <f>O6</f>
        <v>188552796626.33527</v>
      </c>
      <c r="I16" s="31" t="s">
        <v>38</v>
      </c>
      <c r="J16" s="32" t="e">
        <f>((2/'PCA2-Peri'!N10)+(2/'MCA-Peri'!N10)+(2/'ACA2-Peri'!N10))^-1</f>
        <v>#DIV/0!</v>
      </c>
      <c r="L16" s="31" t="s">
        <v>39</v>
      </c>
      <c r="M16" s="32" t="e">
        <f>J16+G23</f>
        <v>#DIV/0!</v>
      </c>
      <c r="P16" s="17" t="s">
        <v>62</v>
      </c>
      <c r="Q16" s="18">
        <f>((2/'PCA2-Peri'!T4)+(2/'MCA-Peri'!T4)+(2/'ACA2-Peri'!T4))^-1</f>
        <v>15995.93486653579</v>
      </c>
      <c r="R16" s="19">
        <f>Q16*1025*9.8</f>
        <v>160679165.73435202</v>
      </c>
      <c r="S16" s="5" t="s">
        <v>61</v>
      </c>
      <c r="V16" s="26">
        <f t="shared" si="20"/>
        <v>9.999999999999998E-4</v>
      </c>
      <c r="W16" s="27" t="e">
        <f t="shared" si="18"/>
        <v>#DIV/0!</v>
      </c>
      <c r="X16" s="28" t="e">
        <f t="shared" si="19"/>
        <v>#DIV/0!</v>
      </c>
      <c r="Y16" s="26">
        <f>Y15*10</f>
        <v>9.999999999999998E-4</v>
      </c>
      <c r="Z16" s="27">
        <f t="shared" si="13"/>
        <v>178051.37918350974</v>
      </c>
      <c r="AA16" s="28">
        <f>Z16*0.00750061683</f>
        <v>1335.4951713085447</v>
      </c>
      <c r="AC16" s="23">
        <f t="shared" si="15"/>
        <v>59999.999999999985</v>
      </c>
      <c r="AD16" s="23">
        <f t="shared" si="16"/>
        <v>59999.999999999985</v>
      </c>
    </row>
    <row r="17" spans="1:30" ht="15" thickBot="1" x14ac:dyDescent="0.4">
      <c r="A17" s="29" t="s">
        <v>15</v>
      </c>
      <c r="B17" s="5">
        <v>993</v>
      </c>
      <c r="D17" s="33" t="s">
        <v>61</v>
      </c>
      <c r="E17" s="35"/>
      <c r="F17" s="17" t="s">
        <v>18</v>
      </c>
      <c r="G17" s="19">
        <f>O7/2</f>
        <v>72189773674.011154</v>
      </c>
      <c r="J17" s="5" t="e">
        <f>J16*1000*9.81</f>
        <v>#DIV/0!</v>
      </c>
      <c r="K17" s="5" t="s">
        <v>61</v>
      </c>
      <c r="M17" s="5" t="e">
        <f>M16*1000*9.81</f>
        <v>#DIV/0!</v>
      </c>
      <c r="N17" s="5" t="s">
        <v>61</v>
      </c>
      <c r="P17" s="17"/>
      <c r="Q17" s="18"/>
      <c r="R17" s="19"/>
    </row>
    <row r="18" spans="1:30" ht="15" thickBot="1" x14ac:dyDescent="0.4">
      <c r="F18" s="17" t="s">
        <v>19</v>
      </c>
      <c r="G18" s="19">
        <f>O4/2</f>
        <v>555433561744.47803</v>
      </c>
      <c r="P18" s="33" t="s">
        <v>63</v>
      </c>
      <c r="Q18" s="34">
        <f>Q16+Q14</f>
        <v>17725.37373653656</v>
      </c>
      <c r="R18" s="35">
        <f>Q18*1025*9.8</f>
        <v>178051379.18350977</v>
      </c>
      <c r="S18" s="5" t="s">
        <v>61</v>
      </c>
    </row>
    <row r="19" spans="1:30" x14ac:dyDescent="0.35">
      <c r="A19" s="5" t="s">
        <v>53</v>
      </c>
      <c r="B19" s="5">
        <f>1.2/1000</f>
        <v>1.1999999999999999E-3</v>
      </c>
      <c r="F19" s="17" t="s">
        <v>20</v>
      </c>
      <c r="G19" s="19">
        <f>SUM(G16:G18)</f>
        <v>816176132044.82446</v>
      </c>
      <c r="L19" s="45" t="s">
        <v>39</v>
      </c>
      <c r="M19" s="42" t="e">
        <f>J17+H24</f>
        <v>#DIV/0!</v>
      </c>
      <c r="N19" s="42" t="s">
        <v>61</v>
      </c>
      <c r="P19" s="36" t="s">
        <v>74</v>
      </c>
      <c r="Q19" s="5">
        <f>P27/R18</f>
        <v>5.2418015759264538E-5</v>
      </c>
      <c r="R19" s="5" t="s">
        <v>76</v>
      </c>
    </row>
    <row r="20" spans="1:30" x14ac:dyDescent="0.35">
      <c r="A20" s="5" t="s">
        <v>54</v>
      </c>
      <c r="B20" s="5">
        <v>1025</v>
      </c>
      <c r="F20" s="17"/>
      <c r="G20" s="19"/>
      <c r="Q20" s="5">
        <f>Q19*6*10000000</f>
        <v>3145.0809455558724</v>
      </c>
      <c r="R20" s="5" t="s">
        <v>70</v>
      </c>
    </row>
    <row r="21" spans="1:30" x14ac:dyDescent="0.35">
      <c r="F21" s="17" t="s">
        <v>21</v>
      </c>
      <c r="G21" s="19">
        <f>O5/2</f>
        <v>438298523520.16687</v>
      </c>
    </row>
    <row r="22" spans="1:30" x14ac:dyDescent="0.35">
      <c r="F22" s="17"/>
      <c r="G22" s="19"/>
    </row>
    <row r="23" spans="1:30" ht="15" thickBot="1" x14ac:dyDescent="0.4">
      <c r="A23" s="37" t="s">
        <v>27</v>
      </c>
      <c r="B23" s="5">
        <v>3.67</v>
      </c>
      <c r="F23" s="33" t="s">
        <v>22</v>
      </c>
      <c r="G23" s="35">
        <f>((1/G21)+(1/G19))^-1</f>
        <v>285162232669.04755</v>
      </c>
      <c r="H23" s="5">
        <f>(G23*1000*9.81)</f>
        <v>2797441502483356.5</v>
      </c>
      <c r="I23" s="5" t="s">
        <v>61</v>
      </c>
    </row>
    <row r="24" spans="1:30" x14ac:dyDescent="0.35">
      <c r="A24" s="37" t="s">
        <v>162</v>
      </c>
      <c r="B24" s="23">
        <v>2E-3</v>
      </c>
      <c r="F24" s="46" t="s">
        <v>22</v>
      </c>
      <c r="G24" s="42">
        <f>((1/W75)+(1/(Q75+K75+E75)))^-1</f>
        <v>173496130424432.78</v>
      </c>
      <c r="H24" s="42">
        <f>(G24*1000*9.81)</f>
        <v>1.7019970394636856E+18</v>
      </c>
      <c r="I24" s="42" t="s">
        <v>61</v>
      </c>
      <c r="W24" s="37" t="s">
        <v>80</v>
      </c>
      <c r="X24" s="37" t="s">
        <v>80</v>
      </c>
      <c r="Y24" s="37" t="s">
        <v>80</v>
      </c>
      <c r="AB24" s="37" t="s">
        <v>83</v>
      </c>
    </row>
    <row r="25" spans="1:30" ht="15" thickBot="1" x14ac:dyDescent="0.4">
      <c r="A25" s="37" t="s">
        <v>163</v>
      </c>
      <c r="B25" s="23">
        <v>3.0000000000000001E-3</v>
      </c>
      <c r="V25" s="37" t="s">
        <v>81</v>
      </c>
      <c r="W25" s="37" t="s">
        <v>9</v>
      </c>
      <c r="X25" s="37" t="s">
        <v>10</v>
      </c>
      <c r="Y25" s="37" t="s">
        <v>82</v>
      </c>
      <c r="AB25" s="37" t="s">
        <v>9</v>
      </c>
      <c r="AC25" s="37" t="s">
        <v>10</v>
      </c>
      <c r="AD25" s="37" t="s">
        <v>82</v>
      </c>
    </row>
    <row r="26" spans="1:30" x14ac:dyDescent="0.35">
      <c r="A26" s="37" t="s">
        <v>164</v>
      </c>
      <c r="B26" s="23">
        <v>4.6999999999999999E-6</v>
      </c>
      <c r="F26" s="11"/>
      <c r="G26" s="12" t="s">
        <v>44</v>
      </c>
      <c r="H26" s="12" t="s">
        <v>45</v>
      </c>
      <c r="I26" s="13" t="s">
        <v>46</v>
      </c>
      <c r="K26" s="5" t="s">
        <v>64</v>
      </c>
      <c r="L26" s="5">
        <v>45000</v>
      </c>
      <c r="M26" s="5" t="s">
        <v>50</v>
      </c>
      <c r="N26" s="5">
        <f>(L26*2.8)/10000000000</f>
        <v>1.2599999999999998E-5</v>
      </c>
      <c r="O26" s="5" t="s">
        <v>66</v>
      </c>
      <c r="V26" s="37">
        <v>0</v>
      </c>
      <c r="W26" s="5">
        <f>('PCA2-Peri'!J25/2^'PCA2-Peri'!B25)*(1000*9.81)</f>
        <v>57435875158.814964</v>
      </c>
      <c r="X26" s="5">
        <f>('MCA-Peri'!J26/2^'MCA-Peri'!B26)*(1000*9.81)</f>
        <v>21095399487.226913</v>
      </c>
      <c r="Y26" s="5">
        <f>('ACA2-Peri'!J25/2^'ACA2-Peri'!B25)*(1000*9.81)</f>
        <v>57435875158.814964</v>
      </c>
      <c r="Z26" s="5">
        <v>861812314156.43164</v>
      </c>
      <c r="AB26" s="5">
        <f>W26</f>
        <v>57435875158.814964</v>
      </c>
      <c r="AC26" s="5">
        <f>X26</f>
        <v>21095399487.226913</v>
      </c>
      <c r="AD26" s="5">
        <f>Y26</f>
        <v>57435875158.814964</v>
      </c>
    </row>
    <row r="27" spans="1:30" x14ac:dyDescent="0.35">
      <c r="A27" s="37"/>
      <c r="F27" s="17" t="s">
        <v>43</v>
      </c>
      <c r="G27" s="18">
        <v>15</v>
      </c>
      <c r="H27" s="18">
        <f>G27*13.6</f>
        <v>204</v>
      </c>
      <c r="I27" s="19">
        <f>H27/1000</f>
        <v>0.20399999999999999</v>
      </c>
      <c r="K27" s="5" t="s">
        <v>65</v>
      </c>
      <c r="L27" s="5">
        <v>70</v>
      </c>
      <c r="M27" s="5" t="s">
        <v>44</v>
      </c>
      <c r="N27" s="5">
        <f>L27*13.6/1000</f>
        <v>0.95199999999999996</v>
      </c>
      <c r="O27" s="5" t="s">
        <v>46</v>
      </c>
      <c r="P27" s="5">
        <f>L27*133.33</f>
        <v>9333.1</v>
      </c>
      <c r="Q27" s="5" t="s">
        <v>72</v>
      </c>
      <c r="V27" s="5">
        <v>1</v>
      </c>
      <c r="W27" s="5">
        <f>('PCA2-Peri'!J24/2^'PCA2-Peri'!B24)*(1000*9.81)</f>
        <v>77753752527.601395</v>
      </c>
      <c r="X27" s="5">
        <f>('MCA-Peri'!J25/2^'MCA-Peri'!B25)*(1000*9.81)</f>
        <v>29649222535.05563</v>
      </c>
      <c r="Y27" s="5">
        <f>('ACA2-Peri'!J24/2^'ACA2-Peri'!B24)*(1000*9.81)</f>
        <v>77753752527.601395</v>
      </c>
      <c r="Z27" s="5">
        <v>861812314156.43164</v>
      </c>
      <c r="AB27" s="5">
        <f>W27+W26</f>
        <v>135189627686.41635</v>
      </c>
      <c r="AC27" s="5">
        <f>AC26+X27</f>
        <v>50744622022.282547</v>
      </c>
      <c r="AD27" s="5">
        <f>AD26+Y27</f>
        <v>135189627686.41635</v>
      </c>
    </row>
    <row r="28" spans="1:30" x14ac:dyDescent="0.35">
      <c r="A28" s="37" t="s">
        <v>10</v>
      </c>
      <c r="B28" s="5">
        <f>ROUNDUP((LN(B26/B25)*B23)/LN(0.5),0)</f>
        <v>35</v>
      </c>
      <c r="F28" s="17" t="s">
        <v>47</v>
      </c>
      <c r="G28" s="18">
        <v>1</v>
      </c>
      <c r="H28" s="18">
        <f>G28*13.6</f>
        <v>13.6</v>
      </c>
      <c r="I28" s="19">
        <f>H28/1000</f>
        <v>1.3599999999999999E-2</v>
      </c>
      <c r="K28" s="5" t="s">
        <v>67</v>
      </c>
      <c r="L28" s="5">
        <f>N27/N26</f>
        <v>75555.555555555562</v>
      </c>
      <c r="V28" s="5">
        <f>V27+1</f>
        <v>2</v>
      </c>
      <c r="W28" s="5">
        <f>('PCA2-Peri'!J23/2^'PCA2-Peri'!B23)*(1000*9.81)</f>
        <v>109249707180.92638</v>
      </c>
      <c r="X28" s="5">
        <f>('MCA-Peri'!J24/2^'MCA-Peri'!B24)*(1000*9.81)</f>
        <v>42935766308.691742</v>
      </c>
      <c r="Y28" s="5">
        <f>('ACA2-Peri'!J23/2^'ACA2-Peri'!B23)*(1000*9.81)</f>
        <v>109249707180.92638</v>
      </c>
      <c r="Z28" s="5">
        <v>861812314156.43164</v>
      </c>
      <c r="AB28" s="5">
        <f>AB27+W28</f>
        <v>244439334867.34271</v>
      </c>
      <c r="AC28" s="5">
        <f t="shared" ref="AC28:AC47" si="21">AC27+X28</f>
        <v>93680388330.974289</v>
      </c>
      <c r="AD28" s="5">
        <f t="shared" ref="AD28:AD47" si="22">AD27+Y28</f>
        <v>244439334867.34271</v>
      </c>
    </row>
    <row r="29" spans="1:30" x14ac:dyDescent="0.35">
      <c r="A29" s="37" t="s">
        <v>82</v>
      </c>
      <c r="B29" s="5">
        <f>ROUNDUP((LN(B26/B24)*B23)/LN(0.5),0)</f>
        <v>33</v>
      </c>
      <c r="F29" s="17" t="s">
        <v>48</v>
      </c>
      <c r="G29" s="18"/>
      <c r="H29" s="18"/>
      <c r="I29" s="19">
        <f>I27-I28</f>
        <v>0.19039999999999999</v>
      </c>
      <c r="V29" s="5">
        <f t="shared" ref="V29:V44" si="23">V28+1</f>
        <v>3</v>
      </c>
      <c r="W29" s="5">
        <f>('PCA2-Peri'!J22/2^'PCA2-Peri'!B22)*(1000*9.81)</f>
        <v>158163062246.46783</v>
      </c>
      <c r="X29" s="5">
        <f>('MCA-Peri'!J23/2^'MCA-Peri'!B23)*(1000*9.81)</f>
        <v>63719316408.352303</v>
      </c>
      <c r="Y29" s="5">
        <f>('ACA2-Peri'!J22/2^'ACA2-Peri'!B22)*(1000*9.81)</f>
        <v>158163062246.46783</v>
      </c>
      <c r="Z29" s="5">
        <v>861812314156.43164</v>
      </c>
      <c r="AB29" s="5">
        <f t="shared" ref="AB29:AB46" si="24">AB28+W29</f>
        <v>402602397113.81055</v>
      </c>
      <c r="AC29" s="5">
        <f t="shared" si="21"/>
        <v>157399704739.3266</v>
      </c>
      <c r="AD29" s="5">
        <f t="shared" si="22"/>
        <v>402602397113.81055</v>
      </c>
    </row>
    <row r="30" spans="1:30" x14ac:dyDescent="0.35">
      <c r="A30" s="37" t="s">
        <v>167</v>
      </c>
      <c r="B30" s="5">
        <f>ROUNDUP((B23*LN(300))/LN(2),0)</f>
        <v>31</v>
      </c>
      <c r="F30" s="17"/>
      <c r="G30" s="18"/>
      <c r="H30" s="18"/>
      <c r="I30" s="19"/>
      <c r="V30" s="5">
        <f t="shared" si="23"/>
        <v>4</v>
      </c>
      <c r="W30" s="5">
        <f>('PCA2-Peri'!J21/2^'PCA2-Peri'!B21)*(1000*9.81)</f>
        <v>234662785295.60107</v>
      </c>
      <c r="X30" s="5">
        <f>('MCA-Peri'!J22/2^'MCA-Peri'!B22)*(1000*9.81)</f>
        <v>96518216483.528824</v>
      </c>
      <c r="Y30" s="5">
        <f>('ACA2-Peri'!J21/2^'ACA2-Peri'!B21)*(1000*9.81)</f>
        <v>234662785295.60101</v>
      </c>
      <c r="Z30" s="5">
        <v>861812314156.43164</v>
      </c>
      <c r="AB30" s="5">
        <f t="shared" si="24"/>
        <v>637265182409.41162</v>
      </c>
      <c r="AC30" s="5">
        <f t="shared" si="21"/>
        <v>253917921222.85541</v>
      </c>
      <c r="AD30" s="5">
        <f t="shared" si="22"/>
        <v>637265182409.41162</v>
      </c>
    </row>
    <row r="31" spans="1:30" x14ac:dyDescent="0.35">
      <c r="A31" s="37" t="s">
        <v>166</v>
      </c>
      <c r="B31" s="5">
        <f>ROUNDUP((B23*LN(200))/LN(2),0)</f>
        <v>29</v>
      </c>
      <c r="F31" s="17"/>
      <c r="G31" s="18"/>
      <c r="H31" s="18"/>
      <c r="I31" s="19"/>
      <c r="K31" s="5" t="s">
        <v>75</v>
      </c>
      <c r="N31" s="5">
        <v>1</v>
      </c>
      <c r="O31" s="5" t="s">
        <v>70</v>
      </c>
      <c r="V31" s="5">
        <f t="shared" si="23"/>
        <v>5</v>
      </c>
      <c r="W31" s="5">
        <f>('PCA2-Peri'!J20/2^'PCA2-Peri'!B20)*(1000*9.81)</f>
        <v>355369052581.4881</v>
      </c>
      <c r="X31" s="5">
        <f>('MCA-Peri'!J21/2^'MCA-Peri'!B21)*(1000*9.81)</f>
        <v>148757038402.63919</v>
      </c>
      <c r="Y31" s="5">
        <f>('ACA2-Peri'!J20/2^'ACA2-Peri'!B20)*(1000*9.81)</f>
        <v>355369052581.48804</v>
      </c>
      <c r="Z31" s="5">
        <v>861812314156.43164</v>
      </c>
      <c r="AB31" s="5">
        <f t="shared" si="24"/>
        <v>992634234990.89966</v>
      </c>
      <c r="AC31" s="5">
        <f t="shared" si="21"/>
        <v>402674959625.49463</v>
      </c>
      <c r="AD31" s="5">
        <f t="shared" si="22"/>
        <v>992634234990.89966</v>
      </c>
    </row>
    <row r="32" spans="1:30" ht="15" thickBot="1" x14ac:dyDescent="0.4">
      <c r="F32" s="33" t="s">
        <v>49</v>
      </c>
      <c r="G32" s="34" t="e">
        <f>I29/M16</f>
        <v>#DIV/0!</v>
      </c>
      <c r="H32" s="34" t="e">
        <f>G32*3.6*1000000000</f>
        <v>#DIV/0!</v>
      </c>
      <c r="I32" s="35" t="s">
        <v>50</v>
      </c>
      <c r="K32" s="5" t="s">
        <v>77</v>
      </c>
      <c r="N32" s="23">
        <v>1E-10</v>
      </c>
      <c r="O32" s="5" t="s">
        <v>70</v>
      </c>
      <c r="V32" s="5">
        <f t="shared" si="23"/>
        <v>6</v>
      </c>
      <c r="W32" s="5">
        <f>('PCA2-Peri'!J19/2^'PCA2-Peri'!B19)*(1000*9.81)</f>
        <v>547590098597.66388</v>
      </c>
      <c r="X32" s="5">
        <f>('MCA-Peri'!J20/2^'MCA-Peri'!B20)*(1000*9.81)</f>
        <v>232707516845.41553</v>
      </c>
      <c r="Y32" s="5">
        <f>('ACA2-Peri'!J19/2^'ACA2-Peri'!B19)*(1000*9.81)</f>
        <v>547590098597.66394</v>
      </c>
      <c r="Z32" s="5">
        <v>861812314156.43164</v>
      </c>
      <c r="AB32" s="5">
        <f t="shared" si="24"/>
        <v>1540224333588.5635</v>
      </c>
      <c r="AC32" s="5">
        <f t="shared" si="21"/>
        <v>635382476470.91016</v>
      </c>
      <c r="AD32" s="5">
        <f t="shared" si="22"/>
        <v>1540224333588.5635</v>
      </c>
    </row>
    <row r="33" spans="1:30" x14ac:dyDescent="0.35">
      <c r="A33" s="37" t="s">
        <v>165</v>
      </c>
      <c r="B33" s="37">
        <f>2*(2^(B28-1)+2^(B29-1)+2^(B29-1))</f>
        <v>51539607552</v>
      </c>
      <c r="H33" s="5" t="e">
        <f>H32/60</f>
        <v>#DIV/0!</v>
      </c>
      <c r="I33" s="5" t="s">
        <v>70</v>
      </c>
      <c r="K33" s="5" t="s">
        <v>78</v>
      </c>
      <c r="N33" s="5">
        <v>0.3</v>
      </c>
      <c r="O33" s="5" t="s">
        <v>70</v>
      </c>
      <c r="V33" s="5">
        <f t="shared" si="23"/>
        <v>7</v>
      </c>
      <c r="W33" s="5">
        <f>('PCA2-Peri'!J18/2^'PCA2-Peri'!B18)*(1000*9.81)</f>
        <v>856459317669.00269</v>
      </c>
      <c r="X33" s="5">
        <f>('MCA-Peri'!J19/2^'MCA-Peri'!B19)*(1000*9.81)</f>
        <v>368771129154.81207</v>
      </c>
      <c r="Y33" s="5">
        <f>('ACA2-Peri'!J18/2^'ACA2-Peri'!B18)*(1000*9.81)</f>
        <v>856459317669.00293</v>
      </c>
      <c r="Z33" s="5">
        <v>861812314156.43164</v>
      </c>
      <c r="AB33" s="5">
        <f t="shared" si="24"/>
        <v>2396683651257.5664</v>
      </c>
      <c r="AC33" s="5">
        <f t="shared" si="21"/>
        <v>1004153605625.7222</v>
      </c>
      <c r="AD33" s="5">
        <f t="shared" si="22"/>
        <v>2396683651257.5664</v>
      </c>
    </row>
    <row r="34" spans="1:30" x14ac:dyDescent="0.35">
      <c r="B34" s="5">
        <f>2*(2^(B28-1)+2^(B29-1)+2^(B29-1)+2^(B28-2)+2^(B29-2)+2^(B29-2)+2^(B28-3)+2^(B29-3)+2^(B29-3)+2^(B28-4)+2^(B29-4)+2^(B29-4))</f>
        <v>96636764160</v>
      </c>
      <c r="K34" s="5" t="s">
        <v>79</v>
      </c>
      <c r="N34" s="5">
        <v>0.13</v>
      </c>
      <c r="O34" s="5" t="s">
        <v>70</v>
      </c>
      <c r="P34" s="37" t="s">
        <v>76</v>
      </c>
      <c r="Q34" s="5">
        <f>N34*0.00000001666</f>
        <v>2.1658000000000001E-9</v>
      </c>
      <c r="V34" s="5">
        <f t="shared" si="23"/>
        <v>8</v>
      </c>
      <c r="W34" s="5">
        <f>('PCA2-Peri'!J17/2^'PCA2-Peri'!B17)*(1000*9.81)</f>
        <v>1357005408259.429</v>
      </c>
      <c r="X34" s="5">
        <f>('MCA-Peri'!J18/2^'MCA-Peri'!B18)*(1000*9.81)</f>
        <v>591053816655.38464</v>
      </c>
      <c r="Y34" s="5">
        <f>('ACA2-Peri'!J17/2^'ACA2-Peri'!B17)*(1000*9.81)</f>
        <v>1357005408259.4292</v>
      </c>
      <c r="Z34" s="5">
        <v>861812314156.43164</v>
      </c>
      <c r="AB34" s="5">
        <f t="shared" si="24"/>
        <v>3753689059516.9951</v>
      </c>
      <c r="AC34" s="5">
        <f t="shared" si="21"/>
        <v>1595207422281.1069</v>
      </c>
      <c r="AD34" s="5">
        <f t="shared" si="22"/>
        <v>3753689059516.9956</v>
      </c>
    </row>
    <row r="35" spans="1:30" x14ac:dyDescent="0.35">
      <c r="V35" s="5">
        <f t="shared" si="23"/>
        <v>9</v>
      </c>
      <c r="W35" s="5">
        <f>('PCA2-Peri'!J16/2^'PCA2-Peri'!B16)*(1000*9.81)</f>
        <v>2174650224702.2136</v>
      </c>
      <c r="X35" s="5">
        <f>('MCA-Peri'!J17/2^'MCA-Peri'!B17)*(1000*9.81)</f>
        <v>956871838941.54895</v>
      </c>
      <c r="Y35" s="5">
        <f>('ACA2-Peri'!J16/2^'ACA2-Peri'!B16)*(1000*9.81)</f>
        <v>2174650224702.2136</v>
      </c>
      <c r="Z35" s="5">
        <v>861812314156.43164</v>
      </c>
      <c r="AB35" s="5">
        <f t="shared" si="24"/>
        <v>5928339284219.209</v>
      </c>
      <c r="AC35" s="5">
        <f t="shared" si="21"/>
        <v>2552079261222.6558</v>
      </c>
      <c r="AD35" s="5">
        <f t="shared" si="22"/>
        <v>5928339284219.209</v>
      </c>
    </row>
    <row r="36" spans="1:30" x14ac:dyDescent="0.35">
      <c r="K36" s="37" t="s">
        <v>92</v>
      </c>
      <c r="L36" s="5">
        <f>(G27-G28)*133.322365</f>
        <v>1866.5131099999999</v>
      </c>
      <c r="V36" s="5">
        <f t="shared" si="23"/>
        <v>10</v>
      </c>
      <c r="W36" s="5">
        <f>('PCA2-Peri'!J15/2^'PCA2-Peri'!B15)*(1000*9.81)</f>
        <v>3520160301573.8599</v>
      </c>
      <c r="X36" s="5">
        <f>('MCA-Peri'!J16/2^'MCA-Peri'!B16)*(1000*9.81)</f>
        <v>1563023737591.4141</v>
      </c>
      <c r="Y36" s="5">
        <f>('ACA2-Peri'!J15/2^'ACA2-Peri'!B15)*(1000*9.81)</f>
        <v>3520160301573.8599</v>
      </c>
      <c r="Z36" s="5">
        <v>861812314156.43164</v>
      </c>
      <c r="AB36" s="5">
        <f t="shared" si="24"/>
        <v>9448499585793.0684</v>
      </c>
      <c r="AC36" s="5">
        <f t="shared" si="21"/>
        <v>4115102998814.0698</v>
      </c>
      <c r="AD36" s="5">
        <f t="shared" si="22"/>
        <v>9448499585793.0684</v>
      </c>
    </row>
    <row r="37" spans="1:30" x14ac:dyDescent="0.35">
      <c r="V37" s="5">
        <f t="shared" si="23"/>
        <v>11</v>
      </c>
      <c r="W37" s="5">
        <f>('PCA2-Peri'!J14/2^'PCA2-Peri'!B14)*(1000*9.81)</f>
        <v>5749475097218.7305</v>
      </c>
      <c r="X37" s="5">
        <f>('MCA-Peri'!J15/2^'MCA-Peri'!B15)*(1000*9.81)</f>
        <v>2573746864649.167</v>
      </c>
      <c r="Y37" s="5">
        <f>('ACA2-Peri'!J14/2^'ACA2-Peri'!B14)*(1000*9.81)</f>
        <v>5749475097218.7305</v>
      </c>
      <c r="Z37" s="5">
        <v>861812314156.43164</v>
      </c>
      <c r="AB37" s="5">
        <f t="shared" si="24"/>
        <v>15197974683011.799</v>
      </c>
      <c r="AC37" s="5">
        <f t="shared" si="21"/>
        <v>6688849863463.2363</v>
      </c>
      <c r="AD37" s="5">
        <f t="shared" si="22"/>
        <v>15197974683011.799</v>
      </c>
    </row>
    <row r="38" spans="1:30" x14ac:dyDescent="0.35">
      <c r="K38" s="37" t="s">
        <v>32</v>
      </c>
      <c r="L38" s="37" t="s">
        <v>80</v>
      </c>
      <c r="M38" s="5">
        <f>L36/Q34</f>
        <v>861812314156.43164</v>
      </c>
      <c r="V38" s="5">
        <f t="shared" si="23"/>
        <v>12</v>
      </c>
      <c r="W38" s="5">
        <f>('PCA2-Peri'!J13/2^'PCA2-Peri'!B13)*(1000*9.81)</f>
        <v>9466494945320.2813</v>
      </c>
      <c r="X38" s="5">
        <f>('MCA-Peri'!J14/2^'MCA-Peri'!B14)*(1000*9.81)</f>
        <v>4268916188736.0249</v>
      </c>
      <c r="Y38" s="5">
        <f>('ACA2-Peri'!J13/2^'ACA2-Peri'!B13)*(1000*9.81)</f>
        <v>9466494945320.2813</v>
      </c>
      <c r="Z38" s="5">
        <v>861812314156.43164</v>
      </c>
      <c r="AB38" s="5">
        <f t="shared" si="24"/>
        <v>24664469628332.078</v>
      </c>
      <c r="AC38" s="5">
        <f t="shared" si="21"/>
        <v>10957766052199.262</v>
      </c>
      <c r="AD38" s="5">
        <f t="shared" si="22"/>
        <v>24664469628332.078</v>
      </c>
    </row>
    <row r="39" spans="1:30" x14ac:dyDescent="0.35">
      <c r="M39" s="5">
        <f>M38/(1000*9.81)</f>
        <v>87850388.802898228</v>
      </c>
      <c r="V39" s="5">
        <f>V38+1</f>
        <v>13</v>
      </c>
      <c r="W39" s="5">
        <f>('PCA2-Peri'!J12/2^'PCA2-Peri'!B12)*(1000*9.81)</f>
        <v>15700291408160.273</v>
      </c>
      <c r="X39" s="5">
        <f>('MCA-Peri'!J13/2^'MCA-Peri'!B13)*(1000*9.81)</f>
        <v>7127415981020.5684</v>
      </c>
      <c r="Y39" s="5">
        <f>('ACA2-Peri'!J12/2^'ACA2-Peri'!B12)*(1000*9.81)</f>
        <v>15700291408160.271</v>
      </c>
      <c r="Z39" s="5">
        <v>861812314156.43164</v>
      </c>
      <c r="AB39" s="5">
        <f t="shared" si="24"/>
        <v>40364761036492.352</v>
      </c>
      <c r="AC39" s="5">
        <f t="shared" si="21"/>
        <v>18085182033219.828</v>
      </c>
      <c r="AD39" s="5">
        <f t="shared" si="22"/>
        <v>40364761036492.352</v>
      </c>
    </row>
    <row r="40" spans="1:30" x14ac:dyDescent="0.35">
      <c r="M40" s="37"/>
      <c r="V40" s="5">
        <f t="shared" si="23"/>
        <v>14</v>
      </c>
      <c r="W40" s="5">
        <f>('PCA2-Peri'!J11/2^'PCA2-Peri'!B11)*(1000*9.81)</f>
        <v>26211632496880.402</v>
      </c>
      <c r="X40" s="5">
        <f>('MCA-Peri'!J12/2^'MCA-Peri'!B12)*(1000*9.81)</f>
        <v>11971801828345.408</v>
      </c>
      <c r="Y40" s="5">
        <f>('ACA2-Peri'!J11/2^'ACA2-Peri'!B11)*(1000*9.81)</f>
        <v>26211632496880.406</v>
      </c>
      <c r="Z40" s="5">
        <v>861812314156.43164</v>
      </c>
      <c r="AB40" s="5">
        <f t="shared" si="24"/>
        <v>66576393533372.75</v>
      </c>
      <c r="AC40" s="5">
        <f t="shared" si="21"/>
        <v>30056983861565.234</v>
      </c>
      <c r="AD40" s="5">
        <f t="shared" si="22"/>
        <v>66576393533372.758</v>
      </c>
    </row>
    <row r="41" spans="1:30" x14ac:dyDescent="0.35">
      <c r="V41" s="5">
        <f t="shared" si="23"/>
        <v>15</v>
      </c>
      <c r="W41" s="5">
        <f>('PCA2-Peri'!J10/2^'PCA2-Peri'!B10)*(1000*9.81)</f>
        <v>44024843258348.352</v>
      </c>
      <c r="X41" s="5">
        <f>('MCA-Peri'!J11/2^'MCA-Peri'!B11)*(1000*9.81)</f>
        <v>20220052761775.121</v>
      </c>
      <c r="Y41" s="5">
        <f>('ACA2-Peri'!J10/2^'ACA2-Peri'!B10)*(1000*9.81)</f>
        <v>44024843258348.352</v>
      </c>
      <c r="Z41" s="5">
        <v>861812314156.43164</v>
      </c>
      <c r="AB41" s="5">
        <f t="shared" si="24"/>
        <v>110601236791721.09</v>
      </c>
      <c r="AC41" s="5">
        <f t="shared" si="21"/>
        <v>50277036623340.359</v>
      </c>
      <c r="AD41" s="5">
        <f t="shared" si="22"/>
        <v>110601236791721.11</v>
      </c>
    </row>
    <row r="42" spans="1:30" x14ac:dyDescent="0.35">
      <c r="V42" s="5">
        <f t="shared" si="23"/>
        <v>16</v>
      </c>
      <c r="W42" s="5">
        <f>('PCA2-Peri'!J9/2^'PCA2-Peri'!B9)*(1000*9.81)</f>
        <v>74353383478185.953</v>
      </c>
      <c r="X42" s="5">
        <f>('MCA-Peri'!J10/2^'MCA-Peri'!B10)*(1000*9.81)</f>
        <v>34324919026033.211</v>
      </c>
      <c r="Y42" s="5">
        <f>('ACA2-Peri'!J9/2^'ACA2-Peri'!B9)*(1000*9.81)</f>
        <v>74353383478185.953</v>
      </c>
      <c r="Z42" s="5">
        <v>861812314156.43164</v>
      </c>
      <c r="AB42" s="5">
        <f t="shared" si="24"/>
        <v>184954620269907.06</v>
      </c>
      <c r="AC42" s="5">
        <f t="shared" si="21"/>
        <v>84601955649373.563</v>
      </c>
      <c r="AD42" s="5">
        <f t="shared" si="22"/>
        <v>184954620269907.06</v>
      </c>
    </row>
    <row r="43" spans="1:30" x14ac:dyDescent="0.35">
      <c r="V43" s="5">
        <f t="shared" si="23"/>
        <v>17</v>
      </c>
      <c r="W43" s="5">
        <f>('PCA2-Peri'!J8/2^'PCA2-Peri'!B8)*(1000*9.81)</f>
        <v>126215117434515.58</v>
      </c>
      <c r="X43" s="5">
        <f>('MCA-Peri'!J9/2^'MCA-Peri'!B9)*(1000*9.81)</f>
        <v>58542695210119.914</v>
      </c>
      <c r="Y43" s="5">
        <f>('ACA2-Peri'!J8/2^'ACA2-Peri'!B8)*(1000*9.81)</f>
        <v>126215117434515.58</v>
      </c>
      <c r="Z43" s="5">
        <v>861812314156.43164</v>
      </c>
      <c r="AB43" s="5">
        <f t="shared" si="24"/>
        <v>311169737704422.63</v>
      </c>
      <c r="AC43" s="5">
        <f t="shared" si="21"/>
        <v>143144650859493.47</v>
      </c>
      <c r="AD43" s="5">
        <f t="shared" si="22"/>
        <v>311169737704422.63</v>
      </c>
    </row>
    <row r="44" spans="1:30" x14ac:dyDescent="0.35">
      <c r="A44" s="37" t="s">
        <v>102</v>
      </c>
      <c r="B44" s="5">
        <f>100/1000000000</f>
        <v>9.9999999999999995E-8</v>
      </c>
      <c r="V44" s="5">
        <f t="shared" si="23"/>
        <v>18</v>
      </c>
      <c r="W44" s="5">
        <f>('PCA2-Peri'!J7/2^'PCA2-Peri'!B7)*(1000*9.81)</f>
        <v>215258706348753.81</v>
      </c>
      <c r="X44" s="5">
        <f>('MCA-Peri'!J8/2^'MCA-Peri'!B8)*(1000*9.81)</f>
        <v>100281826577935.94</v>
      </c>
      <c r="Y44" s="5">
        <f>('ACA2-Peri'!J7/2^'ACA2-Peri'!B7)*(1000*9.81)</f>
        <v>215258706348753.78</v>
      </c>
      <c r="Z44" s="5">
        <v>861812314156.43164</v>
      </c>
      <c r="AB44" s="5">
        <f t="shared" si="24"/>
        <v>526428444053176.44</v>
      </c>
      <c r="AC44" s="5">
        <f t="shared" si="21"/>
        <v>243426477437429.41</v>
      </c>
      <c r="AD44" s="5">
        <f t="shared" si="22"/>
        <v>526428444053176.38</v>
      </c>
    </row>
    <row r="45" spans="1:30" x14ac:dyDescent="0.35">
      <c r="Q45" t="s">
        <v>108</v>
      </c>
      <c r="S45"/>
      <c r="T45"/>
      <c r="U45"/>
      <c r="V45" s="5">
        <v>19</v>
      </c>
      <c r="W45" s="5">
        <f>('PCA2-Peri'!J6/2^'PCA2-Peri'!B6)*(1000*9.81)</f>
        <v>368721730131443.81</v>
      </c>
      <c r="X45" s="5">
        <f>('MCA-Peri'!J7/2^'MCA-Peri'!B7)*(1000*9.81)</f>
        <v>172474361217291.38</v>
      </c>
      <c r="Y45" s="5">
        <f>('ACA2-Peri'!J6/2^'ACA2-Peri'!B6)*(1000*9.81)</f>
        <v>368721730131443.81</v>
      </c>
      <c r="Z45" s="5">
        <v>861812314156.43164</v>
      </c>
      <c r="AB45" s="5">
        <f>AB44+W45</f>
        <v>895150174184620.25</v>
      </c>
      <c r="AC45" s="5">
        <f t="shared" si="21"/>
        <v>415900838654720.75</v>
      </c>
      <c r="AD45" s="5">
        <f t="shared" si="22"/>
        <v>895150174184620.25</v>
      </c>
    </row>
    <row r="46" spans="1:30" x14ac:dyDescent="0.35">
      <c r="Q46" t="s">
        <v>83</v>
      </c>
      <c r="S46"/>
      <c r="T46"/>
      <c r="V46" s="5">
        <v>20</v>
      </c>
      <c r="W46" s="5">
        <f>('PCA2-Peri'!J5/2^'PCA2-Peri'!B5)*(1000*9.81)</f>
        <v>634149249425784</v>
      </c>
      <c r="X46" s="5">
        <f>('MCA-Peri'!J6/2^'MCA-Peri'!B6)*(1000*9.81)</f>
        <v>297755563158816.19</v>
      </c>
      <c r="Y46" s="5">
        <f>('ACA2-Peri'!J5/2^'ACA2-Peri'!B5)*(1000*9.81)</f>
        <v>634149249425784</v>
      </c>
      <c r="Z46" s="5">
        <v>861812314156.43164</v>
      </c>
      <c r="AB46" s="5">
        <f t="shared" si="24"/>
        <v>1529299423610404.3</v>
      </c>
      <c r="AC46" s="5">
        <f t="shared" si="21"/>
        <v>713656401813537</v>
      </c>
      <c r="AD46" s="5">
        <f t="shared" si="22"/>
        <v>1529299423610404.3</v>
      </c>
    </row>
    <row r="47" spans="1:30" x14ac:dyDescent="0.35">
      <c r="A47"/>
      <c r="B47"/>
      <c r="C47"/>
      <c r="D47"/>
      <c r="E47"/>
      <c r="F47" s="37" t="s">
        <v>107</v>
      </c>
      <c r="G47"/>
      <c r="H47"/>
      <c r="I47"/>
      <c r="J47"/>
      <c r="K47"/>
      <c r="M47"/>
      <c r="N47"/>
      <c r="O47"/>
      <c r="P47"/>
      <c r="Q47" t="s">
        <v>94</v>
      </c>
      <c r="R47" s="5" t="s">
        <v>95</v>
      </c>
      <c r="S47" t="s">
        <v>96</v>
      </c>
      <c r="T47" t="s">
        <v>81</v>
      </c>
      <c r="U47" t="s">
        <v>81</v>
      </c>
      <c r="V47">
        <v>21</v>
      </c>
      <c r="W47">
        <f>('PCA2-Peri'!J4/2^'PCA2-Peri'!B4)*(1000*9.81)</f>
        <v>3284279812431072.5</v>
      </c>
      <c r="X47" s="5">
        <f>('MCA-Peri'!J5/2^'MCA-Peri'!B5)*(1000*9.81)</f>
        <v>515846394416197.88</v>
      </c>
      <c r="Y47" s="5">
        <f>('ACA2-Peri'!J4/2^'ACA2-Peri'!B4)*(1000*9.81)</f>
        <v>2463209859323304</v>
      </c>
      <c r="Z47" s="5">
        <v>861812314156.43164</v>
      </c>
      <c r="AB47" s="5">
        <f>AB46+W47</f>
        <v>4813579236041477</v>
      </c>
      <c r="AC47" s="5">
        <f t="shared" si="21"/>
        <v>1229502796229735</v>
      </c>
      <c r="AD47" s="5">
        <f t="shared" si="22"/>
        <v>3992509282933708</v>
      </c>
    </row>
    <row r="48" spans="1:30" x14ac:dyDescent="0.35">
      <c r="A48" s="37" t="s">
        <v>81</v>
      </c>
      <c r="B48" t="s">
        <v>9</v>
      </c>
      <c r="C48" t="s">
        <v>10</v>
      </c>
      <c r="D48" t="s">
        <v>12</v>
      </c>
      <c r="E48"/>
      <c r="F48" t="s">
        <v>9</v>
      </c>
      <c r="G48" t="s">
        <v>10</v>
      </c>
      <c r="H48" t="s">
        <v>12</v>
      </c>
      <c r="I48"/>
      <c r="J48"/>
      <c r="K48"/>
      <c r="M48"/>
      <c r="N48"/>
      <c r="O48"/>
      <c r="P48"/>
      <c r="Q48">
        <v>16107660990337.982</v>
      </c>
      <c r="R48" s="5">
        <v>8062042590219.7949</v>
      </c>
      <c r="S48">
        <v>16107660990337.982</v>
      </c>
      <c r="T48" s="47">
        <v>21</v>
      </c>
      <c r="U48" s="47">
        <v>22</v>
      </c>
      <c r="V48">
        <v>22</v>
      </c>
      <c r="W48"/>
      <c r="X48" s="5">
        <f>('MCA-Peri'!J4/2^'MCA-Peri'!B4)*(1000*9.81)</f>
        <v>1524254570668095.3</v>
      </c>
      <c r="Z48" s="5">
        <v>861812314156.43164</v>
      </c>
      <c r="AC48" s="5">
        <f>AC47+X48</f>
        <v>2753757366897830</v>
      </c>
    </row>
    <row r="49" spans="1:28" x14ac:dyDescent="0.35">
      <c r="A49" s="37">
        <v>0</v>
      </c>
      <c r="B49">
        <f>'PCA2-Peri'!EA38</f>
        <v>1549876377213.3938</v>
      </c>
      <c r="C49">
        <f>'MCA-Peri'!EG31</f>
        <v>0</v>
      </c>
      <c r="D49">
        <f>'ACA2-Peri'!EA31</f>
        <v>0</v>
      </c>
      <c r="E49"/>
      <c r="F49" s="5">
        <f>B49</f>
        <v>1549876377213.3938</v>
      </c>
      <c r="G49">
        <f>C49</f>
        <v>0</v>
      </c>
      <c r="H49">
        <f>D49</f>
        <v>0</v>
      </c>
      <c r="I49"/>
      <c r="J49"/>
      <c r="K49"/>
      <c r="M49"/>
      <c r="N49"/>
      <c r="O49"/>
      <c r="P49"/>
      <c r="Q49">
        <v>16125084747210</v>
      </c>
      <c r="R49" s="5">
        <v>8067205184848.541</v>
      </c>
      <c r="S49">
        <v>16125084747210</v>
      </c>
      <c r="T49" s="47">
        <f>T48-1</f>
        <v>20</v>
      </c>
      <c r="U49" s="47">
        <f>U48-1</f>
        <v>21</v>
      </c>
      <c r="V49"/>
      <c r="W49"/>
    </row>
    <row r="50" spans="1:28" x14ac:dyDescent="0.35">
      <c r="A50" s="5">
        <v>1</v>
      </c>
      <c r="B50">
        <f>'PCA2-Peri'!DU38</f>
        <v>3532921169905.0684</v>
      </c>
      <c r="C50">
        <f>'MCA-Peri'!EA31</f>
        <v>0</v>
      </c>
      <c r="D50">
        <f>'ACA2-Peri'!DU31</f>
        <v>0</v>
      </c>
      <c r="E50"/>
      <c r="F50" s="5">
        <f>B50+F49</f>
        <v>5082797547118.4619</v>
      </c>
      <c r="G50">
        <f>C50+G49</f>
        <v>0</v>
      </c>
      <c r="H50">
        <f>H49+D50</f>
        <v>0</v>
      </c>
      <c r="I50"/>
      <c r="J50"/>
      <c r="K50"/>
      <c r="M50"/>
      <c r="N50"/>
      <c r="O50"/>
      <c r="P50"/>
      <c r="Q50">
        <v>16142508504082.018</v>
      </c>
      <c r="R50" s="5">
        <v>8072367779477.2871</v>
      </c>
      <c r="S50">
        <v>16142508504082.018</v>
      </c>
      <c r="T50" s="47">
        <f t="shared" ref="T50:T69" si="25">T49-1</f>
        <v>19</v>
      </c>
      <c r="U50" s="47">
        <f t="shared" ref="U50:U70" si="26">U49-1</f>
        <v>20</v>
      </c>
      <c r="V50"/>
      <c r="W50"/>
    </row>
    <row r="51" spans="1:28" x14ac:dyDescent="0.35">
      <c r="A51" s="5">
        <f>A50+1</f>
        <v>2</v>
      </c>
      <c r="B51">
        <f>'PCA2-Peri'!DO38</f>
        <v>6369099798717.4316</v>
      </c>
      <c r="C51">
        <f>'MCA-Peri'!DU31</f>
        <v>0</v>
      </c>
      <c r="D51">
        <f>'ACA2-Peri'!DO31</f>
        <v>0</v>
      </c>
      <c r="E51"/>
      <c r="F51" s="5">
        <f>B51+F50</f>
        <v>11451897345835.895</v>
      </c>
      <c r="G51">
        <f t="shared" ref="G51:G71" si="27">C51+G50</f>
        <v>0</v>
      </c>
      <c r="H51">
        <f t="shared" ref="H51:H70" si="28">H50+D51</f>
        <v>0</v>
      </c>
      <c r="I51"/>
      <c r="J51"/>
      <c r="K51"/>
      <c r="M51"/>
      <c r="N51"/>
      <c r="O51"/>
      <c r="P51"/>
      <c r="Q51">
        <v>16159932260954.035</v>
      </c>
      <c r="R51" s="5">
        <v>8077530374106.0332</v>
      </c>
      <c r="S51">
        <v>16159932260954.035</v>
      </c>
      <c r="T51" s="47">
        <f t="shared" si="25"/>
        <v>18</v>
      </c>
      <c r="U51" s="47">
        <f t="shared" si="26"/>
        <v>19</v>
      </c>
      <c r="V51"/>
      <c r="W51"/>
      <c r="AB51" s="37"/>
    </row>
    <row r="52" spans="1:28" x14ac:dyDescent="0.35">
      <c r="A52" s="5">
        <f t="shared" ref="A52:A67" si="29">A51+1</f>
        <v>3</v>
      </c>
      <c r="B52">
        <f>'PCA2-Peri'!DI38</f>
        <v>11598589132283.893</v>
      </c>
      <c r="C52">
        <f>'MCA-Peri'!DO31</f>
        <v>0</v>
      </c>
      <c r="D52">
        <f>'ACA2-Peri'!DI31</f>
        <v>0</v>
      </c>
      <c r="E52"/>
      <c r="F52" s="5">
        <f t="shared" ref="F52:F70" si="30">B52+F51</f>
        <v>23050486478119.789</v>
      </c>
      <c r="G52">
        <f t="shared" si="27"/>
        <v>0</v>
      </c>
      <c r="H52">
        <f t="shared" si="28"/>
        <v>0</v>
      </c>
      <c r="I52"/>
      <c r="J52"/>
      <c r="K52"/>
      <c r="M52"/>
      <c r="N52"/>
      <c r="O52"/>
      <c r="P52"/>
      <c r="Q52">
        <v>16177356017826.053</v>
      </c>
      <c r="R52" s="5">
        <v>8082692968734.7793</v>
      </c>
      <c r="S52">
        <v>16177356017826.053</v>
      </c>
      <c r="T52" s="47">
        <f t="shared" si="25"/>
        <v>17</v>
      </c>
      <c r="U52" s="47">
        <f t="shared" si="26"/>
        <v>18</v>
      </c>
      <c r="V52"/>
      <c r="W52"/>
    </row>
    <row r="53" spans="1:28" x14ac:dyDescent="0.35">
      <c r="A53" s="5">
        <f t="shared" si="29"/>
        <v>4</v>
      </c>
      <c r="B53">
        <f>'PCA2-Peri'!DC38</f>
        <v>21297507859378.055</v>
      </c>
      <c r="C53">
        <f>'MCA-Peri'!DI31</f>
        <v>0</v>
      </c>
      <c r="D53">
        <f>'ACA2-Peri'!DC31</f>
        <v>0</v>
      </c>
      <c r="E53"/>
      <c r="F53" s="5">
        <f t="shared" si="30"/>
        <v>44347994337497.844</v>
      </c>
      <c r="G53">
        <f t="shared" si="27"/>
        <v>0</v>
      </c>
      <c r="H53">
        <f t="shared" si="28"/>
        <v>0</v>
      </c>
      <c r="I53"/>
      <c r="J53"/>
      <c r="K53"/>
      <c r="M53"/>
      <c r="N53"/>
      <c r="O53"/>
      <c r="P53"/>
      <c r="Q53">
        <v>16194779774698.07</v>
      </c>
      <c r="R53" s="5">
        <v>8087855563363.5254</v>
      </c>
      <c r="S53">
        <v>16194779774698.07</v>
      </c>
      <c r="T53" s="47">
        <f t="shared" si="25"/>
        <v>16</v>
      </c>
      <c r="U53" s="47">
        <f t="shared" si="26"/>
        <v>17</v>
      </c>
      <c r="V53"/>
      <c r="W53"/>
    </row>
    <row r="54" spans="1:28" x14ac:dyDescent="0.35">
      <c r="A54" s="5">
        <f t="shared" si="29"/>
        <v>5</v>
      </c>
      <c r="B54">
        <f>'PCA2-Peri'!CW38</f>
        <v>39378005375629.289</v>
      </c>
      <c r="C54">
        <f>'MCA-Peri'!DC31</f>
        <v>0</v>
      </c>
      <c r="D54">
        <f>'ACA2-Peri'!CW31</f>
        <v>0</v>
      </c>
      <c r="E54"/>
      <c r="F54" s="5">
        <f t="shared" si="30"/>
        <v>83725999713127.125</v>
      </c>
      <c r="G54">
        <f t="shared" si="27"/>
        <v>0</v>
      </c>
      <c r="H54">
        <f t="shared" si="28"/>
        <v>0</v>
      </c>
      <c r="I54"/>
      <c r="J54"/>
      <c r="K54"/>
      <c r="M54"/>
      <c r="N54"/>
      <c r="O54"/>
      <c r="P54"/>
      <c r="Q54">
        <v>16212203531570.088</v>
      </c>
      <c r="R54" s="5">
        <v>8093018157992.2715</v>
      </c>
      <c r="S54">
        <v>16212203531570.088</v>
      </c>
      <c r="T54" s="47">
        <f t="shared" si="25"/>
        <v>15</v>
      </c>
      <c r="U54" s="47">
        <f t="shared" si="26"/>
        <v>16</v>
      </c>
      <c r="V54"/>
      <c r="W54"/>
    </row>
    <row r="55" spans="1:28" x14ac:dyDescent="0.35">
      <c r="A55" s="5">
        <f t="shared" si="29"/>
        <v>6</v>
      </c>
      <c r="B55">
        <f>'PCA2-Peri'!CQ38</f>
        <v>73235148175875.406</v>
      </c>
      <c r="C55">
        <f>'MCA-Peri'!CW31</f>
        <v>0</v>
      </c>
      <c r="D55">
        <f>'ACA2-Peri'!CQ31</f>
        <v>0</v>
      </c>
      <c r="E55"/>
      <c r="F55" s="5">
        <f t="shared" si="30"/>
        <v>156961147889002.53</v>
      </c>
      <c r="G55">
        <f t="shared" si="27"/>
        <v>0</v>
      </c>
      <c r="H55">
        <f t="shared" si="28"/>
        <v>0</v>
      </c>
      <c r="I55"/>
      <c r="J55"/>
      <c r="K55"/>
      <c r="M55"/>
      <c r="N55"/>
      <c r="O55"/>
      <c r="P55"/>
      <c r="Q55">
        <v>16229627288442.105</v>
      </c>
      <c r="R55" s="5">
        <v>8098180752621.0176</v>
      </c>
      <c r="S55">
        <v>16229627288442.105</v>
      </c>
      <c r="T55" s="47">
        <f t="shared" si="25"/>
        <v>14</v>
      </c>
      <c r="U55" s="47">
        <f t="shared" si="26"/>
        <v>15</v>
      </c>
      <c r="V55"/>
      <c r="W55"/>
    </row>
    <row r="56" spans="1:28" x14ac:dyDescent="0.35">
      <c r="A56" s="5">
        <f t="shared" si="29"/>
        <v>7</v>
      </c>
      <c r="B56">
        <f>'PCA2-Peri'!CK38</f>
        <v>136887435966919.58</v>
      </c>
      <c r="C56">
        <f>'MCA-Peri'!CQ31</f>
        <v>0</v>
      </c>
      <c r="D56">
        <f>'ACA2-Peri'!CK31</f>
        <v>0</v>
      </c>
      <c r="E56"/>
      <c r="F56" s="5">
        <f t="shared" si="30"/>
        <v>293848583855922.13</v>
      </c>
      <c r="G56">
        <f t="shared" si="27"/>
        <v>0</v>
      </c>
      <c r="H56">
        <f t="shared" si="28"/>
        <v>0</v>
      </c>
      <c r="I56"/>
      <c r="J56"/>
      <c r="K56"/>
      <c r="M56"/>
      <c r="N56"/>
      <c r="O56"/>
      <c r="P56"/>
      <c r="Q56">
        <v>16247051045314.123</v>
      </c>
      <c r="R56" s="5">
        <v>8103343347249.7637</v>
      </c>
      <c r="S56">
        <v>16247051045314.123</v>
      </c>
      <c r="T56" s="47">
        <f t="shared" si="25"/>
        <v>13</v>
      </c>
      <c r="U56" s="47">
        <f t="shared" si="26"/>
        <v>14</v>
      </c>
      <c r="V56"/>
      <c r="W56"/>
    </row>
    <row r="57" spans="1:28" x14ac:dyDescent="0.35">
      <c r="A57" s="5">
        <f t="shared" si="29"/>
        <v>8</v>
      </c>
      <c r="B57">
        <f>'PCA2-Peri'!CE38</f>
        <v>256977696209461.88</v>
      </c>
      <c r="C57">
        <f>'MCA-Peri'!CK31</f>
        <v>0</v>
      </c>
      <c r="D57">
        <f>'ACA2-Peri'!CE31</f>
        <v>0</v>
      </c>
      <c r="E57"/>
      <c r="F57" s="5">
        <f t="shared" si="30"/>
        <v>550826280065384</v>
      </c>
      <c r="G57">
        <f t="shared" si="27"/>
        <v>0</v>
      </c>
      <c r="H57">
        <f t="shared" si="28"/>
        <v>0</v>
      </c>
      <c r="I57"/>
      <c r="J57"/>
      <c r="K57"/>
      <c r="M57"/>
      <c r="N57"/>
      <c r="O57"/>
      <c r="P57"/>
      <c r="Q57">
        <v>16264474802186.141</v>
      </c>
      <c r="R57" s="5">
        <v>8108505941878.5098</v>
      </c>
      <c r="S57">
        <v>16264474802186.141</v>
      </c>
      <c r="T57" s="47">
        <f t="shared" si="25"/>
        <v>12</v>
      </c>
      <c r="U57" s="47">
        <f t="shared" si="26"/>
        <v>13</v>
      </c>
      <c r="V57"/>
      <c r="W57"/>
    </row>
    <row r="58" spans="1:28" x14ac:dyDescent="0.35">
      <c r="A58" s="5">
        <f t="shared" si="29"/>
        <v>9</v>
      </c>
      <c r="B58">
        <f>'PCA2-Peri'!BY38</f>
        <v>378213219111912.13</v>
      </c>
      <c r="C58">
        <f>'MCA-Peri'!CE31</f>
        <v>0</v>
      </c>
      <c r="D58">
        <f>'ACA2-Peri'!BY31</f>
        <v>0</v>
      </c>
      <c r="E58"/>
      <c r="F58" s="5">
        <f t="shared" si="30"/>
        <v>929039499177296.13</v>
      </c>
      <c r="G58">
        <f t="shared" si="27"/>
        <v>0</v>
      </c>
      <c r="H58">
        <f t="shared" si="28"/>
        <v>0</v>
      </c>
      <c r="I58"/>
      <c r="J58"/>
      <c r="K58"/>
      <c r="M58"/>
      <c r="N58"/>
      <c r="O58"/>
      <c r="P58"/>
      <c r="Q58">
        <v>16281898559058.158</v>
      </c>
      <c r="R58" s="5">
        <v>8113668536507.2559</v>
      </c>
      <c r="S58">
        <v>16281898559058.158</v>
      </c>
      <c r="T58" s="47">
        <f t="shared" si="25"/>
        <v>11</v>
      </c>
      <c r="U58" s="47">
        <f t="shared" si="26"/>
        <v>12</v>
      </c>
      <c r="V58"/>
      <c r="W58"/>
    </row>
    <row r="59" spans="1:28" x14ac:dyDescent="0.35">
      <c r="A59" s="5">
        <f t="shared" si="29"/>
        <v>10</v>
      </c>
      <c r="B59">
        <f>'PCA2-Peri'!BS38</f>
        <v>792565322457610</v>
      </c>
      <c r="C59">
        <f>'MCA-Peri'!BY31</f>
        <v>0</v>
      </c>
      <c r="D59">
        <f>'ACA2-Peri'!BS31</f>
        <v>0</v>
      </c>
      <c r="E59"/>
      <c r="F59" s="5">
        <f t="shared" si="30"/>
        <v>1721604821634906</v>
      </c>
      <c r="G59">
        <f t="shared" si="27"/>
        <v>0</v>
      </c>
      <c r="H59">
        <f t="shared" si="28"/>
        <v>0</v>
      </c>
      <c r="I59"/>
      <c r="J59"/>
      <c r="K59"/>
      <c r="M59"/>
      <c r="N59"/>
      <c r="O59"/>
      <c r="P59"/>
      <c r="Q59">
        <v>16299322315930.176</v>
      </c>
      <c r="R59" s="5">
        <v>8118831131136.002</v>
      </c>
      <c r="S59">
        <v>16299322315930.176</v>
      </c>
      <c r="T59" s="47">
        <f t="shared" si="25"/>
        <v>10</v>
      </c>
      <c r="U59" s="47">
        <f t="shared" si="26"/>
        <v>11</v>
      </c>
      <c r="V59"/>
      <c r="W59"/>
    </row>
    <row r="60" spans="1:28" x14ac:dyDescent="0.35">
      <c r="A60" s="5">
        <f t="shared" si="29"/>
        <v>11</v>
      </c>
      <c r="B60">
        <f>'PCA2-Peri'!BM38</f>
        <v>1356185054533158.3</v>
      </c>
      <c r="C60">
        <f>'MCA-Peri'!BS31</f>
        <v>0</v>
      </c>
      <c r="D60">
        <f>'ACA2-Peri'!BM31</f>
        <v>0</v>
      </c>
      <c r="E60"/>
      <c r="F60" s="5">
        <f t="shared" si="30"/>
        <v>3077789876168064</v>
      </c>
      <c r="G60">
        <f t="shared" si="27"/>
        <v>0</v>
      </c>
      <c r="H60">
        <f t="shared" si="28"/>
        <v>0</v>
      </c>
      <c r="I60"/>
      <c r="J60"/>
      <c r="K60"/>
      <c r="M60"/>
      <c r="N60"/>
      <c r="O60"/>
      <c r="P60"/>
      <c r="Q60">
        <v>16316746072802.193</v>
      </c>
      <c r="R60" s="5">
        <v>8123993725764.748</v>
      </c>
      <c r="S60">
        <v>16316746072802.193</v>
      </c>
      <c r="T60" s="47">
        <f t="shared" si="25"/>
        <v>9</v>
      </c>
      <c r="U60" s="47">
        <f t="shared" si="26"/>
        <v>10</v>
      </c>
      <c r="V60"/>
      <c r="W60"/>
    </row>
    <row r="61" spans="1:28" x14ac:dyDescent="0.35">
      <c r="A61" s="5">
        <f t="shared" si="29"/>
        <v>12</v>
      </c>
      <c r="B61">
        <f>'PCA2-Peri'!BG38</f>
        <v>2578821266941628.5</v>
      </c>
      <c r="C61">
        <f>'MCA-Peri'!BM31</f>
        <v>0</v>
      </c>
      <c r="D61">
        <f>'ACA2-Peri'!BG31</f>
        <v>0</v>
      </c>
      <c r="E61"/>
      <c r="F61" s="5">
        <f t="shared" si="30"/>
        <v>5656611143109692</v>
      </c>
      <c r="G61">
        <f t="shared" si="27"/>
        <v>0</v>
      </c>
      <c r="H61">
        <f t="shared" si="28"/>
        <v>0</v>
      </c>
      <c r="I61"/>
      <c r="J61"/>
      <c r="K61"/>
      <c r="M61"/>
      <c r="N61"/>
      <c r="O61"/>
      <c r="P61"/>
      <c r="Q61">
        <v>16334169829674.211</v>
      </c>
      <c r="R61" s="5">
        <v>8129156320393.4941</v>
      </c>
      <c r="S61">
        <v>16334169829674.211</v>
      </c>
      <c r="T61" s="47">
        <f t="shared" si="25"/>
        <v>8</v>
      </c>
      <c r="U61" s="47">
        <f t="shared" si="26"/>
        <v>9</v>
      </c>
      <c r="V61"/>
      <c r="W61"/>
    </row>
    <row r="62" spans="1:28" x14ac:dyDescent="0.35">
      <c r="A62" s="5">
        <f>A61+1</f>
        <v>13</v>
      </c>
      <c r="B62">
        <f>'PCA2-Peri'!BA38</f>
        <v>5162478548867949</v>
      </c>
      <c r="C62">
        <f>'MCA-Peri'!BG31</f>
        <v>0</v>
      </c>
      <c r="D62">
        <f>'ACA2-Peri'!BA31</f>
        <v>0</v>
      </c>
      <c r="E62"/>
      <c r="F62" s="5">
        <f t="shared" si="30"/>
        <v>1.081908969197764E+16</v>
      </c>
      <c r="G62">
        <f t="shared" si="27"/>
        <v>0</v>
      </c>
      <c r="H62">
        <f t="shared" si="28"/>
        <v>0</v>
      </c>
      <c r="I62"/>
      <c r="J62"/>
      <c r="K62"/>
      <c r="M62"/>
      <c r="N62"/>
      <c r="O62"/>
      <c r="P62"/>
      <c r="Q62">
        <v>16351593586546.229</v>
      </c>
      <c r="R62" s="5">
        <v>8134318915022.2402</v>
      </c>
      <c r="S62">
        <v>16351593586546.229</v>
      </c>
      <c r="T62" s="47">
        <f t="shared" si="25"/>
        <v>7</v>
      </c>
      <c r="U62" s="47">
        <f t="shared" si="26"/>
        <v>8</v>
      </c>
      <c r="V62"/>
      <c r="W62"/>
    </row>
    <row r="63" spans="1:28" x14ac:dyDescent="0.35">
      <c r="A63" s="5">
        <f t="shared" si="29"/>
        <v>14</v>
      </c>
      <c r="B63">
        <f>'PCA2-Peri'!AU38</f>
        <v>1.0332980801195592E+16</v>
      </c>
      <c r="C63">
        <f>'MCA-Peri'!BA31</f>
        <v>0</v>
      </c>
      <c r="D63">
        <f>'ACA2-Peri'!AU31</f>
        <v>0</v>
      </c>
      <c r="E63"/>
      <c r="F63" s="5">
        <f t="shared" si="30"/>
        <v>2.1152070493173232E+16</v>
      </c>
      <c r="G63">
        <f t="shared" si="27"/>
        <v>0</v>
      </c>
      <c r="H63">
        <f t="shared" si="28"/>
        <v>0</v>
      </c>
      <c r="I63"/>
      <c r="J63"/>
      <c r="K63"/>
      <c r="M63"/>
      <c r="N63"/>
      <c r="O63"/>
      <c r="P63"/>
      <c r="Q63">
        <v>16369017343418.246</v>
      </c>
      <c r="R63" s="5">
        <v>8139481509650.9863</v>
      </c>
      <c r="S63">
        <v>16369017343418.246</v>
      </c>
      <c r="T63" s="47">
        <f t="shared" si="25"/>
        <v>6</v>
      </c>
      <c r="U63" s="47">
        <f t="shared" si="26"/>
        <v>7</v>
      </c>
      <c r="V63"/>
      <c r="W63"/>
    </row>
    <row r="64" spans="1:28" x14ac:dyDescent="0.35">
      <c r="A64" s="5">
        <f t="shared" si="29"/>
        <v>15</v>
      </c>
      <c r="B64">
        <f>'PCA2-Peri'!AO38</f>
        <v>2.0679248415622732E+16</v>
      </c>
      <c r="C64">
        <f>'MCA-Peri'!AU31</f>
        <v>0</v>
      </c>
      <c r="D64">
        <f>'ACA2-Peri'!AO31</f>
        <v>0</v>
      </c>
      <c r="E64"/>
      <c r="F64" s="5">
        <f t="shared" si="30"/>
        <v>4.1831318908795968E+16</v>
      </c>
      <c r="G64">
        <f t="shared" si="27"/>
        <v>0</v>
      </c>
      <c r="H64">
        <f t="shared" si="28"/>
        <v>0</v>
      </c>
      <c r="I64"/>
      <c r="J64"/>
      <c r="K64"/>
      <c r="M64"/>
      <c r="N64"/>
      <c r="O64"/>
      <c r="P64"/>
      <c r="Q64">
        <v>16386441100290.264</v>
      </c>
      <c r="R64" s="5">
        <v>8144644104279.7324</v>
      </c>
      <c r="S64">
        <v>16386441100290.264</v>
      </c>
      <c r="T64" s="47">
        <f t="shared" si="25"/>
        <v>5</v>
      </c>
      <c r="U64" s="47">
        <f t="shared" si="26"/>
        <v>6</v>
      </c>
      <c r="V64"/>
      <c r="W64"/>
    </row>
    <row r="65" spans="1:23" x14ac:dyDescent="0.35">
      <c r="A65" s="5">
        <f t="shared" si="29"/>
        <v>16</v>
      </c>
      <c r="B65">
        <f>'PCA2-Peri'!AI38</f>
        <v>4.1380623735512072E+16</v>
      </c>
      <c r="C65">
        <f>'MCA-Peri'!AO31</f>
        <v>0</v>
      </c>
      <c r="D65">
        <f>'ACA2-Peri'!AI31</f>
        <v>0</v>
      </c>
      <c r="E65"/>
      <c r="F65" s="5">
        <f t="shared" si="30"/>
        <v>8.3211942644308032E+16</v>
      </c>
      <c r="G65">
        <f t="shared" si="27"/>
        <v>0</v>
      </c>
      <c r="H65">
        <f t="shared" si="28"/>
        <v>0</v>
      </c>
      <c r="I65"/>
      <c r="J65"/>
      <c r="K65"/>
      <c r="M65"/>
      <c r="N65"/>
      <c r="O65"/>
      <c r="P65"/>
      <c r="Q65">
        <v>16403864857162.281</v>
      </c>
      <c r="R65" s="5">
        <v>8149806698908.4785</v>
      </c>
      <c r="S65">
        <v>16403864857162.281</v>
      </c>
      <c r="T65" s="47">
        <f t="shared" si="25"/>
        <v>4</v>
      </c>
      <c r="U65" s="47">
        <f t="shared" si="26"/>
        <v>5</v>
      </c>
      <c r="V65"/>
      <c r="W65"/>
    </row>
    <row r="66" spans="1:23" x14ac:dyDescent="0.35">
      <c r="A66" s="5">
        <f t="shared" si="29"/>
        <v>17</v>
      </c>
      <c r="B66">
        <f>'PCA2-Peri'!AC38</f>
        <v>8.2798014109597056E+16</v>
      </c>
      <c r="C66">
        <f>'MCA-Peri'!AI31</f>
        <v>0</v>
      </c>
      <c r="D66">
        <f>'ACA2-Peri'!AC31</f>
        <v>0</v>
      </c>
      <c r="E66"/>
      <c r="F66" s="5">
        <f t="shared" si="30"/>
        <v>1.6600995675390509E+17</v>
      </c>
      <c r="G66">
        <f t="shared" si="27"/>
        <v>0</v>
      </c>
      <c r="H66">
        <f t="shared" si="28"/>
        <v>0</v>
      </c>
      <c r="I66"/>
      <c r="J66"/>
      <c r="K66"/>
      <c r="M66"/>
      <c r="N66"/>
      <c r="O66"/>
      <c r="P66"/>
      <c r="Q66">
        <v>16421288614034.299</v>
      </c>
      <c r="R66" s="5">
        <v>8154969293537.2246</v>
      </c>
      <c r="S66">
        <v>16421288614034.299</v>
      </c>
      <c r="T66" s="47">
        <f t="shared" si="25"/>
        <v>3</v>
      </c>
      <c r="U66" s="47">
        <f t="shared" si="26"/>
        <v>4</v>
      </c>
      <c r="V66"/>
      <c r="W66"/>
    </row>
    <row r="67" spans="1:23" x14ac:dyDescent="0.35">
      <c r="A67" s="5">
        <f t="shared" si="29"/>
        <v>18</v>
      </c>
      <c r="B67">
        <f>'PCA2-Peri'!W38</f>
        <v>1.656539682009087E+17</v>
      </c>
      <c r="C67">
        <f>'MCA-Peri'!AC31</f>
        <v>0</v>
      </c>
      <c r="D67">
        <f>'ACA2-Peri'!W31</f>
        <v>0</v>
      </c>
      <c r="E67"/>
      <c r="F67" s="5">
        <f t="shared" si="30"/>
        <v>3.3166392495481382E+17</v>
      </c>
      <c r="G67">
        <f t="shared" si="27"/>
        <v>0</v>
      </c>
      <c r="H67">
        <f t="shared" si="28"/>
        <v>0</v>
      </c>
      <c r="I67"/>
      <c r="J67"/>
      <c r="K67"/>
      <c r="M67"/>
      <c r="N67"/>
      <c r="O67"/>
      <c r="P67"/>
      <c r="Q67">
        <v>16438712370906.316</v>
      </c>
      <c r="R67" s="5">
        <v>8160131888165.9707</v>
      </c>
      <c r="S67">
        <v>16438712370906.316</v>
      </c>
      <c r="T67" s="47">
        <f t="shared" si="25"/>
        <v>2</v>
      </c>
      <c r="U67" s="47">
        <f t="shared" si="26"/>
        <v>3</v>
      </c>
      <c r="V67"/>
      <c r="W67"/>
    </row>
    <row r="68" spans="1:23" x14ac:dyDescent="0.35">
      <c r="A68" s="5">
        <v>19</v>
      </c>
      <c r="B68">
        <f>'PCA2-Peri'!Q38</f>
        <v>4.2435051351437984E+17</v>
      </c>
      <c r="C68">
        <f>'MCA-Peri'!W31</f>
        <v>0</v>
      </c>
      <c r="D68">
        <f>'ACA2-Peri'!Q31</f>
        <v>0</v>
      </c>
      <c r="E68"/>
      <c r="F68" s="5">
        <f t="shared" si="30"/>
        <v>7.5601443846919373E+17</v>
      </c>
      <c r="G68">
        <f t="shared" si="27"/>
        <v>0</v>
      </c>
      <c r="H68">
        <f t="shared" si="28"/>
        <v>0</v>
      </c>
      <c r="I68"/>
      <c r="J68"/>
      <c r="K68"/>
      <c r="M68"/>
      <c r="N68"/>
      <c r="O68"/>
      <c r="P68"/>
      <c r="Q68">
        <v>16456136127778.334</v>
      </c>
      <c r="R68" s="5">
        <v>8165294482794.7168</v>
      </c>
      <c r="S68">
        <v>16456136127778.334</v>
      </c>
      <c r="T68" s="47">
        <f t="shared" si="25"/>
        <v>1</v>
      </c>
      <c r="U68" s="47">
        <f t="shared" si="26"/>
        <v>2</v>
      </c>
      <c r="V68"/>
      <c r="W68"/>
    </row>
    <row r="69" spans="1:23" x14ac:dyDescent="0.35">
      <c r="A69" s="5">
        <v>20</v>
      </c>
      <c r="B69">
        <f>'PCA2-Peri'!K38</f>
        <v>6.6300952079028749E+17</v>
      </c>
      <c r="C69">
        <f>'MCA-Peri'!Q31</f>
        <v>0</v>
      </c>
      <c r="D69">
        <f>'ACA2-Peri'!K31</f>
        <v>0</v>
      </c>
      <c r="E69"/>
      <c r="F69" s="5">
        <f t="shared" si="30"/>
        <v>1.4190239592594811E+18</v>
      </c>
      <c r="G69">
        <f t="shared" si="27"/>
        <v>0</v>
      </c>
      <c r="H69">
        <f t="shared" si="28"/>
        <v>0</v>
      </c>
      <c r="I69"/>
      <c r="J69"/>
      <c r="K69"/>
      <c r="M69"/>
      <c r="N69"/>
      <c r="O69"/>
      <c r="P69"/>
      <c r="Q69" s="5">
        <v>16473559884650.352</v>
      </c>
      <c r="R69" s="5">
        <v>8170457077423.4629</v>
      </c>
      <c r="S69" s="5">
        <v>16473559884650.352</v>
      </c>
      <c r="T69" s="47">
        <f t="shared" si="25"/>
        <v>0</v>
      </c>
      <c r="U69" s="47">
        <f t="shared" si="26"/>
        <v>1</v>
      </c>
      <c r="V69"/>
      <c r="W69"/>
    </row>
    <row r="70" spans="1:23" x14ac:dyDescent="0.35">
      <c r="A70">
        <v>21</v>
      </c>
      <c r="B70">
        <f>'PCA2-Peri'!E38</f>
        <v>3.9788994982934042E+18</v>
      </c>
      <c r="C70">
        <f>'MCA-Peri'!K31</f>
        <v>0</v>
      </c>
      <c r="D70">
        <f>'ACA2-Peri'!E31</f>
        <v>0</v>
      </c>
      <c r="E70"/>
      <c r="F70" s="5">
        <f t="shared" si="30"/>
        <v>5.3979234575528858E+18</v>
      </c>
      <c r="G70">
        <f t="shared" si="27"/>
        <v>0</v>
      </c>
      <c r="H70">
        <f t="shared" si="28"/>
        <v>0</v>
      </c>
      <c r="I70"/>
      <c r="J70"/>
      <c r="K70"/>
      <c r="M70"/>
      <c r="N70"/>
      <c r="O70"/>
      <c r="P70"/>
      <c r="R70" s="5">
        <v>8175619672052.209</v>
      </c>
      <c r="U70" s="47">
        <f t="shared" si="26"/>
        <v>0</v>
      </c>
      <c r="V70"/>
      <c r="W70"/>
    </row>
    <row r="71" spans="1:23" x14ac:dyDescent="0.35">
      <c r="A71">
        <v>22</v>
      </c>
      <c r="C71" s="5">
        <f>'MCA-Peri'!E31</f>
        <v>0</v>
      </c>
      <c r="G71">
        <f t="shared" si="27"/>
        <v>0</v>
      </c>
    </row>
    <row r="72" spans="1:23" x14ac:dyDescent="0.35">
      <c r="A72" s="37"/>
      <c r="K72" s="37"/>
    </row>
    <row r="73" spans="1:23" x14ac:dyDescent="0.35">
      <c r="A73" s="45" t="s">
        <v>5</v>
      </c>
      <c r="G73" s="45" t="s">
        <v>7</v>
      </c>
      <c r="M73" s="45" t="s">
        <v>8</v>
      </c>
      <c r="S73" s="45" t="s">
        <v>6</v>
      </c>
    </row>
    <row r="74" spans="1:23" x14ac:dyDescent="0.35">
      <c r="A74" t="s">
        <v>100</v>
      </c>
      <c r="B74" t="s">
        <v>101</v>
      </c>
      <c r="C74" t="s">
        <v>30</v>
      </c>
      <c r="D74" t="s">
        <v>106</v>
      </c>
      <c r="E74" t="s">
        <v>29</v>
      </c>
      <c r="G74" t="s">
        <v>100</v>
      </c>
      <c r="H74" t="s">
        <v>101</v>
      </c>
      <c r="I74" t="s">
        <v>30</v>
      </c>
      <c r="J74" t="s">
        <v>106</v>
      </c>
      <c r="K74" t="s">
        <v>29</v>
      </c>
      <c r="M74" t="s">
        <v>100</v>
      </c>
      <c r="N74" t="s">
        <v>101</v>
      </c>
      <c r="O74" t="s">
        <v>30</v>
      </c>
      <c r="P74" t="s">
        <v>106</v>
      </c>
      <c r="Q74" t="s">
        <v>29</v>
      </c>
      <c r="S74" t="s">
        <v>100</v>
      </c>
      <c r="T74" t="s">
        <v>101</v>
      </c>
      <c r="U74" t="s">
        <v>30</v>
      </c>
      <c r="V74" t="s">
        <v>106</v>
      </c>
      <c r="W74" t="s">
        <v>29</v>
      </c>
    </row>
    <row r="75" spans="1:23" x14ac:dyDescent="0.35">
      <c r="A75">
        <v>1</v>
      </c>
      <c r="B75">
        <f>$G$4</f>
        <v>1.25E-3</v>
      </c>
      <c r="C75">
        <f>$B$75+A75*$B$44</f>
        <v>1.2501000000000001E-3</v>
      </c>
      <c r="D75">
        <f>((8*$F$4*$B$16)/(3.1415*$B$17*9.81))*(((C75)^4-(B75)^4)-(((C75)^2-(B75)^2)^2/(LN(C75/B75))))^-1</f>
        <v>1.3524460716564038E+16</v>
      </c>
      <c r="E75">
        <f>0.5*((1/D75)+(1/D76)+(1/D77)+(1/D78)+(1/D79)+(1/D80)+(1/D81)+(1/D82)+(1/D83)+(1/D84)+(1/D85)+(1/D86)+(1/D87)+(1/D88)+(1/D89)+(1/D90)+(1/D91)+(1/D92)+(1/D93)+(1/D94))^-1</f>
        <v>337919047350868.19</v>
      </c>
      <c r="G75">
        <v>1</v>
      </c>
      <c r="H75">
        <f>$G$6</f>
        <v>1.65E-3</v>
      </c>
      <c r="I75">
        <f>$H$75+G75*$B$44</f>
        <v>1.6501E-3</v>
      </c>
      <c r="J75">
        <f>((8*$F$6*$B$16)/(3.1415*$B$17*9.81))*(((I75)^4-(H75)^4)-(((I75)^2-(H75)^2)^2/(LN(I75/H75))))^-1</f>
        <v>2296403481865938.5</v>
      </c>
      <c r="K75">
        <f>((1/J75)+(1/J76)+(1/J77)+(1/J78)+(1/J79)+(1/J80)+(1/J81)+(1/J82)+(1/J83)+(1/J84)+(1/J85)+(1/J86)+(1/J87)+(1/J88)+(1/J89)+(1/J90)+(1/J91)+(1/J92)+(1/J93)+(1/J94))^-1</f>
        <v>114693154007421.45</v>
      </c>
      <c r="M75">
        <v>1</v>
      </c>
      <c r="N75">
        <f>$G$7</f>
        <v>1E-3</v>
      </c>
      <c r="O75">
        <f>$N$75+M75*$B$44</f>
        <v>1.0001000000000001E-3</v>
      </c>
      <c r="P75">
        <f>((8*$F$7*$B$16)/(3.1415*$B$17*9.81))*(((O75)^4-(N75)^4)-(((O75)^2-(N75)^2)^2/(LN(O75/N75))))^-1</f>
        <v>1759398262231647</v>
      </c>
      <c r="Q75">
        <f>0.5*((1/P75)+(1/P76)+(1/P77)+(1/P78)+(1/P79)+(1/P80)+(1/P81)+(1/P82)+(1/P83)+(1/P84)+(1/P85)+(1/P86)+(1/P87)+(1/P88)+(1/P89)+(1/P90)+(1/P91)+(1/P92)+(1/P93)+(1/P94))^-1</f>
        <v>43924681611999.938</v>
      </c>
      <c r="S75">
        <v>1</v>
      </c>
      <c r="T75">
        <f>$G$5</f>
        <v>1.8E-3</v>
      </c>
      <c r="U75">
        <f>$T$75+S75*$B$44</f>
        <v>1.8001E-3</v>
      </c>
      <c r="V75">
        <f>((8*$F$5*$B$16)/(3.1415*$B$17*9.81))*(((U75)^4-(T75)^4)-(((U75)^2-(T75)^2)^2/(LN(U75/T75))))^-1</f>
        <v>1.0646358632641756E+16</v>
      </c>
      <c r="W75">
        <f>0.5*((1/V75)+(1/V76)+(1/V77)+(1/V78)+(1/V79)+(1/V80)+(1/V81)+(1/V82)+(1/V83)+(1/V84)+(1/V85)+(1/V86)+(1/V87)+(1/V88)+(1/V89)+(1/V90)+(1/V91)+(1/V92)+(1/V93)+(1/V94))^-1</f>
        <v>266676037402202.94</v>
      </c>
    </row>
    <row r="76" spans="1:23" x14ac:dyDescent="0.35">
      <c r="A76">
        <f>A75+1</f>
        <v>2</v>
      </c>
      <c r="B76">
        <f>C75</f>
        <v>1.2501000000000001E-3</v>
      </c>
      <c r="C76">
        <f t="shared" ref="C76:C94" si="31">$B$75+A76*$B$44</f>
        <v>1.2501999999999999E-3</v>
      </c>
      <c r="D76">
        <f t="shared" ref="D76:D94" si="32">((8*$F$4*$B$16)/(3.1415*$B$17*9.81))*(((C76)^4-(B76)^4)-(((C76)^2-(B76)^2)^2/(LN(C76/B76))))^-1</f>
        <v>1.3528277499964758E+16</v>
      </c>
      <c r="E76"/>
      <c r="G76">
        <f>G75+1</f>
        <v>2</v>
      </c>
      <c r="H76">
        <f>I75</f>
        <v>1.6501E-3</v>
      </c>
      <c r="I76">
        <f t="shared" ref="I76:I94" si="33">$H$75+G76*$B$44</f>
        <v>1.6501999999999999E-3</v>
      </c>
      <c r="J76">
        <f t="shared" ref="J76:J94" si="34">((8*$F$6*$B$16)/(3.1415*$B$17*9.81))*(((I76)^4-(H76)^4)-(((I76)^2-(H76)^2)^2/(LN(I76/H76))))^-1</f>
        <v>2290939497458339</v>
      </c>
      <c r="K76"/>
      <c r="M76">
        <f>M75+1</f>
        <v>2</v>
      </c>
      <c r="N76">
        <f>O75</f>
        <v>1.0001000000000001E-3</v>
      </c>
      <c r="O76">
        <f t="shared" ref="O76:O94" si="35">$N$75+M76*$B$44</f>
        <v>1.0001999999999999E-3</v>
      </c>
      <c r="P76">
        <f t="shared" ref="P76:P94" si="36">((8*$F$7*$B$16)/(3.1415*$B$17*9.81))*(((O76)^4-(N76)^4)-(((O76)^2-(N76)^2)^2/(LN(O76/N76))))^-1</f>
        <v>1758885931290319.8</v>
      </c>
      <c r="Q76"/>
      <c r="S76">
        <f>S75+1</f>
        <v>2</v>
      </c>
      <c r="T76">
        <f>U75</f>
        <v>1.8001E-3</v>
      </c>
      <c r="U76">
        <f t="shared" ref="U76:U94" si="37">$T$75+S76*$B$44</f>
        <v>1.8001999999999998E-3</v>
      </c>
      <c r="V76">
        <f t="shared" ref="V76:V94" si="38">((8*$F$5*$B$16)/(3.1415*$B$17*9.81))*(((U76)^4-(T76)^4)-(((U76)^2-(T76)^2)^2/(LN(U76/T76))))^-1</f>
        <v>1.0695073591896164E+16</v>
      </c>
      <c r="W76"/>
    </row>
    <row r="77" spans="1:23" x14ac:dyDescent="0.35">
      <c r="A77">
        <f t="shared" ref="A77:A91" si="39">A76+1</f>
        <v>3</v>
      </c>
      <c r="B77">
        <f t="shared" ref="B77:B94" si="40">C76</f>
        <v>1.2501999999999999E-3</v>
      </c>
      <c r="C77">
        <f t="shared" si="31"/>
        <v>1.2503E-3</v>
      </c>
      <c r="D77">
        <f t="shared" si="32"/>
        <v>1.3514738858191544E+16</v>
      </c>
      <c r="E77"/>
      <c r="G77">
        <f t="shared" ref="G77:G91" si="41">G76+1</f>
        <v>3</v>
      </c>
      <c r="H77">
        <f t="shared" ref="H77:H94" si="42">I76</f>
        <v>1.6501999999999999E-3</v>
      </c>
      <c r="I77">
        <f t="shared" si="33"/>
        <v>1.6502999999999999E-3</v>
      </c>
      <c r="J77">
        <f t="shared" si="34"/>
        <v>2295023423286672.5</v>
      </c>
      <c r="K77"/>
      <c r="M77">
        <f t="shared" ref="M77:M91" si="43">M76+1</f>
        <v>3</v>
      </c>
      <c r="N77">
        <f t="shared" ref="N77:N94" si="44">O76</f>
        <v>1.0001999999999999E-3</v>
      </c>
      <c r="O77">
        <f t="shared" si="35"/>
        <v>1.0003E-3</v>
      </c>
      <c r="P77">
        <f t="shared" si="36"/>
        <v>1757266706966292.8</v>
      </c>
      <c r="Q77"/>
      <c r="S77">
        <f t="shared" ref="S77:S91" si="45">S76+1</f>
        <v>3</v>
      </c>
      <c r="T77">
        <f t="shared" ref="T77:T94" si="46">U76</f>
        <v>1.8001999999999998E-3</v>
      </c>
      <c r="U77">
        <f t="shared" si="37"/>
        <v>1.8002999999999999E-3</v>
      </c>
      <c r="V77">
        <f t="shared" si="38"/>
        <v>1.0679567321520182E+16</v>
      </c>
      <c r="W77"/>
    </row>
    <row r="78" spans="1:23" x14ac:dyDescent="0.35">
      <c r="A78">
        <f t="shared" si="39"/>
        <v>4</v>
      </c>
      <c r="B78">
        <f t="shared" si="40"/>
        <v>1.2503E-3</v>
      </c>
      <c r="C78">
        <f t="shared" si="31"/>
        <v>1.2504E-3</v>
      </c>
      <c r="D78">
        <f t="shared" si="32"/>
        <v>1.3519589246654954E+16</v>
      </c>
      <c r="E78"/>
      <c r="G78">
        <f t="shared" si="41"/>
        <v>4</v>
      </c>
      <c r="H78">
        <f t="shared" si="42"/>
        <v>1.6502999999999999E-3</v>
      </c>
      <c r="I78">
        <f t="shared" si="33"/>
        <v>1.6504E-3</v>
      </c>
      <c r="J78">
        <f t="shared" si="34"/>
        <v>2297035001144840.5</v>
      </c>
      <c r="K78"/>
      <c r="M78">
        <f t="shared" si="43"/>
        <v>4</v>
      </c>
      <c r="N78">
        <f t="shared" si="44"/>
        <v>1.0003E-3</v>
      </c>
      <c r="O78">
        <f t="shared" si="35"/>
        <v>1.0004E-3</v>
      </c>
      <c r="P78">
        <f t="shared" si="36"/>
        <v>1757688317447794.5</v>
      </c>
      <c r="Q78"/>
      <c r="S78">
        <f t="shared" si="45"/>
        <v>4</v>
      </c>
      <c r="T78">
        <f t="shared" si="46"/>
        <v>1.8002999999999999E-3</v>
      </c>
      <c r="U78">
        <f t="shared" si="37"/>
        <v>1.8004E-3</v>
      </c>
      <c r="V78">
        <f t="shared" si="38"/>
        <v>1.0667064625318272E+16</v>
      </c>
      <c r="W78"/>
    </row>
    <row r="79" spans="1:23" x14ac:dyDescent="0.35">
      <c r="A79">
        <f t="shared" si="39"/>
        <v>5</v>
      </c>
      <c r="B79">
        <f t="shared" si="40"/>
        <v>1.2504E-3</v>
      </c>
      <c r="C79">
        <f t="shared" si="31"/>
        <v>1.2505000000000001E-3</v>
      </c>
      <c r="D79">
        <f t="shared" si="32"/>
        <v>1.3528291907001036E+16</v>
      </c>
      <c r="E79"/>
      <c r="G79">
        <f t="shared" si="41"/>
        <v>5</v>
      </c>
      <c r="H79">
        <f t="shared" si="42"/>
        <v>1.6504E-3</v>
      </c>
      <c r="I79">
        <f t="shared" si="33"/>
        <v>1.6505000000000001E-3</v>
      </c>
      <c r="J79">
        <f t="shared" si="34"/>
        <v>2299854910961667</v>
      </c>
      <c r="K79"/>
      <c r="M79">
        <f t="shared" si="43"/>
        <v>5</v>
      </c>
      <c r="N79">
        <f t="shared" si="44"/>
        <v>1.0004E-3</v>
      </c>
      <c r="O79">
        <f t="shared" si="35"/>
        <v>1.0005000000000001E-3</v>
      </c>
      <c r="P79">
        <f t="shared" si="36"/>
        <v>1757915962079941.3</v>
      </c>
      <c r="Q79"/>
      <c r="S79">
        <f t="shared" si="45"/>
        <v>5</v>
      </c>
      <c r="T79">
        <f t="shared" si="46"/>
        <v>1.8004E-3</v>
      </c>
      <c r="U79">
        <f t="shared" si="37"/>
        <v>1.8005E-3</v>
      </c>
      <c r="V79">
        <f t="shared" si="38"/>
        <v>1.065593914212451E+16</v>
      </c>
      <c r="W79"/>
    </row>
    <row r="80" spans="1:23" x14ac:dyDescent="0.35">
      <c r="A80">
        <f t="shared" si="39"/>
        <v>6</v>
      </c>
      <c r="B80">
        <f t="shared" si="40"/>
        <v>1.2505000000000001E-3</v>
      </c>
      <c r="C80">
        <f t="shared" si="31"/>
        <v>1.2505999999999999E-3</v>
      </c>
      <c r="D80">
        <f t="shared" si="32"/>
        <v>1.351875316538223E+16</v>
      </c>
      <c r="E80"/>
      <c r="G80">
        <f t="shared" si="41"/>
        <v>6</v>
      </c>
      <c r="H80">
        <f t="shared" si="42"/>
        <v>1.6505000000000001E-3</v>
      </c>
      <c r="I80">
        <f t="shared" si="33"/>
        <v>1.6505999999999999E-3</v>
      </c>
      <c r="J80">
        <f t="shared" si="34"/>
        <v>2292150100262547.5</v>
      </c>
      <c r="K80"/>
      <c r="M80">
        <f t="shared" si="43"/>
        <v>6</v>
      </c>
      <c r="N80">
        <f t="shared" si="44"/>
        <v>1.0005000000000001E-3</v>
      </c>
      <c r="O80">
        <f t="shared" si="35"/>
        <v>1.0005999999999999E-3</v>
      </c>
      <c r="P80">
        <f t="shared" si="36"/>
        <v>1757634403411813.5</v>
      </c>
      <c r="Q80"/>
      <c r="S80">
        <f t="shared" si="45"/>
        <v>6</v>
      </c>
      <c r="T80">
        <f t="shared" si="46"/>
        <v>1.8005E-3</v>
      </c>
      <c r="U80">
        <f t="shared" si="37"/>
        <v>1.8005999999999999E-3</v>
      </c>
      <c r="V80">
        <f t="shared" si="38"/>
        <v>1.0670542159566904E+16</v>
      </c>
      <c r="W80"/>
    </row>
    <row r="81" spans="1:23" x14ac:dyDescent="0.35">
      <c r="A81">
        <f t="shared" si="39"/>
        <v>7</v>
      </c>
      <c r="B81">
        <f t="shared" si="40"/>
        <v>1.2505999999999999E-3</v>
      </c>
      <c r="C81">
        <f t="shared" si="31"/>
        <v>1.2507E-3</v>
      </c>
      <c r="D81">
        <f t="shared" si="32"/>
        <v>1.351618561965382E+16</v>
      </c>
      <c r="E81"/>
      <c r="G81">
        <f t="shared" si="41"/>
        <v>7</v>
      </c>
      <c r="H81">
        <f t="shared" si="42"/>
        <v>1.6505999999999999E-3</v>
      </c>
      <c r="I81">
        <f t="shared" si="33"/>
        <v>1.6507E-3</v>
      </c>
      <c r="J81">
        <f t="shared" si="34"/>
        <v>2298140274267624.5</v>
      </c>
      <c r="K81"/>
      <c r="M81">
        <f t="shared" si="43"/>
        <v>7</v>
      </c>
      <c r="N81">
        <f t="shared" si="44"/>
        <v>1.0005999999999999E-3</v>
      </c>
      <c r="O81">
        <f t="shared" si="35"/>
        <v>1.0007E-3</v>
      </c>
      <c r="P81">
        <f t="shared" si="36"/>
        <v>1757215415735838.3</v>
      </c>
      <c r="Q81"/>
      <c r="S81">
        <f t="shared" si="45"/>
        <v>7</v>
      </c>
      <c r="T81">
        <f t="shared" si="46"/>
        <v>1.8005999999999999E-3</v>
      </c>
      <c r="U81">
        <f t="shared" si="37"/>
        <v>1.8006999999999999E-3</v>
      </c>
      <c r="V81">
        <f t="shared" si="38"/>
        <v>1.0678057092944892E+16</v>
      </c>
      <c r="W81"/>
    </row>
    <row r="82" spans="1:23" x14ac:dyDescent="0.35">
      <c r="A82">
        <f t="shared" si="39"/>
        <v>8</v>
      </c>
      <c r="B82">
        <f t="shared" si="40"/>
        <v>1.2507E-3</v>
      </c>
      <c r="C82">
        <f t="shared" si="31"/>
        <v>1.2508E-3</v>
      </c>
      <c r="D82">
        <f t="shared" si="32"/>
        <v>1.3516374176815448E+16</v>
      </c>
      <c r="E82"/>
      <c r="G82">
        <f t="shared" si="41"/>
        <v>8</v>
      </c>
      <c r="H82">
        <f t="shared" si="42"/>
        <v>1.6507E-3</v>
      </c>
      <c r="I82">
        <f t="shared" si="33"/>
        <v>1.6508E-3</v>
      </c>
      <c r="J82">
        <f t="shared" si="34"/>
        <v>2291689822073782</v>
      </c>
      <c r="K82"/>
      <c r="M82">
        <f t="shared" si="43"/>
        <v>8</v>
      </c>
      <c r="N82">
        <f t="shared" si="44"/>
        <v>1.0007E-3</v>
      </c>
      <c r="O82">
        <f t="shared" si="35"/>
        <v>1.0008E-3</v>
      </c>
      <c r="P82">
        <f t="shared" si="36"/>
        <v>1758054110826429.8</v>
      </c>
      <c r="Q82"/>
      <c r="S82">
        <f t="shared" si="45"/>
        <v>8</v>
      </c>
      <c r="T82">
        <f t="shared" si="46"/>
        <v>1.8006999999999999E-3</v>
      </c>
      <c r="U82">
        <f t="shared" si="37"/>
        <v>1.8008E-3</v>
      </c>
      <c r="V82">
        <f t="shared" si="38"/>
        <v>1.065247286550271E+16</v>
      </c>
      <c r="W82"/>
    </row>
    <row r="83" spans="1:23" x14ac:dyDescent="0.35">
      <c r="A83">
        <f t="shared" si="39"/>
        <v>9</v>
      </c>
      <c r="B83">
        <f t="shared" si="40"/>
        <v>1.2508E-3</v>
      </c>
      <c r="C83">
        <f t="shared" si="31"/>
        <v>1.2509000000000001E-3</v>
      </c>
      <c r="D83">
        <f t="shared" si="32"/>
        <v>1.352568313304283E+16</v>
      </c>
      <c r="E83"/>
      <c r="G83">
        <f t="shared" si="41"/>
        <v>9</v>
      </c>
      <c r="H83">
        <f t="shared" si="42"/>
        <v>1.6508E-3</v>
      </c>
      <c r="I83">
        <f t="shared" si="33"/>
        <v>1.6509000000000001E-3</v>
      </c>
      <c r="J83">
        <f t="shared" si="34"/>
        <v>2296553400210286.5</v>
      </c>
      <c r="K83"/>
      <c r="M83">
        <f t="shared" si="43"/>
        <v>9</v>
      </c>
      <c r="N83">
        <f t="shared" si="44"/>
        <v>1.0008E-3</v>
      </c>
      <c r="O83">
        <f t="shared" si="35"/>
        <v>1.0009000000000001E-3</v>
      </c>
      <c r="P83">
        <f t="shared" si="36"/>
        <v>1757651616569904.3</v>
      </c>
      <c r="Q83"/>
      <c r="S83">
        <f t="shared" si="45"/>
        <v>9</v>
      </c>
      <c r="T83">
        <f t="shared" si="46"/>
        <v>1.8008E-3</v>
      </c>
      <c r="U83">
        <f t="shared" si="37"/>
        <v>1.8009E-3</v>
      </c>
      <c r="V83">
        <f t="shared" si="38"/>
        <v>1.0668254514194298E+16</v>
      </c>
      <c r="W83"/>
    </row>
    <row r="84" spans="1:23" x14ac:dyDescent="0.35">
      <c r="A84">
        <f t="shared" si="39"/>
        <v>10</v>
      </c>
      <c r="B84">
        <f t="shared" si="40"/>
        <v>1.2509000000000001E-3</v>
      </c>
      <c r="C84">
        <f t="shared" si="31"/>
        <v>1.2509999999999999E-3</v>
      </c>
      <c r="D84">
        <f t="shared" si="32"/>
        <v>1.3523540849879184E+16</v>
      </c>
      <c r="E84"/>
      <c r="G84">
        <f t="shared" si="41"/>
        <v>10</v>
      </c>
      <c r="H84">
        <f t="shared" si="42"/>
        <v>1.6509000000000001E-3</v>
      </c>
      <c r="I84">
        <f t="shared" si="33"/>
        <v>1.6509999999999999E-3</v>
      </c>
      <c r="J84">
        <f t="shared" si="34"/>
        <v>2291044841258605</v>
      </c>
      <c r="K84"/>
      <c r="M84">
        <f t="shared" si="43"/>
        <v>10</v>
      </c>
      <c r="N84">
        <f t="shared" si="44"/>
        <v>1.0009000000000001E-3</v>
      </c>
      <c r="O84">
        <f t="shared" si="35"/>
        <v>1.0009999999999999E-3</v>
      </c>
      <c r="P84">
        <f t="shared" si="36"/>
        <v>1757193147184444</v>
      </c>
      <c r="Q84"/>
      <c r="S84">
        <f t="shared" si="45"/>
        <v>10</v>
      </c>
      <c r="T84">
        <f t="shared" si="46"/>
        <v>1.8009E-3</v>
      </c>
      <c r="U84">
        <f t="shared" si="37"/>
        <v>1.8009999999999999E-3</v>
      </c>
      <c r="V84">
        <f t="shared" si="38"/>
        <v>1.0666600307705712E+16</v>
      </c>
      <c r="W84"/>
    </row>
    <row r="85" spans="1:23" x14ac:dyDescent="0.35">
      <c r="A85">
        <f t="shared" si="39"/>
        <v>11</v>
      </c>
      <c r="B85">
        <f t="shared" si="40"/>
        <v>1.2509999999999999E-3</v>
      </c>
      <c r="C85">
        <f t="shared" si="31"/>
        <v>1.2511E-3</v>
      </c>
      <c r="D85">
        <f t="shared" si="32"/>
        <v>1.350859178008256E+16</v>
      </c>
      <c r="E85"/>
      <c r="G85">
        <f t="shared" si="41"/>
        <v>11</v>
      </c>
      <c r="H85">
        <f t="shared" si="42"/>
        <v>1.6509999999999999E-3</v>
      </c>
      <c r="I85">
        <f t="shared" si="33"/>
        <v>1.6511E-3</v>
      </c>
      <c r="J85">
        <f t="shared" si="34"/>
        <v>2292379487908320.5</v>
      </c>
      <c r="K85"/>
      <c r="M85">
        <f t="shared" si="43"/>
        <v>11</v>
      </c>
      <c r="N85">
        <f t="shared" si="44"/>
        <v>1.0009999999999999E-3</v>
      </c>
      <c r="O85">
        <f t="shared" si="35"/>
        <v>1.0011E-3</v>
      </c>
      <c r="P85">
        <f t="shared" si="36"/>
        <v>1756621694280461.8</v>
      </c>
      <c r="Q85"/>
      <c r="S85">
        <f t="shared" si="45"/>
        <v>11</v>
      </c>
      <c r="T85">
        <f t="shared" si="46"/>
        <v>1.8009999999999999E-3</v>
      </c>
      <c r="U85">
        <f t="shared" si="37"/>
        <v>1.8010999999999999E-3</v>
      </c>
      <c r="V85">
        <f t="shared" si="38"/>
        <v>1.06878882569456E+16</v>
      </c>
      <c r="W85"/>
    </row>
    <row r="86" spans="1:23" x14ac:dyDescent="0.35">
      <c r="A86">
        <f t="shared" si="39"/>
        <v>12</v>
      </c>
      <c r="B86">
        <f t="shared" si="40"/>
        <v>1.2511E-3</v>
      </c>
      <c r="C86">
        <f t="shared" si="31"/>
        <v>1.2512000000000001E-3</v>
      </c>
      <c r="D86">
        <f t="shared" si="32"/>
        <v>1.351760072573978E+16</v>
      </c>
      <c r="E86"/>
      <c r="G86">
        <f t="shared" si="41"/>
        <v>12</v>
      </c>
      <c r="H86">
        <f t="shared" si="42"/>
        <v>1.6511E-3</v>
      </c>
      <c r="I86">
        <f t="shared" si="33"/>
        <v>1.6512E-3</v>
      </c>
      <c r="J86">
        <f t="shared" si="34"/>
        <v>2293962651842762</v>
      </c>
      <c r="K86"/>
      <c r="M86">
        <f t="shared" si="43"/>
        <v>12</v>
      </c>
      <c r="N86">
        <f t="shared" si="44"/>
        <v>1.0011E-3</v>
      </c>
      <c r="O86">
        <f t="shared" si="35"/>
        <v>1.0012E-3</v>
      </c>
      <c r="P86">
        <f t="shared" si="36"/>
        <v>1756388741642600.3</v>
      </c>
      <c r="Q86"/>
      <c r="S86">
        <f t="shared" si="45"/>
        <v>12</v>
      </c>
      <c r="T86">
        <f t="shared" si="46"/>
        <v>1.8010999999999999E-3</v>
      </c>
      <c r="U86">
        <f t="shared" si="37"/>
        <v>1.8012E-3</v>
      </c>
      <c r="V86">
        <f t="shared" si="38"/>
        <v>1.065287653659144E+16</v>
      </c>
      <c r="W86"/>
    </row>
    <row r="87" spans="1:23" x14ac:dyDescent="0.35">
      <c r="A87">
        <f t="shared" si="39"/>
        <v>13</v>
      </c>
      <c r="B87">
        <f t="shared" si="40"/>
        <v>1.2512000000000001E-3</v>
      </c>
      <c r="C87">
        <f t="shared" si="31"/>
        <v>1.2513000000000001E-3</v>
      </c>
      <c r="D87">
        <f t="shared" si="32"/>
        <v>1.351600585607214E+16</v>
      </c>
      <c r="E87"/>
      <c r="G87">
        <f t="shared" si="41"/>
        <v>13</v>
      </c>
      <c r="H87">
        <f t="shared" si="42"/>
        <v>1.6512E-3</v>
      </c>
      <c r="I87">
        <f t="shared" si="33"/>
        <v>1.6513000000000001E-3</v>
      </c>
      <c r="J87">
        <f t="shared" si="34"/>
        <v>2296287349790619</v>
      </c>
      <c r="K87"/>
      <c r="M87">
        <f t="shared" si="43"/>
        <v>13</v>
      </c>
      <c r="N87">
        <f t="shared" si="44"/>
        <v>1.0012E-3</v>
      </c>
      <c r="O87">
        <f t="shared" si="35"/>
        <v>1.0013000000000001E-3</v>
      </c>
      <c r="P87">
        <f t="shared" si="36"/>
        <v>1756445173953670</v>
      </c>
      <c r="Q87"/>
      <c r="S87">
        <f t="shared" si="45"/>
        <v>13</v>
      </c>
      <c r="T87">
        <f t="shared" si="46"/>
        <v>1.8012E-3</v>
      </c>
      <c r="U87">
        <f t="shared" si="37"/>
        <v>1.8013E-3</v>
      </c>
      <c r="V87">
        <f t="shared" si="38"/>
        <v>1.0682177863057626E+16</v>
      </c>
      <c r="W87"/>
    </row>
    <row r="88" spans="1:23" x14ac:dyDescent="0.35">
      <c r="A88">
        <f t="shared" si="39"/>
        <v>14</v>
      </c>
      <c r="B88">
        <f t="shared" si="40"/>
        <v>1.2513000000000001E-3</v>
      </c>
      <c r="C88">
        <f t="shared" si="31"/>
        <v>1.2514E-3</v>
      </c>
      <c r="D88">
        <f t="shared" si="32"/>
        <v>1.3509850441698592E+16</v>
      </c>
      <c r="E88"/>
      <c r="G88">
        <f t="shared" si="41"/>
        <v>14</v>
      </c>
      <c r="H88">
        <f t="shared" si="42"/>
        <v>1.6513000000000001E-3</v>
      </c>
      <c r="I88">
        <f t="shared" si="33"/>
        <v>1.6513999999999999E-3</v>
      </c>
      <c r="J88">
        <f t="shared" si="34"/>
        <v>2290673516736524</v>
      </c>
      <c r="K88"/>
      <c r="M88">
        <f t="shared" si="43"/>
        <v>14</v>
      </c>
      <c r="N88">
        <f t="shared" si="44"/>
        <v>1.0013000000000001E-3</v>
      </c>
      <c r="O88">
        <f t="shared" si="35"/>
        <v>1.0013999999999999E-3</v>
      </c>
      <c r="P88">
        <f t="shared" si="36"/>
        <v>1756541117205326</v>
      </c>
      <c r="Q88"/>
      <c r="S88">
        <f t="shared" si="45"/>
        <v>14</v>
      </c>
      <c r="T88">
        <f t="shared" si="46"/>
        <v>1.8013E-3</v>
      </c>
      <c r="U88">
        <f t="shared" si="37"/>
        <v>1.8013999999999999E-3</v>
      </c>
      <c r="V88">
        <f t="shared" si="38"/>
        <v>1.0672318609816256E+16</v>
      </c>
      <c r="W88"/>
    </row>
    <row r="89" spans="1:23" x14ac:dyDescent="0.35">
      <c r="A89">
        <f t="shared" si="39"/>
        <v>15</v>
      </c>
      <c r="B89">
        <f t="shared" si="40"/>
        <v>1.2514E-3</v>
      </c>
      <c r="C89">
        <f t="shared" si="31"/>
        <v>1.2515E-3</v>
      </c>
      <c r="D89">
        <f t="shared" si="32"/>
        <v>1.3510661472853182E+16</v>
      </c>
      <c r="E89"/>
      <c r="G89">
        <f t="shared" si="41"/>
        <v>15</v>
      </c>
      <c r="H89">
        <f t="shared" si="42"/>
        <v>1.6513999999999999E-3</v>
      </c>
      <c r="I89">
        <f t="shared" si="33"/>
        <v>1.6515E-3</v>
      </c>
      <c r="J89">
        <f t="shared" si="34"/>
        <v>2290136825418851.5</v>
      </c>
      <c r="K89"/>
      <c r="M89">
        <f t="shared" si="43"/>
        <v>15</v>
      </c>
      <c r="N89">
        <f t="shared" si="44"/>
        <v>1.0013999999999999E-3</v>
      </c>
      <c r="O89">
        <f t="shared" si="35"/>
        <v>1.0015E-3</v>
      </c>
      <c r="P89">
        <f t="shared" si="36"/>
        <v>1756206237135670.3</v>
      </c>
      <c r="Q89"/>
      <c r="S89">
        <f t="shared" si="45"/>
        <v>15</v>
      </c>
      <c r="T89">
        <f t="shared" si="46"/>
        <v>1.8013999999999999E-3</v>
      </c>
      <c r="U89">
        <f t="shared" si="37"/>
        <v>1.8014999999999999E-3</v>
      </c>
      <c r="V89">
        <f t="shared" si="38"/>
        <v>1.0645220738937476E+16</v>
      </c>
      <c r="W89"/>
    </row>
    <row r="90" spans="1:23" x14ac:dyDescent="0.35">
      <c r="A90">
        <f t="shared" si="39"/>
        <v>16</v>
      </c>
      <c r="B90">
        <f t="shared" si="40"/>
        <v>1.2515E-3</v>
      </c>
      <c r="C90">
        <f t="shared" si="31"/>
        <v>1.2516000000000001E-3</v>
      </c>
      <c r="D90">
        <f t="shared" si="32"/>
        <v>1.3519996134318454E+16</v>
      </c>
      <c r="E90"/>
      <c r="G90">
        <f t="shared" si="41"/>
        <v>16</v>
      </c>
      <c r="H90">
        <f t="shared" si="42"/>
        <v>1.6515E-3</v>
      </c>
      <c r="I90">
        <f t="shared" si="33"/>
        <v>1.6516E-3</v>
      </c>
      <c r="J90">
        <f t="shared" si="34"/>
        <v>2294942391803985</v>
      </c>
      <c r="K90"/>
      <c r="M90">
        <f t="shared" si="43"/>
        <v>16</v>
      </c>
      <c r="N90">
        <f t="shared" si="44"/>
        <v>1.0015E-3</v>
      </c>
      <c r="O90">
        <f t="shared" si="35"/>
        <v>1.0016000000000001E-3</v>
      </c>
      <c r="P90">
        <f t="shared" si="36"/>
        <v>1756527558665686.8</v>
      </c>
      <c r="Q90"/>
      <c r="S90">
        <f t="shared" si="45"/>
        <v>16</v>
      </c>
      <c r="T90">
        <f t="shared" si="46"/>
        <v>1.8014999999999999E-3</v>
      </c>
      <c r="U90">
        <f t="shared" si="37"/>
        <v>1.8016E-3</v>
      </c>
      <c r="V90">
        <f t="shared" si="38"/>
        <v>1.0667760301312736E+16</v>
      </c>
      <c r="W90"/>
    </row>
    <row r="91" spans="1:23" x14ac:dyDescent="0.35">
      <c r="A91">
        <f t="shared" si="39"/>
        <v>17</v>
      </c>
      <c r="B91">
        <f t="shared" si="40"/>
        <v>1.2516000000000001E-3</v>
      </c>
      <c r="C91">
        <f t="shared" si="31"/>
        <v>1.2517000000000001E-3</v>
      </c>
      <c r="D91">
        <f t="shared" si="32"/>
        <v>1.3515516124439724E+16</v>
      </c>
      <c r="E91"/>
      <c r="G91">
        <f t="shared" si="41"/>
        <v>17</v>
      </c>
      <c r="H91">
        <f t="shared" si="42"/>
        <v>1.6516E-3</v>
      </c>
      <c r="I91">
        <f t="shared" si="33"/>
        <v>1.6517000000000001E-3</v>
      </c>
      <c r="J91">
        <f t="shared" si="34"/>
        <v>2291253097974601.5</v>
      </c>
      <c r="K91"/>
      <c r="M91">
        <f t="shared" si="43"/>
        <v>17</v>
      </c>
      <c r="N91">
        <f t="shared" si="44"/>
        <v>1.0016000000000001E-3</v>
      </c>
      <c r="O91">
        <f t="shared" si="35"/>
        <v>1.0017000000000001E-3</v>
      </c>
      <c r="P91">
        <f t="shared" si="36"/>
        <v>1755333412319204.5</v>
      </c>
      <c r="Q91"/>
      <c r="S91">
        <f t="shared" si="45"/>
        <v>17</v>
      </c>
      <c r="T91">
        <f t="shared" si="46"/>
        <v>1.8016E-3</v>
      </c>
      <c r="U91">
        <f t="shared" si="37"/>
        <v>1.8017E-3</v>
      </c>
      <c r="V91">
        <f t="shared" si="38"/>
        <v>1.0669926765397946E+16</v>
      </c>
      <c r="W91"/>
    </row>
    <row r="92" spans="1:23" x14ac:dyDescent="0.35">
      <c r="A92">
        <f>A91+1</f>
        <v>18</v>
      </c>
      <c r="B92">
        <f t="shared" si="40"/>
        <v>1.2517000000000001E-3</v>
      </c>
      <c r="C92">
        <f t="shared" si="31"/>
        <v>1.2518E-3</v>
      </c>
      <c r="D92">
        <f t="shared" si="32"/>
        <v>1.3510456311087132E+16</v>
      </c>
      <c r="E92"/>
      <c r="G92">
        <f>G91+1</f>
        <v>18</v>
      </c>
      <c r="H92">
        <f t="shared" si="42"/>
        <v>1.6517000000000001E-3</v>
      </c>
      <c r="I92">
        <f t="shared" si="33"/>
        <v>1.6517999999999999E-3</v>
      </c>
      <c r="J92">
        <f t="shared" si="34"/>
        <v>2292436534182368.5</v>
      </c>
      <c r="K92"/>
      <c r="M92">
        <f>M91+1</f>
        <v>18</v>
      </c>
      <c r="N92">
        <f t="shared" si="44"/>
        <v>1.0017000000000001E-3</v>
      </c>
      <c r="O92">
        <f t="shared" si="35"/>
        <v>1.0018E-3</v>
      </c>
      <c r="P92">
        <f t="shared" si="36"/>
        <v>1755471349824704.8</v>
      </c>
      <c r="Q92"/>
      <c r="S92">
        <f>S91+1</f>
        <v>18</v>
      </c>
      <c r="T92">
        <f t="shared" si="46"/>
        <v>1.8017E-3</v>
      </c>
      <c r="U92">
        <f t="shared" si="37"/>
        <v>1.8017999999999999E-3</v>
      </c>
      <c r="V92">
        <f t="shared" si="38"/>
        <v>1.0663009782116688E+16</v>
      </c>
      <c r="W92"/>
    </row>
    <row r="93" spans="1:23" x14ac:dyDescent="0.35">
      <c r="A93">
        <f t="shared" ref="A93" si="47">A92+1</f>
        <v>19</v>
      </c>
      <c r="B93">
        <f t="shared" si="40"/>
        <v>1.2518E-3</v>
      </c>
      <c r="C93">
        <f t="shared" si="31"/>
        <v>1.2519E-3</v>
      </c>
      <c r="D93">
        <f t="shared" si="32"/>
        <v>1.3502687104541856E+16</v>
      </c>
      <c r="E93"/>
      <c r="G93">
        <f t="shared" ref="G93" si="48">G92+1</f>
        <v>19</v>
      </c>
      <c r="H93">
        <f t="shared" si="42"/>
        <v>1.6517999999999999E-3</v>
      </c>
      <c r="I93">
        <f t="shared" si="33"/>
        <v>1.6519E-3</v>
      </c>
      <c r="J93">
        <f t="shared" si="34"/>
        <v>2291146095208610.5</v>
      </c>
      <c r="K93"/>
      <c r="M93">
        <f t="shared" ref="M93" si="49">M92+1</f>
        <v>19</v>
      </c>
      <c r="N93">
        <f t="shared" si="44"/>
        <v>1.0018E-3</v>
      </c>
      <c r="O93">
        <f t="shared" si="35"/>
        <v>1.0019E-3</v>
      </c>
      <c r="P93">
        <f t="shared" si="36"/>
        <v>1755298817961011.3</v>
      </c>
      <c r="Q93"/>
      <c r="S93">
        <f t="shared" ref="S93" si="50">S92+1</f>
        <v>19</v>
      </c>
      <c r="T93">
        <f t="shared" si="46"/>
        <v>1.8017999999999999E-3</v>
      </c>
      <c r="U93">
        <f t="shared" si="37"/>
        <v>1.8018999999999999E-3</v>
      </c>
      <c r="V93">
        <f t="shared" si="38"/>
        <v>1.068177899653577E+16</v>
      </c>
      <c r="W93"/>
    </row>
    <row r="94" spans="1:23" x14ac:dyDescent="0.35">
      <c r="A94">
        <f>A93+1</f>
        <v>20</v>
      </c>
      <c r="B94">
        <f t="shared" si="40"/>
        <v>1.2519E-3</v>
      </c>
      <c r="C94">
        <f t="shared" si="31"/>
        <v>1.2520000000000001E-3</v>
      </c>
      <c r="D94">
        <f t="shared" si="32"/>
        <v>1.3508046725479686E+16</v>
      </c>
      <c r="E94"/>
      <c r="G94">
        <f>G93+1</f>
        <v>20</v>
      </c>
      <c r="H94">
        <f t="shared" si="42"/>
        <v>1.6519E-3</v>
      </c>
      <c r="I94">
        <f t="shared" si="33"/>
        <v>1.652E-3</v>
      </c>
      <c r="J94">
        <f t="shared" si="34"/>
        <v>2295276426410373</v>
      </c>
      <c r="K94"/>
      <c r="M94">
        <f>M93+1</f>
        <v>20</v>
      </c>
      <c r="N94">
        <f t="shared" si="44"/>
        <v>1.0019E-3</v>
      </c>
      <c r="O94">
        <f t="shared" si="35"/>
        <v>1.0020000000000001E-3</v>
      </c>
      <c r="P94">
        <f t="shared" si="36"/>
        <v>1756020723280468</v>
      </c>
      <c r="Q94"/>
      <c r="S94">
        <f>S93+1</f>
        <v>20</v>
      </c>
      <c r="T94">
        <f t="shared" si="46"/>
        <v>1.8018999999999999E-3</v>
      </c>
      <c r="U94">
        <f t="shared" si="37"/>
        <v>1.802E-3</v>
      </c>
      <c r="V94">
        <f t="shared" si="38"/>
        <v>1.0638342711716092E+16</v>
      </c>
      <c r="W94"/>
    </row>
    <row r="95" spans="1:23" x14ac:dyDescent="0.35">
      <c r="A95"/>
      <c r="B95"/>
      <c r="C95"/>
      <c r="D95"/>
      <c r="E95"/>
      <c r="G95"/>
      <c r="H95"/>
      <c r="I95"/>
      <c r="J95"/>
      <c r="K95"/>
      <c r="M95"/>
      <c r="N95"/>
      <c r="O95"/>
      <c r="P95"/>
      <c r="Q95"/>
      <c r="S95"/>
      <c r="T95"/>
      <c r="U95"/>
      <c r="V95"/>
      <c r="W95"/>
    </row>
    <row r="96" spans="1:23" x14ac:dyDescent="0.35">
      <c r="A96"/>
      <c r="B96"/>
      <c r="C96"/>
      <c r="D96"/>
      <c r="E96"/>
      <c r="G96"/>
      <c r="H96"/>
      <c r="I96"/>
      <c r="J96"/>
      <c r="K96"/>
      <c r="M96"/>
      <c r="N96"/>
      <c r="O96"/>
      <c r="P96"/>
      <c r="Q96"/>
      <c r="S96"/>
      <c r="T96"/>
      <c r="U96"/>
      <c r="V96"/>
      <c r="W96"/>
    </row>
    <row r="97" spans="1:23" x14ac:dyDescent="0.35">
      <c r="A97"/>
      <c r="B97"/>
      <c r="C97"/>
      <c r="D97"/>
      <c r="E97"/>
      <c r="G97"/>
      <c r="H97"/>
      <c r="I97"/>
      <c r="J97"/>
      <c r="K97"/>
      <c r="M97"/>
      <c r="N97"/>
      <c r="O97"/>
      <c r="P97"/>
      <c r="Q97"/>
      <c r="S97"/>
      <c r="T97"/>
      <c r="U97"/>
      <c r="V97"/>
      <c r="W9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Q57"/>
  <sheetViews>
    <sheetView zoomScaleNormal="100" workbookViewId="0">
      <selection activeCell="N9" sqref="N9"/>
    </sheetView>
  </sheetViews>
  <sheetFormatPr defaultRowHeight="14.5" x14ac:dyDescent="0.35"/>
  <cols>
    <col min="2" max="2" width="9.90625" customWidth="1"/>
    <col min="3" max="3" width="10.81640625" customWidth="1"/>
    <col min="4" max="4" width="14.1796875" customWidth="1"/>
    <col min="5" max="5" width="13.81640625" customWidth="1"/>
    <col min="6" max="6" width="12.6328125" bestFit="1" customWidth="1"/>
    <col min="7" max="7" width="12.453125" bestFit="1" customWidth="1"/>
    <col min="8" max="8" width="11.81640625" bestFit="1" customWidth="1"/>
    <col min="9" max="9" width="12.1796875" customWidth="1"/>
    <col min="10" max="10" width="12.81640625" customWidth="1"/>
    <col min="11" max="11" width="14" customWidth="1"/>
    <col min="12" max="12" width="8.81640625" customWidth="1"/>
    <col min="13" max="13" width="10.1796875" customWidth="1"/>
    <col min="14" max="14" width="12" bestFit="1" customWidth="1"/>
    <col min="15" max="15" width="10" customWidth="1"/>
    <col min="16" max="16" width="13.36328125" customWidth="1"/>
    <col min="17" max="17" width="13.1796875" customWidth="1"/>
    <col min="18" max="18" width="9.81640625" bestFit="1" customWidth="1"/>
    <col min="20" max="20" width="9.1796875" customWidth="1"/>
    <col min="21" max="21" width="11.36328125" customWidth="1"/>
    <col min="22" max="23" width="11.81640625" bestFit="1" customWidth="1"/>
    <col min="28" max="29" width="11.81640625" bestFit="1" customWidth="1"/>
    <col min="34" max="35" width="11.81640625" bestFit="1" customWidth="1"/>
    <col min="40" max="40" width="11.81640625" bestFit="1" customWidth="1"/>
    <col min="41" max="41" width="9.1796875" customWidth="1"/>
    <col min="44" max="44" width="10.453125" customWidth="1"/>
    <col min="45" max="45" width="11.81640625" customWidth="1"/>
    <col min="46" max="46" width="11.81640625" bestFit="1" customWidth="1"/>
    <col min="47" max="47" width="9.1796875" customWidth="1"/>
    <col min="51" max="51" width="10.453125" customWidth="1"/>
    <col min="52" max="53" width="11.81640625" bestFit="1" customWidth="1"/>
    <col min="56" max="56" width="10.90625" customWidth="1"/>
    <col min="57" max="57" width="11.1796875" customWidth="1"/>
    <col min="58" max="59" width="11.81640625" bestFit="1" customWidth="1"/>
    <col min="62" max="62" width="11.81640625" bestFit="1" customWidth="1"/>
    <col min="63" max="63" width="11.54296875" customWidth="1"/>
    <col min="64" max="65" width="11.81640625" bestFit="1" customWidth="1"/>
    <col min="68" max="71" width="11.81640625" bestFit="1" customWidth="1"/>
    <col min="74" max="74" width="11.81640625" bestFit="1" customWidth="1"/>
    <col min="75" max="75" width="9.81640625" bestFit="1" customWidth="1"/>
    <col min="76" max="77" width="11.81640625" bestFit="1" customWidth="1"/>
    <col min="80" max="83" width="11.81640625" bestFit="1" customWidth="1"/>
    <col min="86" max="89" width="11.81640625" bestFit="1" customWidth="1"/>
    <col min="92" max="92" width="11.81640625" bestFit="1" customWidth="1"/>
    <col min="93" max="93" width="10.81640625" bestFit="1" customWidth="1"/>
    <col min="94" max="95" width="11.81640625" bestFit="1" customWidth="1"/>
    <col min="98" max="101" width="11.81640625" bestFit="1" customWidth="1"/>
    <col min="104" max="107" width="11.81640625" bestFit="1" customWidth="1"/>
    <col min="110" max="113" width="11.81640625" bestFit="1" customWidth="1"/>
    <col min="116" max="119" width="11.81640625" bestFit="1" customWidth="1"/>
    <col min="122" max="125" width="11.81640625" bestFit="1" customWidth="1"/>
    <col min="128" max="128" width="11.81640625" bestFit="1" customWidth="1"/>
    <col min="129" max="129" width="10.81640625" bestFit="1" customWidth="1"/>
    <col min="130" max="130" width="12.08984375" customWidth="1"/>
    <col min="131" max="131" width="11.81640625" bestFit="1" customWidth="1"/>
    <col min="134" max="136" width="11.81640625" bestFit="1" customWidth="1"/>
    <col min="137" max="137" width="9.54296875" customWidth="1"/>
    <col min="140" max="140" width="10.81640625" bestFit="1" customWidth="1"/>
    <col min="141" max="142" width="11.81640625" bestFit="1" customWidth="1"/>
    <col min="143" max="143" width="8.1796875" customWidth="1"/>
    <col min="146" max="149" width="11.81640625" bestFit="1" customWidth="1"/>
    <col min="152" max="154" width="11.81640625" bestFit="1" customWidth="1"/>
    <col min="155" max="155" width="8.81640625" customWidth="1"/>
    <col min="156" max="156" width="11.08984375" customWidth="1"/>
    <col min="158" max="161" width="11.81640625" bestFit="1" customWidth="1"/>
    <col min="164" max="165" width="11.81640625" bestFit="1" customWidth="1"/>
    <col min="166" max="166" width="10.453125" customWidth="1"/>
    <col min="167" max="167" width="10" customWidth="1"/>
    <col min="170" max="172" width="11.81640625" bestFit="1" customWidth="1"/>
    <col min="173" max="173" width="10.08984375" customWidth="1"/>
  </cols>
  <sheetData>
    <row r="1" spans="1:20" x14ac:dyDescent="0.35">
      <c r="B1" t="s">
        <v>28</v>
      </c>
      <c r="C1">
        <v>1E-3</v>
      </c>
      <c r="E1" s="1" t="s">
        <v>33</v>
      </c>
      <c r="F1" s="2">
        <f>F2*7*10^-7</f>
        <v>6.9509999999999993E-4</v>
      </c>
      <c r="G1" t="s">
        <v>53</v>
      </c>
      <c r="H1" s="2">
        <f>8.9/10000</f>
        <v>8.9000000000000006E-4</v>
      </c>
      <c r="I1" t="s">
        <v>168</v>
      </c>
      <c r="J1">
        <f>2*(0.5^(27/3.67))*C1*1000000</f>
        <v>12.200226744319544</v>
      </c>
    </row>
    <row r="2" spans="1:20" ht="15" thickBot="1" x14ac:dyDescent="0.4">
      <c r="B2" t="s">
        <v>26</v>
      </c>
      <c r="C2">
        <f>'Final-Peri'!I8</f>
        <v>29</v>
      </c>
      <c r="E2" s="3" t="s">
        <v>34</v>
      </c>
      <c r="F2" s="4">
        <v>993</v>
      </c>
      <c r="G2" t="s">
        <v>102</v>
      </c>
      <c r="H2">
        <f>100/1000000000</f>
        <v>9.9999999999999995E-8</v>
      </c>
    </row>
    <row r="3" spans="1:20" x14ac:dyDescent="0.35">
      <c r="A3" t="s">
        <v>26</v>
      </c>
      <c r="B3" t="s">
        <v>25</v>
      </c>
      <c r="C3" t="s">
        <v>27</v>
      </c>
      <c r="E3" t="s">
        <v>40</v>
      </c>
      <c r="F3" t="s">
        <v>30</v>
      </c>
      <c r="G3" t="s">
        <v>31</v>
      </c>
      <c r="H3" t="s">
        <v>17</v>
      </c>
      <c r="I3" t="s">
        <v>51</v>
      </c>
      <c r="J3" t="s">
        <v>32</v>
      </c>
      <c r="L3" t="s">
        <v>29</v>
      </c>
      <c r="N3" t="s">
        <v>35</v>
      </c>
      <c r="P3" t="s">
        <v>59</v>
      </c>
      <c r="Q3" t="s">
        <v>55</v>
      </c>
      <c r="R3" t="s">
        <v>60</v>
      </c>
      <c r="T3" t="s">
        <v>30</v>
      </c>
    </row>
    <row r="4" spans="1:20" x14ac:dyDescent="0.35">
      <c r="A4">
        <f>$C$2-B4</f>
        <v>29</v>
      </c>
      <c r="B4">
        <v>0</v>
      </c>
      <c r="C4">
        <f>('Final-Peri'!G8)/('Final-Peri'!G8+'Final-Peri'!H8)</f>
        <v>0.99710838568152371</v>
      </c>
      <c r="E4">
        <f>(1/((1-(C4^4))-(((1-(C4^2))^2)/(LN(1/C4)))))</f>
        <v>31064792.906876501</v>
      </c>
      <c r="F4">
        <f>('Final-Peri'!G8+('Final-Peri'!E8/1000))</f>
        <v>1.0028999999999999E-3</v>
      </c>
      <c r="G4">
        <f>1/(F4)^4</f>
        <v>988483614684.04749</v>
      </c>
      <c r="H4">
        <v>0.06</v>
      </c>
      <c r="I4">
        <f>E4*G4*H4</f>
        <v>1.8424223269200387E+18</v>
      </c>
      <c r="J4">
        <f>(8*$F$1*I4)/($F$2*9.81*3.1415)</f>
        <v>334788971705.51196</v>
      </c>
      <c r="L4">
        <f>J4/(2^B4)</f>
        <v>334788971705.51196</v>
      </c>
      <c r="N4">
        <f>SUM(L4:L25)</f>
        <v>490680859943.0658</v>
      </c>
      <c r="P4">
        <v>1E-3</v>
      </c>
      <c r="Q4">
        <f>(8*$H$1*H4)/(3.1415*P4^4*9.81*1025)</f>
        <v>13523.879958423089</v>
      </c>
      <c r="R4">
        <f>Q4/(2^B4)</f>
        <v>13523.879958423089</v>
      </c>
      <c r="T4">
        <f>SUM(R4:R25)</f>
        <v>169041.8943596484</v>
      </c>
    </row>
    <row r="5" spans="1:20" x14ac:dyDescent="0.35">
      <c r="A5">
        <f t="shared" ref="A5:A29" si="0">$C$2-B5</f>
        <v>28</v>
      </c>
      <c r="B5">
        <v>1</v>
      </c>
      <c r="C5">
        <f>((0.5)^(B5/3)*$C$1)/(((0.5)^(B5/3)*$C$1)+(($C$2-B5)*0.0000001))</f>
        <v>0.99648462253488101</v>
      </c>
      <c r="E5">
        <f>(1/((1-(C5^4))-(((1-(C5^2))^2)/(LN(1/C5)))))</f>
        <v>17294551.722449582</v>
      </c>
      <c r="F5">
        <f t="shared" ref="F5:F22" si="1">((0.5^(B5/3)*$C$1)+($C$2-B5)*0.0000001)</f>
        <v>7.9650052598409982E-4</v>
      </c>
      <c r="G5">
        <f t="shared" ref="G5:G25" si="2">1/(F5)^4</f>
        <v>2484595717185.8882</v>
      </c>
      <c r="H5">
        <f>(20*(0.5)^(B5/3.67)*$C$1)</f>
        <v>1.6557908323043841E-2</v>
      </c>
      <c r="I5">
        <f t="shared" ref="I5:I25" si="3">E5*G5*H5</f>
        <v>7.1149280966825037E+17</v>
      </c>
      <c r="J5">
        <f t="shared" ref="J5:J25" si="4">(8*$F$1*I5)/($F$2*9.81*3.1415)</f>
        <v>129286289383.4422</v>
      </c>
      <c r="L5">
        <f t="shared" ref="L5:L22" si="5">J5/(2^B5)</f>
        <v>64643144691.7211</v>
      </c>
      <c r="P5">
        <f>((0.5)^(B5/3)*$C$1)</f>
        <v>7.9370052598409986E-4</v>
      </c>
      <c r="Q5">
        <f t="shared" ref="Q5:Q25" si="6">(8*$H$1*H5)/(3.1415*P5^4*9.81*1025)</f>
        <v>9404.351607544284</v>
      </c>
      <c r="R5">
        <f t="shared" ref="R5:R25" si="7">Q5/(2^B5)</f>
        <v>4702.175803772142</v>
      </c>
    </row>
    <row r="6" spans="1:20" x14ac:dyDescent="0.35">
      <c r="A6">
        <f t="shared" si="0"/>
        <v>27</v>
      </c>
      <c r="B6">
        <f>B5+1</f>
        <v>2</v>
      </c>
      <c r="C6">
        <f t="shared" ref="C6:C22" si="8">((0.5)^(B6/3)*$C$1)/(((0.5)^(B6/3)*$C$1)+(($C$2-B6)*0.0000001))</f>
        <v>0.99573230841259719</v>
      </c>
      <c r="E6">
        <f t="shared" ref="E6:E25" si="9">(1/((1-(C6^4))-(((1-(C6^2))^2)/(LN(1/C6)))))</f>
        <v>9669627.8304669894</v>
      </c>
      <c r="F6">
        <f t="shared" si="1"/>
        <v>6.326605249474366E-4</v>
      </c>
      <c r="G6">
        <f t="shared" si="2"/>
        <v>6241903505302.3867</v>
      </c>
      <c r="H6">
        <f t="shared" ref="H6:H32" si="10">(20*(0.5)^(B6/3.67)*$C$1)</f>
        <v>1.3708216401716225E-2</v>
      </c>
      <c r="I6">
        <f t="shared" si="3"/>
        <v>8.2738522514852224E+17</v>
      </c>
      <c r="J6">
        <f t="shared" si="4"/>
        <v>150345251837.48984</v>
      </c>
      <c r="L6">
        <f t="shared" si="5"/>
        <v>37586312959.372459</v>
      </c>
      <c r="N6">
        <f>N4*1000*9.81</f>
        <v>4813579236041476</v>
      </c>
      <c r="O6" t="s">
        <v>80</v>
      </c>
      <c r="P6">
        <f t="shared" ref="P6:P25" si="11">((0.5)^(B6/3)*$C$1)</f>
        <v>6.2996052494743659E-4</v>
      </c>
      <c r="Q6">
        <f t="shared" si="6"/>
        <v>19619.035978629021</v>
      </c>
      <c r="R6">
        <f t="shared" si="7"/>
        <v>4904.7589946572552</v>
      </c>
    </row>
    <row r="7" spans="1:20" x14ac:dyDescent="0.35">
      <c r="A7">
        <f t="shared" si="0"/>
        <v>26</v>
      </c>
      <c r="B7">
        <f t="shared" ref="B7:B21" si="12">B6+1</f>
        <v>3</v>
      </c>
      <c r="C7">
        <f t="shared" si="8"/>
        <v>0.99482690011937935</v>
      </c>
      <c r="E7">
        <f t="shared" si="9"/>
        <v>5431668.5077039301</v>
      </c>
      <c r="F7">
        <f t="shared" si="1"/>
        <v>5.0259999999999997E-4</v>
      </c>
      <c r="G7">
        <f t="shared" si="2"/>
        <v>15671481811510.246</v>
      </c>
      <c r="H7">
        <f t="shared" si="10"/>
        <v>1.1348969522603159E-2</v>
      </c>
      <c r="I7">
        <f t="shared" si="3"/>
        <v>9.660503228494432E+17</v>
      </c>
      <c r="J7">
        <f t="shared" si="4"/>
        <v>175542268174.31503</v>
      </c>
      <c r="L7">
        <f t="shared" si="5"/>
        <v>21942783521.789379</v>
      </c>
      <c r="P7">
        <f t="shared" si="11"/>
        <v>5.0000000000000001E-4</v>
      </c>
      <c r="Q7">
        <f t="shared" si="6"/>
        <v>40928.560393463289</v>
      </c>
      <c r="R7">
        <f t="shared" si="7"/>
        <v>5116.0700491829111</v>
      </c>
    </row>
    <row r="8" spans="1:20" x14ac:dyDescent="0.35">
      <c r="A8">
        <f t="shared" si="0"/>
        <v>25</v>
      </c>
      <c r="B8">
        <f t="shared" si="12"/>
        <v>4</v>
      </c>
      <c r="C8">
        <f t="shared" si="8"/>
        <v>0.99373983134186694</v>
      </c>
      <c r="E8">
        <f t="shared" si="9"/>
        <v>3066651.2317172866</v>
      </c>
      <c r="F8">
        <f t="shared" si="1"/>
        <v>3.9935026299204993E-4</v>
      </c>
      <c r="G8">
        <f t="shared" si="2"/>
        <v>39317337536179.531</v>
      </c>
      <c r="H8">
        <f t="shared" si="10"/>
        <v>9.3957598458140855E-3</v>
      </c>
      <c r="I8">
        <f t="shared" si="3"/>
        <v>1.1328708326300878E+18</v>
      </c>
      <c r="J8">
        <f t="shared" si="4"/>
        <v>205855441279.5361</v>
      </c>
      <c r="L8">
        <f t="shared" si="5"/>
        <v>12865965079.971006</v>
      </c>
      <c r="N8" t="s">
        <v>105</v>
      </c>
      <c r="P8">
        <f t="shared" si="11"/>
        <v>3.9685026299204993E-4</v>
      </c>
      <c r="Q8">
        <f t="shared" si="6"/>
        <v>85383.759819091283</v>
      </c>
      <c r="R8">
        <f t="shared" si="7"/>
        <v>5336.4849886932052</v>
      </c>
    </row>
    <row r="9" spans="1:20" x14ac:dyDescent="0.35">
      <c r="A9">
        <f t="shared" si="0"/>
        <v>24</v>
      </c>
      <c r="B9">
        <f t="shared" si="12"/>
        <v>5</v>
      </c>
      <c r="C9">
        <f t="shared" si="8"/>
        <v>0.99243809308967745</v>
      </c>
      <c r="E9">
        <f t="shared" si="9"/>
        <v>1741053.1350034412</v>
      </c>
      <c r="F9">
        <f t="shared" si="1"/>
        <v>3.173802624737183E-4</v>
      </c>
      <c r="G9">
        <f t="shared" si="2"/>
        <v>98555380758759.406</v>
      </c>
      <c r="H9">
        <f t="shared" si="10"/>
        <v>7.7787065076163082E-3</v>
      </c>
      <c r="I9">
        <f t="shared" si="3"/>
        <v>1.3347494525526927E+18</v>
      </c>
      <c r="J9">
        <f t="shared" si="4"/>
        <v>242539069449.74011</v>
      </c>
      <c r="L9">
        <f t="shared" si="5"/>
        <v>7579345920.3043785</v>
      </c>
      <c r="N9">
        <f>(E38+K38+Q38+W38+AC38+AI38+AO38+AU38+BA38+BG38+BM38+BS38+BY38+CE38+CK38+CQ38+CW38+DC38+DI38+DO38+DU38+EA38+EG38+EM38+ES38+EY38+FE38+FK38+FQ38)</f>
        <v>5.3979257361979843E+18</v>
      </c>
      <c r="O9" t="s">
        <v>80</v>
      </c>
      <c r="P9">
        <f t="shared" si="11"/>
        <v>3.1498026247371829E-4</v>
      </c>
      <c r="Q9">
        <f t="shared" si="6"/>
        <v>178124.67310745246</v>
      </c>
      <c r="R9">
        <f t="shared" si="7"/>
        <v>5566.3960346078893</v>
      </c>
    </row>
    <row r="10" spans="1:20" x14ac:dyDescent="0.35">
      <c r="A10">
        <f t="shared" si="0"/>
        <v>23</v>
      </c>
      <c r="B10">
        <f t="shared" si="12"/>
        <v>6</v>
      </c>
      <c r="C10">
        <f t="shared" si="8"/>
        <v>0.99088386841062226</v>
      </c>
      <c r="E10">
        <f t="shared" si="9"/>
        <v>994518.73235805205</v>
      </c>
      <c r="F10">
        <f t="shared" si="1"/>
        <v>2.5230000000000001E-4</v>
      </c>
      <c r="G10">
        <f t="shared" si="2"/>
        <v>246791954774259.78</v>
      </c>
      <c r="H10">
        <f t="shared" si="10"/>
        <v>6.4399554612487682E-3</v>
      </c>
      <c r="I10">
        <f t="shared" si="3"/>
        <v>1.5806176582411587E+18</v>
      </c>
      <c r="J10">
        <f t="shared" si="4"/>
        <v>287216102806.75787</v>
      </c>
      <c r="L10">
        <f t="shared" si="5"/>
        <v>4487751606.3555918</v>
      </c>
      <c r="P10">
        <f t="shared" si="11"/>
        <v>2.5000000000000001E-4</v>
      </c>
      <c r="Q10">
        <f t="shared" si="6"/>
        <v>371597.58760755003</v>
      </c>
      <c r="R10">
        <f t="shared" si="7"/>
        <v>5806.2123063679692</v>
      </c>
    </row>
    <row r="11" spans="1:20" x14ac:dyDescent="0.35">
      <c r="A11">
        <f t="shared" si="0"/>
        <v>22</v>
      </c>
      <c r="B11">
        <f t="shared" si="12"/>
        <v>7</v>
      </c>
      <c r="C11">
        <f t="shared" si="8"/>
        <v>0.98903427510005848</v>
      </c>
      <c r="E11">
        <f t="shared" si="9"/>
        <v>571921.03860446904</v>
      </c>
      <c r="F11">
        <f t="shared" si="1"/>
        <v>2.0062513149602494E-4</v>
      </c>
      <c r="G11">
        <f t="shared" si="2"/>
        <v>617246537508429.5</v>
      </c>
      <c r="H11">
        <f t="shared" si="10"/>
        <v>5.3316096065921317E-3</v>
      </c>
      <c r="I11">
        <f t="shared" si="3"/>
        <v>1.8821449940331382E+18</v>
      </c>
      <c r="J11">
        <f t="shared" si="4"/>
        <v>342007029520.96753</v>
      </c>
      <c r="L11">
        <f t="shared" si="5"/>
        <v>2671929918.1325588</v>
      </c>
      <c r="N11" t="s">
        <v>111</v>
      </c>
      <c r="P11">
        <f t="shared" si="11"/>
        <v>1.9842513149602494E-4</v>
      </c>
      <c r="Q11">
        <f t="shared" si="6"/>
        <v>775214.1503297087</v>
      </c>
      <c r="R11">
        <f t="shared" si="7"/>
        <v>6056.3605494508492</v>
      </c>
    </row>
    <row r="12" spans="1:20" x14ac:dyDescent="0.35">
      <c r="A12">
        <f t="shared" si="0"/>
        <v>21</v>
      </c>
      <c r="B12">
        <f t="shared" si="12"/>
        <v>8</v>
      </c>
      <c r="C12">
        <f t="shared" si="8"/>
        <v>0.98684129160290468</v>
      </c>
      <c r="E12">
        <f t="shared" si="9"/>
        <v>331350.03688761289</v>
      </c>
      <c r="F12">
        <f t="shared" si="1"/>
        <v>1.5959013123685917E-4</v>
      </c>
      <c r="G12">
        <f t="shared" si="2"/>
        <v>1541614805343013</v>
      </c>
      <c r="H12">
        <f t="shared" si="10"/>
        <v>4.4140151540106171E-3</v>
      </c>
      <c r="I12">
        <f t="shared" si="3"/>
        <v>2.2547412781136233E+18</v>
      </c>
      <c r="J12">
        <f t="shared" si="4"/>
        <v>409711987817.43427</v>
      </c>
      <c r="L12">
        <f t="shared" si="5"/>
        <v>1600437452.4118526</v>
      </c>
      <c r="N12">
        <f>(E38+K38+Q38+W38+AC38+AI38+AO38+AU38+BA38+BG38+BM38+BS38+BY38+CE38+CK38+CQ38+CW38+DC38+DI38+DO38+DU38+EA38+EG38+EM38+ES38+EY38+FE38+FK38)</f>
        <v>5.3979256382557E+18</v>
      </c>
      <c r="O12" t="s">
        <v>80</v>
      </c>
      <c r="P12">
        <f t="shared" si="11"/>
        <v>1.5749013123685917E-4</v>
      </c>
      <c r="Q12">
        <f t="shared" si="6"/>
        <v>1617225.1890561017</v>
      </c>
      <c r="R12">
        <f t="shared" si="7"/>
        <v>6317.2858947503973</v>
      </c>
    </row>
    <row r="13" spans="1:20" x14ac:dyDescent="0.35">
      <c r="A13">
        <f t="shared" si="0"/>
        <v>20</v>
      </c>
      <c r="B13">
        <f t="shared" si="12"/>
        <v>9</v>
      </c>
      <c r="C13">
        <f t="shared" si="8"/>
        <v>0.98425196850393704</v>
      </c>
      <c r="E13">
        <f t="shared" si="9"/>
        <v>193559.18791085272</v>
      </c>
      <c r="F13">
        <f t="shared" si="1"/>
        <v>1.27E-4</v>
      </c>
      <c r="G13">
        <f t="shared" si="2"/>
        <v>3844015376046129</v>
      </c>
      <c r="H13">
        <f t="shared" si="10"/>
        <v>3.6543429128317014E-3</v>
      </c>
      <c r="I13">
        <f t="shared" si="3"/>
        <v>2.718993725323307E+18</v>
      </c>
      <c r="J13">
        <f t="shared" si="4"/>
        <v>494071907441.79248</v>
      </c>
      <c r="L13">
        <f t="shared" si="5"/>
        <v>964984194.22225094</v>
      </c>
      <c r="P13">
        <f t="shared" si="11"/>
        <v>1.25E-4</v>
      </c>
      <c r="Q13">
        <f t="shared" si="6"/>
        <v>3373799.7571447534</v>
      </c>
      <c r="R13">
        <f t="shared" si="7"/>
        <v>6589.4526506733464</v>
      </c>
    </row>
    <row r="14" spans="1:20" x14ac:dyDescent="0.35">
      <c r="A14">
        <f t="shared" si="0"/>
        <v>19</v>
      </c>
      <c r="B14">
        <f t="shared" si="12"/>
        <v>10</v>
      </c>
      <c r="C14">
        <f t="shared" si="8"/>
        <v>0.98120906154498055</v>
      </c>
      <c r="E14">
        <f t="shared" si="9"/>
        <v>114107.17102325373</v>
      </c>
      <c r="F14">
        <f t="shared" si="1"/>
        <v>1.0111256574801249E-4</v>
      </c>
      <c r="G14">
        <f t="shared" si="2"/>
        <v>9567081567541136</v>
      </c>
      <c r="H14">
        <f t="shared" si="10"/>
        <v>3.0254137465816153E-3</v>
      </c>
      <c r="I14">
        <f t="shared" si="3"/>
        <v>3.3027613289897405E+18</v>
      </c>
      <c r="J14">
        <f t="shared" si="4"/>
        <v>600149082523.13757</v>
      </c>
      <c r="L14">
        <f t="shared" si="5"/>
        <v>586083088.40150154</v>
      </c>
      <c r="P14">
        <f t="shared" si="11"/>
        <v>9.9212565748012482E-5</v>
      </c>
      <c r="Q14">
        <f t="shared" si="6"/>
        <v>7038305.4124660473</v>
      </c>
      <c r="R14">
        <f t="shared" si="7"/>
        <v>6873.3451293613743</v>
      </c>
    </row>
    <row r="15" spans="1:20" x14ac:dyDescent="0.35">
      <c r="A15">
        <f t="shared" si="0"/>
        <v>18</v>
      </c>
      <c r="B15">
        <f t="shared" si="12"/>
        <v>11</v>
      </c>
      <c r="C15">
        <f t="shared" si="8"/>
        <v>0.97765226229341917</v>
      </c>
      <c r="E15">
        <f t="shared" si="9"/>
        <v>67957.428207931764</v>
      </c>
      <c r="F15">
        <f t="shared" si="1"/>
        <v>8.054506561842959E-5</v>
      </c>
      <c r="G15">
        <f t="shared" si="2"/>
        <v>2.375987991565108E+16</v>
      </c>
      <c r="H15">
        <f t="shared" si="10"/>
        <v>2.5047261727587488E-3</v>
      </c>
      <c r="I15">
        <f t="shared" si="3"/>
        <v>4.0442819976756234E+18</v>
      </c>
      <c r="J15">
        <f t="shared" si="4"/>
        <v>734891773458.02905</v>
      </c>
      <c r="L15">
        <f t="shared" si="5"/>
        <v>358833873.75880325</v>
      </c>
      <c r="P15">
        <f t="shared" si="11"/>
        <v>7.8745065618429587E-5</v>
      </c>
      <c r="Q15">
        <f t="shared" si="6"/>
        <v>14683071.505427061</v>
      </c>
      <c r="R15">
        <f t="shared" si="7"/>
        <v>7169.468508509307</v>
      </c>
    </row>
    <row r="16" spans="1:20" x14ac:dyDescent="0.35">
      <c r="A16">
        <f t="shared" si="0"/>
        <v>17</v>
      </c>
      <c r="B16">
        <f t="shared" si="12"/>
        <v>12</v>
      </c>
      <c r="C16">
        <f t="shared" si="8"/>
        <v>0.97352024922118374</v>
      </c>
      <c r="E16">
        <f t="shared" si="9"/>
        <v>40935.752617648694</v>
      </c>
      <c r="F16">
        <f t="shared" si="1"/>
        <v>6.4200000000000002E-5</v>
      </c>
      <c r="G16">
        <f t="shared" si="2"/>
        <v>5.8865371299963368E+16</v>
      </c>
      <c r="H16">
        <f t="shared" si="10"/>
        <v>2.0736513171433924E-3</v>
      </c>
      <c r="I16">
        <f t="shared" si="3"/>
        <v>4.9968740066026097E+18</v>
      </c>
      <c r="J16">
        <f t="shared" si="4"/>
        <v>907988513800.23108</v>
      </c>
      <c r="L16">
        <f t="shared" si="5"/>
        <v>221676883.25200954</v>
      </c>
      <c r="P16">
        <f t="shared" si="11"/>
        <v>6.2500000000000001E-5</v>
      </c>
      <c r="Q16">
        <f t="shared" si="6"/>
        <v>30631320.49536141</v>
      </c>
      <c r="R16">
        <f t="shared" si="7"/>
        <v>7478.3497303128443</v>
      </c>
    </row>
    <row r="17" spans="1:18" x14ac:dyDescent="0.35">
      <c r="A17">
        <f t="shared" si="0"/>
        <v>16</v>
      </c>
      <c r="B17">
        <f t="shared" si="12"/>
        <v>13</v>
      </c>
      <c r="C17">
        <f t="shared" si="8"/>
        <v>0.96875383429145168</v>
      </c>
      <c r="E17">
        <f t="shared" si="9"/>
        <v>24974.819223214523</v>
      </c>
      <c r="F17">
        <f t="shared" si="1"/>
        <v>5.1206282874006253E-5</v>
      </c>
      <c r="G17">
        <f t="shared" si="2"/>
        <v>1.4544774618328691E+17</v>
      </c>
      <c r="H17">
        <f t="shared" si="10"/>
        <v>1.7167664201609698E-3</v>
      </c>
      <c r="I17">
        <f t="shared" si="3"/>
        <v>6.2362075282973215E+18</v>
      </c>
      <c r="J17">
        <f t="shared" si="4"/>
        <v>1133189429608.6892</v>
      </c>
      <c r="L17">
        <f t="shared" si="5"/>
        <v>138328787.79402944</v>
      </c>
      <c r="P17">
        <f t="shared" si="11"/>
        <v>4.9606282874006255E-5</v>
      </c>
      <c r="Q17">
        <f t="shared" si="6"/>
        <v>63902010.893479966</v>
      </c>
      <c r="R17">
        <f t="shared" si="7"/>
        <v>7800.5384391455036</v>
      </c>
    </row>
    <row r="18" spans="1:18" x14ac:dyDescent="0.35">
      <c r="A18">
        <f t="shared" si="0"/>
        <v>15</v>
      </c>
      <c r="B18">
        <f t="shared" si="12"/>
        <v>14</v>
      </c>
      <c r="C18">
        <f t="shared" si="8"/>
        <v>0.9633005371357406</v>
      </c>
      <c r="E18">
        <f t="shared" si="9"/>
        <v>15456.644964889425</v>
      </c>
      <c r="F18">
        <f t="shared" si="1"/>
        <v>4.0872532809214776E-5</v>
      </c>
      <c r="G18">
        <f t="shared" si="2"/>
        <v>3.5832226569851488E+17</v>
      </c>
      <c r="H18">
        <f t="shared" si="10"/>
        <v>1.4213030498552747E-3</v>
      </c>
      <c r="I18">
        <f t="shared" si="3"/>
        <v>7.8718301519204137E+18</v>
      </c>
      <c r="J18">
        <f t="shared" si="4"/>
        <v>1430400556645.1519</v>
      </c>
      <c r="L18">
        <f t="shared" si="5"/>
        <v>87304721.474923819</v>
      </c>
      <c r="P18">
        <f t="shared" si="11"/>
        <v>3.9372532809214773E-5</v>
      </c>
      <c r="Q18">
        <f t="shared" si="6"/>
        <v>133310184.81063598</v>
      </c>
      <c r="R18">
        <f t="shared" si="7"/>
        <v>8136.6079596335439</v>
      </c>
    </row>
    <row r="19" spans="1:18" x14ac:dyDescent="0.35">
      <c r="A19">
        <f t="shared" si="0"/>
        <v>14</v>
      </c>
      <c r="B19">
        <f t="shared" si="12"/>
        <v>15</v>
      </c>
      <c r="C19">
        <f t="shared" si="8"/>
        <v>0.95712098009188362</v>
      </c>
      <c r="E19">
        <f t="shared" si="9"/>
        <v>9721.3176722035259</v>
      </c>
      <c r="F19">
        <f t="shared" si="1"/>
        <v>3.2650000000000001E-5</v>
      </c>
      <c r="G19">
        <f t="shared" si="2"/>
        <v>8.7996876634856858E+17</v>
      </c>
      <c r="H19">
        <f t="shared" si="10"/>
        <v>1.1766902799383119E-3</v>
      </c>
      <c r="I19">
        <f t="shared" si="3"/>
        <v>1.0065945130391034E+19</v>
      </c>
      <c r="J19">
        <f t="shared" si="4"/>
        <v>1829096060229.1794</v>
      </c>
      <c r="L19">
        <f t="shared" si="5"/>
        <v>55819581.916173689</v>
      </c>
      <c r="P19">
        <f t="shared" si="11"/>
        <v>3.1250000000000001E-5</v>
      </c>
      <c r="Q19">
        <f t="shared" si="6"/>
        <v>278107138.19115669</v>
      </c>
      <c r="R19">
        <f t="shared" si="7"/>
        <v>8487.1563168687953</v>
      </c>
    </row>
    <row r="20" spans="1:18" x14ac:dyDescent="0.35">
      <c r="A20">
        <f t="shared" si="0"/>
        <v>13</v>
      </c>
      <c r="B20">
        <f t="shared" si="12"/>
        <v>16</v>
      </c>
      <c r="C20">
        <f t="shared" si="8"/>
        <v>0.95019756518052056</v>
      </c>
      <c r="E20">
        <f t="shared" si="9"/>
        <v>6226.4719271026661</v>
      </c>
      <c r="F20">
        <f t="shared" si="1"/>
        <v>2.6103141437003125E-5</v>
      </c>
      <c r="G20">
        <f t="shared" si="2"/>
        <v>2.1539166517274127E+18</v>
      </c>
      <c r="H20">
        <f t="shared" si="10"/>
        <v>9.741764889917684E-4</v>
      </c>
      <c r="I20">
        <f t="shared" si="3"/>
        <v>1.3064974671693476E+19</v>
      </c>
      <c r="J20">
        <f t="shared" si="4"/>
        <v>2374053642199.8374</v>
      </c>
      <c r="L20">
        <f t="shared" si="5"/>
        <v>36225183.749387167</v>
      </c>
      <c r="P20">
        <f t="shared" si="11"/>
        <v>2.4803141437003124E-5</v>
      </c>
      <c r="Q20">
        <f t="shared" si="6"/>
        <v>580177579.25052762</v>
      </c>
      <c r="R20">
        <f t="shared" si="7"/>
        <v>8852.8073005756778</v>
      </c>
    </row>
    <row r="21" spans="1:18" x14ac:dyDescent="0.35">
      <c r="A21">
        <f t="shared" si="0"/>
        <v>12</v>
      </c>
      <c r="B21">
        <f t="shared" si="12"/>
        <v>17</v>
      </c>
      <c r="C21">
        <f t="shared" si="8"/>
        <v>0.9425459784552358</v>
      </c>
      <c r="E21">
        <f t="shared" si="9"/>
        <v>4071.3019668124812</v>
      </c>
      <c r="F21">
        <f t="shared" si="1"/>
        <v>2.0886266404607392E-5</v>
      </c>
      <c r="G21">
        <f t="shared" si="2"/>
        <v>5.2548067300512502E+18</v>
      </c>
      <c r="H21">
        <f t="shared" si="10"/>
        <v>8.065162497595214E-4</v>
      </c>
      <c r="I21">
        <f t="shared" si="3"/>
        <v>1.7254532008372068E+19</v>
      </c>
      <c r="J21">
        <f t="shared" si="4"/>
        <v>3135343587590.7261</v>
      </c>
      <c r="L21">
        <f t="shared" si="5"/>
        <v>23920773.220754441</v>
      </c>
      <c r="P21">
        <f t="shared" si="11"/>
        <v>1.9686266404607393E-5</v>
      </c>
      <c r="Q21">
        <f t="shared" si="6"/>
        <v>1210346579.5747998</v>
      </c>
      <c r="R21">
        <f t="shared" si="7"/>
        <v>9234.2115751251204</v>
      </c>
    </row>
    <row r="22" spans="1:18" x14ac:dyDescent="0.35">
      <c r="A22">
        <f t="shared" si="0"/>
        <v>11</v>
      </c>
      <c r="B22">
        <f>B21+1</f>
        <v>18</v>
      </c>
      <c r="C22">
        <f t="shared" si="8"/>
        <v>0.93423019431988041</v>
      </c>
      <c r="E22">
        <f t="shared" si="9"/>
        <v>2725.6490095471609</v>
      </c>
      <c r="F22">
        <f t="shared" si="1"/>
        <v>1.6725E-5</v>
      </c>
      <c r="G22">
        <f t="shared" si="2"/>
        <v>1.278013655448916E+19</v>
      </c>
      <c r="H22">
        <f t="shared" si="10"/>
        <v>6.6771110622816426E-4</v>
      </c>
      <c r="I22">
        <f t="shared" si="3"/>
        <v>2.3259159876041761E+19</v>
      </c>
      <c r="J22">
        <f t="shared" si="4"/>
        <v>4226452374060.9648</v>
      </c>
      <c r="L22">
        <f t="shared" si="5"/>
        <v>16122636.314624652</v>
      </c>
      <c r="P22">
        <f t="shared" si="11"/>
        <v>1.5625E-5</v>
      </c>
      <c r="Q22">
        <f t="shared" si="6"/>
        <v>2524983548.2798581</v>
      </c>
      <c r="R22">
        <f t="shared" si="7"/>
        <v>9632.0478373712849</v>
      </c>
    </row>
    <row r="23" spans="1:18" x14ac:dyDescent="0.35">
      <c r="A23">
        <f t="shared" si="0"/>
        <v>10</v>
      </c>
      <c r="B23">
        <f>B22+1</f>
        <v>19</v>
      </c>
      <c r="C23">
        <f>((0.5)^(B23/3)*$C$1)/(((0.5)^(B23/3)*$C$1)+(($C$2-B23)*0.0000001))</f>
        <v>0.92538188090001661</v>
      </c>
      <c r="E23">
        <f t="shared" si="9"/>
        <v>1874.9857349113151</v>
      </c>
      <c r="F23">
        <f>((0.5^(B23/3)*$C$1)+($C$2-B23)*0.0000001)</f>
        <v>1.3401570718501568E-5</v>
      </c>
      <c r="G23">
        <f t="shared" si="2"/>
        <v>3.1001106159721226E+19</v>
      </c>
      <c r="H23">
        <f t="shared" si="10"/>
        <v>5.5279496416020643E-4</v>
      </c>
      <c r="I23">
        <f t="shared" si="3"/>
        <v>3.2132109351450825E+19</v>
      </c>
      <c r="J23">
        <f t="shared" si="4"/>
        <v>5838767632871.9189</v>
      </c>
      <c r="L23">
        <f>J23/(2^B23)</f>
        <v>11136565.461868132</v>
      </c>
      <c r="P23">
        <f t="shared" si="11"/>
        <v>1.2401570718501567E-5</v>
      </c>
      <c r="Q23">
        <f t="shared" si="6"/>
        <v>5267534131.6895227</v>
      </c>
      <c r="R23">
        <f t="shared" si="7"/>
        <v>10047.024024371191</v>
      </c>
    </row>
    <row r="24" spans="1:18" x14ac:dyDescent="0.35">
      <c r="A24">
        <f t="shared" si="0"/>
        <v>9</v>
      </c>
      <c r="B24">
        <f t="shared" ref="B24:B25" si="13">B23+1</f>
        <v>20</v>
      </c>
      <c r="C24">
        <f t="shared" ref="C24:C32" si="14">((0.5)^(B24/3)*$C$1)/(((0.5)^(B24/3)*$C$1)+(($C$2-B24)*0.0000001))</f>
        <v>0.91622555700910335</v>
      </c>
      <c r="E24">
        <f t="shared" si="9"/>
        <v>1331.2345922525478</v>
      </c>
      <c r="F24">
        <f t="shared" ref="F24:F25" si="15">((0.5^(B24/3)*$C$1)+($C$2-B24)*0.0000001)</f>
        <v>1.0743133202303697E-5</v>
      </c>
      <c r="G24">
        <f t="shared" si="2"/>
        <v>7.5071683989599683E+19</v>
      </c>
      <c r="H24">
        <f t="shared" si="10"/>
        <v>4.5765641690025013E-4</v>
      </c>
      <c r="I24">
        <f t="shared" si="3"/>
        <v>4.573727734693136E+19</v>
      </c>
      <c r="J24">
        <f t="shared" si="4"/>
        <v>8310980510742.3203</v>
      </c>
      <c r="L24">
        <f t="shared" ref="L24:L25" si="16">J24/(2^B24)</f>
        <v>7925968.6572478488</v>
      </c>
      <c r="P24">
        <f t="shared" si="11"/>
        <v>9.8431332023036967E-6</v>
      </c>
      <c r="Q24">
        <f t="shared" si="6"/>
        <v>10988949154.705103</v>
      </c>
      <c r="R24">
        <f t="shared" si="7"/>
        <v>10479.878573136428</v>
      </c>
    </row>
    <row r="25" spans="1:18" x14ac:dyDescent="0.35">
      <c r="A25">
        <f t="shared" si="0"/>
        <v>8</v>
      </c>
      <c r="B25">
        <f t="shared" si="13"/>
        <v>21</v>
      </c>
      <c r="C25">
        <f t="shared" si="14"/>
        <v>0.90711175616836004</v>
      </c>
      <c r="E25">
        <f t="shared" si="9"/>
        <v>981.21480953138632</v>
      </c>
      <c r="F25">
        <f t="shared" si="15"/>
        <v>8.6124999999999993E-6</v>
      </c>
      <c r="G25">
        <f t="shared" si="2"/>
        <v>1.8175361616878587E+20</v>
      </c>
      <c r="H25">
        <f t="shared" si="10"/>
        <v>3.7889164972435398E-4</v>
      </c>
      <c r="I25">
        <f t="shared" si="3"/>
        <v>6.7571286694360228E+19</v>
      </c>
      <c r="J25">
        <f t="shared" si="4"/>
        <v>12278466917539.156</v>
      </c>
      <c r="L25">
        <f t="shared" si="16"/>
        <v>5854829.2720504552</v>
      </c>
      <c r="P25">
        <f t="shared" si="11"/>
        <v>7.8125000000000002E-6</v>
      </c>
      <c r="Q25">
        <f t="shared" si="6"/>
        <v>22924769067.602009</v>
      </c>
      <c r="R25">
        <f t="shared" si="7"/>
        <v>10931.381734658245</v>
      </c>
    </row>
    <row r="26" spans="1:18" x14ac:dyDescent="0.35">
      <c r="A26">
        <f t="shared" si="0"/>
        <v>7</v>
      </c>
      <c r="B26">
        <v>22</v>
      </c>
      <c r="C26">
        <f t="shared" si="14"/>
        <v>0.89856227029846369</v>
      </c>
      <c r="H26">
        <f t="shared" si="10"/>
        <v>3.1368266002513445E-4</v>
      </c>
    </row>
    <row r="27" spans="1:18" x14ac:dyDescent="0.35">
      <c r="A27">
        <f t="shared" si="0"/>
        <v>6</v>
      </c>
      <c r="B27">
        <v>23</v>
      </c>
      <c r="C27">
        <f t="shared" si="14"/>
        <v>0.89133518739503481</v>
      </c>
      <c r="H27">
        <f t="shared" si="10"/>
        <v>2.5969643636123546E-4</v>
      </c>
    </row>
    <row r="28" spans="1:18" x14ac:dyDescent="0.35">
      <c r="A28">
        <f t="shared" si="0"/>
        <v>5</v>
      </c>
      <c r="B28">
        <v>24</v>
      </c>
      <c r="C28">
        <f t="shared" si="14"/>
        <v>0.88652482269503541</v>
      </c>
      <c r="H28">
        <f t="shared" si="10"/>
        <v>2.1500148925452628E-4</v>
      </c>
    </row>
    <row r="29" spans="1:18" x14ac:dyDescent="0.35">
      <c r="A29">
        <f t="shared" si="0"/>
        <v>4</v>
      </c>
      <c r="B29">
        <v>25</v>
      </c>
      <c r="C29">
        <f t="shared" si="14"/>
        <v>0.88572710646772124</v>
      </c>
      <c r="H29">
        <f t="shared" si="10"/>
        <v>1.7799874741971706E-4</v>
      </c>
    </row>
    <row r="30" spans="1:18" x14ac:dyDescent="0.35">
      <c r="A30">
        <v>2</v>
      </c>
      <c r="B30">
        <v>26</v>
      </c>
      <c r="C30">
        <f t="shared" si="14"/>
        <v>0.89133518739503492</v>
      </c>
      <c r="H30">
        <f t="shared" si="10"/>
        <v>1.4736434706961557E-4</v>
      </c>
    </row>
    <row r="31" spans="1:18" x14ac:dyDescent="0.35">
      <c r="A31">
        <v>1</v>
      </c>
      <c r="B31">
        <v>27</v>
      </c>
      <c r="C31">
        <f t="shared" si="14"/>
        <v>0.90711175616836004</v>
      </c>
      <c r="H31">
        <f t="shared" si="10"/>
        <v>1.2200226744319544E-4</v>
      </c>
    </row>
    <row r="32" spans="1:18" x14ac:dyDescent="0.35">
      <c r="B32">
        <v>28</v>
      </c>
      <c r="C32">
        <f t="shared" si="14"/>
        <v>0.93940115028291082</v>
      </c>
      <c r="H32">
        <f t="shared" si="10"/>
        <v>1.0100511797639531E-4</v>
      </c>
    </row>
    <row r="35" spans="1:173" x14ac:dyDescent="0.35">
      <c r="B35" s="44" t="s">
        <v>25</v>
      </c>
      <c r="C35" s="44">
        <v>0</v>
      </c>
      <c r="H35" s="44" t="s">
        <v>25</v>
      </c>
      <c r="I35" s="44">
        <v>1</v>
      </c>
      <c r="N35" s="44" t="s">
        <v>25</v>
      </c>
      <c r="O35" s="44">
        <v>2</v>
      </c>
      <c r="T35" s="44" t="s">
        <v>25</v>
      </c>
      <c r="U35" s="44">
        <v>3</v>
      </c>
      <c r="Z35" s="44" t="s">
        <v>25</v>
      </c>
      <c r="AA35" s="44">
        <v>4</v>
      </c>
      <c r="AF35" s="44" t="s">
        <v>25</v>
      </c>
      <c r="AG35" s="44">
        <v>5</v>
      </c>
      <c r="AL35" s="44" t="s">
        <v>25</v>
      </c>
      <c r="AM35" s="44">
        <v>6</v>
      </c>
      <c r="AR35" s="44" t="s">
        <v>25</v>
      </c>
      <c r="AS35" s="44">
        <v>7</v>
      </c>
      <c r="AX35" s="44" t="s">
        <v>25</v>
      </c>
      <c r="AY35" s="44">
        <v>8</v>
      </c>
      <c r="BD35" s="44" t="s">
        <v>25</v>
      </c>
      <c r="BE35" s="44">
        <v>9</v>
      </c>
      <c r="BJ35" s="44" t="s">
        <v>25</v>
      </c>
      <c r="BK35" s="44">
        <v>10</v>
      </c>
      <c r="BP35" s="44" t="s">
        <v>25</v>
      </c>
      <c r="BQ35" s="44">
        <v>11</v>
      </c>
      <c r="BV35" s="44" t="s">
        <v>25</v>
      </c>
      <c r="BW35" s="44">
        <v>12</v>
      </c>
      <c r="CB35" s="44" t="s">
        <v>25</v>
      </c>
      <c r="CC35" s="44">
        <v>13</v>
      </c>
      <c r="CH35" s="44" t="s">
        <v>25</v>
      </c>
      <c r="CI35" s="44">
        <v>14</v>
      </c>
      <c r="CN35" s="44" t="s">
        <v>25</v>
      </c>
      <c r="CO35" s="44">
        <v>15</v>
      </c>
      <c r="CT35" s="44" t="s">
        <v>25</v>
      </c>
      <c r="CU35" s="44">
        <v>16</v>
      </c>
      <c r="CZ35" s="44" t="s">
        <v>25</v>
      </c>
      <c r="DA35" s="44">
        <v>17</v>
      </c>
      <c r="DF35" s="44" t="s">
        <v>25</v>
      </c>
      <c r="DG35" s="44">
        <v>18</v>
      </c>
      <c r="DL35" s="44" t="s">
        <v>25</v>
      </c>
      <c r="DM35" s="44">
        <v>19</v>
      </c>
      <c r="DR35" s="44" t="s">
        <v>25</v>
      </c>
      <c r="DS35" s="44">
        <v>20</v>
      </c>
      <c r="DX35" s="44" t="s">
        <v>25</v>
      </c>
      <c r="DY35" s="44">
        <v>21</v>
      </c>
      <c r="ED35" s="44" t="s">
        <v>25</v>
      </c>
      <c r="EE35" s="44">
        <v>22</v>
      </c>
      <c r="EJ35" s="44" t="s">
        <v>25</v>
      </c>
      <c r="EK35" s="44">
        <v>23</v>
      </c>
      <c r="EP35" s="44" t="s">
        <v>25</v>
      </c>
      <c r="EQ35" s="44">
        <v>24</v>
      </c>
      <c r="EV35" s="44" t="s">
        <v>25</v>
      </c>
      <c r="EW35" s="44">
        <v>25</v>
      </c>
      <c r="FB35" s="44" t="s">
        <v>25</v>
      </c>
      <c r="FC35" s="44">
        <v>26</v>
      </c>
      <c r="FH35" s="44" t="s">
        <v>25</v>
      </c>
      <c r="FI35" s="44">
        <v>27</v>
      </c>
      <c r="FN35" s="44" t="s">
        <v>25</v>
      </c>
      <c r="FO35" s="44">
        <v>28</v>
      </c>
    </row>
    <row r="36" spans="1:173" x14ac:dyDescent="0.35">
      <c r="B36" s="44" t="s">
        <v>26</v>
      </c>
      <c r="C36" s="44">
        <v>29</v>
      </c>
      <c r="H36" s="44" t="s">
        <v>26</v>
      </c>
      <c r="I36" s="44">
        <v>28</v>
      </c>
      <c r="N36" s="44" t="s">
        <v>26</v>
      </c>
      <c r="O36" s="44">
        <v>27</v>
      </c>
      <c r="T36" s="44" t="s">
        <v>26</v>
      </c>
      <c r="U36" s="44">
        <v>26</v>
      </c>
      <c r="Z36" s="44" t="s">
        <v>26</v>
      </c>
      <c r="AA36" s="44">
        <v>25</v>
      </c>
      <c r="AF36" s="44" t="s">
        <v>26</v>
      </c>
      <c r="AG36" s="44">
        <v>24</v>
      </c>
      <c r="AL36" s="44" t="s">
        <v>26</v>
      </c>
      <c r="AM36" s="44">
        <v>23</v>
      </c>
      <c r="AR36" s="44" t="s">
        <v>26</v>
      </c>
      <c r="AS36" s="44">
        <v>22</v>
      </c>
      <c r="AX36" s="44" t="s">
        <v>26</v>
      </c>
      <c r="AY36" s="44">
        <v>21</v>
      </c>
      <c r="BD36" s="44" t="s">
        <v>26</v>
      </c>
      <c r="BE36" s="44">
        <v>20</v>
      </c>
      <c r="BJ36" s="44" t="s">
        <v>26</v>
      </c>
      <c r="BK36" s="44">
        <v>19</v>
      </c>
      <c r="BP36" s="44" t="s">
        <v>26</v>
      </c>
      <c r="BQ36" s="44">
        <v>18</v>
      </c>
      <c r="BV36" s="44" t="s">
        <v>26</v>
      </c>
      <c r="BW36" s="44">
        <v>17</v>
      </c>
      <c r="CB36" s="44" t="s">
        <v>26</v>
      </c>
      <c r="CC36" s="44">
        <v>16</v>
      </c>
      <c r="CH36" s="44" t="s">
        <v>26</v>
      </c>
      <c r="CI36" s="44">
        <v>15</v>
      </c>
      <c r="CN36" s="44" t="s">
        <v>26</v>
      </c>
      <c r="CO36" s="44">
        <v>14</v>
      </c>
      <c r="CT36" s="44" t="s">
        <v>26</v>
      </c>
      <c r="CU36" s="44">
        <v>13</v>
      </c>
      <c r="CZ36" s="44" t="s">
        <v>26</v>
      </c>
      <c r="DA36" s="44">
        <v>12</v>
      </c>
      <c r="DF36" s="44" t="s">
        <v>26</v>
      </c>
      <c r="DG36" s="44">
        <v>11</v>
      </c>
      <c r="DL36" s="44" t="s">
        <v>26</v>
      </c>
      <c r="DM36" s="44">
        <v>10</v>
      </c>
      <c r="DR36" s="44" t="s">
        <v>26</v>
      </c>
      <c r="DS36" s="44">
        <v>9</v>
      </c>
      <c r="DX36" s="44" t="s">
        <v>26</v>
      </c>
      <c r="DY36" s="44">
        <v>8</v>
      </c>
      <c r="ED36" s="44" t="s">
        <v>26</v>
      </c>
      <c r="EE36" s="44">
        <v>7</v>
      </c>
      <c r="EJ36" s="44" t="s">
        <v>26</v>
      </c>
      <c r="EK36" s="44">
        <v>6</v>
      </c>
      <c r="EP36" s="44" t="s">
        <v>26</v>
      </c>
      <c r="EQ36" s="44">
        <v>5</v>
      </c>
      <c r="EV36" s="44" t="s">
        <v>26</v>
      </c>
      <c r="EW36" s="44">
        <v>4</v>
      </c>
      <c r="FB36" s="44" t="s">
        <v>26</v>
      </c>
      <c r="FC36" s="44">
        <v>3</v>
      </c>
      <c r="FH36" s="44" t="s">
        <v>26</v>
      </c>
      <c r="FI36" s="44">
        <v>2</v>
      </c>
      <c r="FN36" s="44" t="s">
        <v>26</v>
      </c>
      <c r="FO36" s="44">
        <v>1</v>
      </c>
    </row>
    <row r="37" spans="1:173" x14ac:dyDescent="0.35">
      <c r="A37" t="s">
        <v>100</v>
      </c>
      <c r="B37" t="s">
        <v>101</v>
      </c>
      <c r="C37" t="s">
        <v>30</v>
      </c>
      <c r="D37" t="s">
        <v>103</v>
      </c>
      <c r="E37" t="s">
        <v>104</v>
      </c>
      <c r="G37" t="s">
        <v>100</v>
      </c>
      <c r="H37" t="s">
        <v>101</v>
      </c>
      <c r="I37" t="s">
        <v>30</v>
      </c>
      <c r="J37" t="s">
        <v>103</v>
      </c>
      <c r="K37" t="s">
        <v>104</v>
      </c>
      <c r="M37" t="s">
        <v>100</v>
      </c>
      <c r="N37" t="s">
        <v>101</v>
      </c>
      <c r="O37" t="s">
        <v>30</v>
      </c>
      <c r="P37" t="s">
        <v>103</v>
      </c>
      <c r="Q37" t="s">
        <v>104</v>
      </c>
      <c r="S37" t="s">
        <v>100</v>
      </c>
      <c r="T37" t="s">
        <v>101</v>
      </c>
      <c r="U37" t="s">
        <v>30</v>
      </c>
      <c r="V37" t="s">
        <v>103</v>
      </c>
      <c r="W37" t="s">
        <v>104</v>
      </c>
      <c r="Y37" t="s">
        <v>100</v>
      </c>
      <c r="Z37" t="s">
        <v>101</v>
      </c>
      <c r="AA37" t="s">
        <v>30</v>
      </c>
      <c r="AB37" t="s">
        <v>103</v>
      </c>
      <c r="AC37" t="s">
        <v>104</v>
      </c>
      <c r="AE37" t="s">
        <v>100</v>
      </c>
      <c r="AF37" t="s">
        <v>101</v>
      </c>
      <c r="AG37" t="s">
        <v>30</v>
      </c>
      <c r="AH37" t="s">
        <v>103</v>
      </c>
      <c r="AI37" t="s">
        <v>104</v>
      </c>
      <c r="AK37" t="s">
        <v>100</v>
      </c>
      <c r="AL37" t="s">
        <v>101</v>
      </c>
      <c r="AM37" t="s">
        <v>30</v>
      </c>
      <c r="AN37" t="s">
        <v>103</v>
      </c>
      <c r="AO37" t="s">
        <v>104</v>
      </c>
      <c r="AQ37" t="s">
        <v>100</v>
      </c>
      <c r="AR37" t="s">
        <v>101</v>
      </c>
      <c r="AS37" t="s">
        <v>30</v>
      </c>
      <c r="AT37" t="s">
        <v>103</v>
      </c>
      <c r="AU37" t="s">
        <v>104</v>
      </c>
      <c r="AW37" t="s">
        <v>100</v>
      </c>
      <c r="AX37" t="s">
        <v>101</v>
      </c>
      <c r="AY37" t="s">
        <v>30</v>
      </c>
      <c r="AZ37" t="s">
        <v>103</v>
      </c>
      <c r="BA37" t="s">
        <v>104</v>
      </c>
      <c r="BC37" t="s">
        <v>100</v>
      </c>
      <c r="BD37" t="s">
        <v>101</v>
      </c>
      <c r="BE37" t="s">
        <v>30</v>
      </c>
      <c r="BF37" t="s">
        <v>103</v>
      </c>
      <c r="BG37" t="s">
        <v>104</v>
      </c>
      <c r="BI37" t="s">
        <v>100</v>
      </c>
      <c r="BJ37" t="s">
        <v>101</v>
      </c>
      <c r="BK37" t="s">
        <v>30</v>
      </c>
      <c r="BL37" t="s">
        <v>103</v>
      </c>
      <c r="BM37" t="s">
        <v>104</v>
      </c>
      <c r="BO37" t="s">
        <v>100</v>
      </c>
      <c r="BP37" t="s">
        <v>101</v>
      </c>
      <c r="BQ37" t="s">
        <v>30</v>
      </c>
      <c r="BR37" t="s">
        <v>103</v>
      </c>
      <c r="BS37" t="s">
        <v>104</v>
      </c>
      <c r="BU37" t="s">
        <v>100</v>
      </c>
      <c r="BV37" t="s">
        <v>101</v>
      </c>
      <c r="BW37" t="s">
        <v>30</v>
      </c>
      <c r="BX37" t="s">
        <v>103</v>
      </c>
      <c r="BY37" t="s">
        <v>104</v>
      </c>
      <c r="CA37" t="s">
        <v>100</v>
      </c>
      <c r="CB37" t="s">
        <v>101</v>
      </c>
      <c r="CC37" t="s">
        <v>30</v>
      </c>
      <c r="CD37" t="s">
        <v>103</v>
      </c>
      <c r="CE37" t="s">
        <v>104</v>
      </c>
      <c r="CG37" t="s">
        <v>100</v>
      </c>
      <c r="CH37" t="s">
        <v>101</v>
      </c>
      <c r="CI37" t="s">
        <v>30</v>
      </c>
      <c r="CJ37" t="s">
        <v>103</v>
      </c>
      <c r="CK37" t="s">
        <v>104</v>
      </c>
      <c r="CM37" t="s">
        <v>100</v>
      </c>
      <c r="CN37" t="s">
        <v>101</v>
      </c>
      <c r="CO37" t="s">
        <v>30</v>
      </c>
      <c r="CP37" t="s">
        <v>103</v>
      </c>
      <c r="CQ37" t="s">
        <v>104</v>
      </c>
      <c r="CS37" t="s">
        <v>100</v>
      </c>
      <c r="CT37" t="s">
        <v>101</v>
      </c>
      <c r="CU37" t="s">
        <v>30</v>
      </c>
      <c r="CV37" t="s">
        <v>103</v>
      </c>
      <c r="CW37" t="s">
        <v>104</v>
      </c>
      <c r="CY37" t="s">
        <v>100</v>
      </c>
      <c r="CZ37" t="s">
        <v>101</v>
      </c>
      <c r="DA37" t="s">
        <v>30</v>
      </c>
      <c r="DB37" t="s">
        <v>103</v>
      </c>
      <c r="DC37" t="s">
        <v>104</v>
      </c>
      <c r="DE37" t="s">
        <v>100</v>
      </c>
      <c r="DF37" t="s">
        <v>101</v>
      </c>
      <c r="DG37" t="s">
        <v>30</v>
      </c>
      <c r="DH37" t="s">
        <v>103</v>
      </c>
      <c r="DI37" t="s">
        <v>104</v>
      </c>
      <c r="DK37" t="s">
        <v>100</v>
      </c>
      <c r="DL37" t="s">
        <v>101</v>
      </c>
      <c r="DM37" t="s">
        <v>30</v>
      </c>
      <c r="DN37" t="s">
        <v>103</v>
      </c>
      <c r="DO37" t="s">
        <v>104</v>
      </c>
      <c r="DQ37" t="s">
        <v>100</v>
      </c>
      <c r="DR37" t="s">
        <v>101</v>
      </c>
      <c r="DS37" t="s">
        <v>30</v>
      </c>
      <c r="DT37" t="s">
        <v>103</v>
      </c>
      <c r="DU37" t="s">
        <v>104</v>
      </c>
      <c r="DW37" t="s">
        <v>100</v>
      </c>
      <c r="DX37" t="s">
        <v>101</v>
      </c>
      <c r="DY37" t="s">
        <v>30</v>
      </c>
      <c r="DZ37" t="s">
        <v>103</v>
      </c>
      <c r="EA37" t="s">
        <v>104</v>
      </c>
      <c r="EC37" t="s">
        <v>100</v>
      </c>
      <c r="ED37" t="s">
        <v>101</v>
      </c>
      <c r="EE37" t="s">
        <v>30</v>
      </c>
      <c r="EF37" t="s">
        <v>103</v>
      </c>
      <c r="EG37" t="s">
        <v>104</v>
      </c>
      <c r="EI37" t="s">
        <v>100</v>
      </c>
      <c r="EJ37" t="s">
        <v>101</v>
      </c>
      <c r="EK37" t="s">
        <v>30</v>
      </c>
      <c r="EL37" t="s">
        <v>103</v>
      </c>
      <c r="EM37" t="s">
        <v>104</v>
      </c>
      <c r="EO37" t="s">
        <v>100</v>
      </c>
      <c r="EP37" t="s">
        <v>101</v>
      </c>
      <c r="EQ37" t="s">
        <v>30</v>
      </c>
      <c r="ER37" t="s">
        <v>103</v>
      </c>
      <c r="ES37" t="s">
        <v>104</v>
      </c>
      <c r="EU37" t="s">
        <v>100</v>
      </c>
      <c r="EV37" t="s">
        <v>101</v>
      </c>
      <c r="EW37" t="s">
        <v>30</v>
      </c>
      <c r="EX37" t="s">
        <v>103</v>
      </c>
      <c r="EY37" t="s">
        <v>104</v>
      </c>
      <c r="FA37" t="s">
        <v>100</v>
      </c>
      <c r="FB37" t="s">
        <v>101</v>
      </c>
      <c r="FC37" t="s">
        <v>30</v>
      </c>
      <c r="FD37" t="s">
        <v>103</v>
      </c>
      <c r="FE37" t="s">
        <v>104</v>
      </c>
      <c r="FG37" t="s">
        <v>100</v>
      </c>
      <c r="FH37" t="s">
        <v>101</v>
      </c>
      <c r="FI37" t="s">
        <v>30</v>
      </c>
      <c r="FJ37" t="s">
        <v>103</v>
      </c>
      <c r="FK37" t="s">
        <v>104</v>
      </c>
      <c r="FM37" t="s">
        <v>100</v>
      </c>
      <c r="FN37" t="s">
        <v>101</v>
      </c>
      <c r="FO37" t="s">
        <v>30</v>
      </c>
      <c r="FP37" t="s">
        <v>103</v>
      </c>
      <c r="FQ37" t="s">
        <v>104</v>
      </c>
    </row>
    <row r="38" spans="1:173" x14ac:dyDescent="0.35">
      <c r="A38">
        <v>1</v>
      </c>
      <c r="B38">
        <f>C1</f>
        <v>1E-3</v>
      </c>
      <c r="C38">
        <f t="shared" ref="C38:C57" si="17">$B$38+A38*$H$2</f>
        <v>1.0001000000000001E-3</v>
      </c>
      <c r="D38">
        <f>((8*$F$1*$H$4)/(3.1415))*(((C38)^4-(B38)^4)-(((C38)^2-(B38)^2)^2/(LN(C38/B38))))^-1</f>
        <v>7.9687189593416466E+19</v>
      </c>
      <c r="E38">
        <f>((1/D38)+(1/D39)+(1/D40)+(1/D41)+(1/D42)+(1/D43)+(1/D44)+(1/D45)+(1/D46)+(1/D47)+(1/D48)+(1/D49)+(1/D50)+(1/D51)+(1/D52)+(1/D53)+(1/D54)+(1/D55)+(1/D56)+(1/D57))^-1</f>
        <v>3.9788994982934042E+18</v>
      </c>
      <c r="G38">
        <v>1</v>
      </c>
      <c r="H38">
        <f>C1*(0.5)^(I35/3.67)</f>
        <v>8.2789541615219207E-4</v>
      </c>
      <c r="I38">
        <f t="shared" ref="I38:I57" si="18">$H$38+G38*$H$2</f>
        <v>8.2799541615219201E-4</v>
      </c>
      <c r="J38">
        <f>((8*$F$1*$H$5)/(3.1415))*(((I38)^4-(H38)^4)-(((I38)^2-(H38)^2)^2/(LN(I38/H38))))^-1</f>
        <v>2.6549660928429957E+19</v>
      </c>
      <c r="K38">
        <f>(1/(2^I35))*((1/J38)+(1/J39)+(1/J40)+(1/J41)+(1/J42)+(1/J43)+(1/J44)+(1/J45)+(1/J46)+(1/J47)+(1/J48)+(1/J49)+(1/J50)+(1/J51)+(1/J52)+(1/J53)+(1/J54)+(1/J55)+(1/J56)+(1/J57))^-1</f>
        <v>6.6300952079028749E+17</v>
      </c>
      <c r="M38">
        <v>1</v>
      </c>
      <c r="N38">
        <f>C1*(0.5)^(O35/3.67)</f>
        <v>6.8541082008581123E-4</v>
      </c>
      <c r="O38">
        <f t="shared" ref="O38:O57" si="19">$N$38+M38*$H$2</f>
        <v>6.8551082008581118E-4</v>
      </c>
      <c r="P38">
        <f>((8*$H$1*$H$6)/(3.1415))*(((O38)^4-(N38)^4)-(((O38)^2-(N38)^2)^2/(LN(O38/N38))))^-1</f>
        <v>3.3996610674038518E+19</v>
      </c>
      <c r="Q38">
        <f>(1/(2^O35))*((1/P38)+(1/P39)+(1/P40)+(1/P41)+(1/P42)+(1/P43)+(1/P44)+(1/P45)+(1/P46)+(1/P47)+(1/P48)+(1/P49)+(1/P50)+(1/P51)+(1/P52)+(1/P53)+(1/P54)+(1/P55)+(1/P56)+(1/P57))^-1</f>
        <v>4.2435051351437984E+17</v>
      </c>
      <c r="S38">
        <v>1</v>
      </c>
      <c r="T38">
        <f>C1*(0.5)^(U35/3.67)</f>
        <v>5.6744847613015789E-4</v>
      </c>
      <c r="U38">
        <f t="shared" ref="U38:U57" si="20">$T$38+S38*$H$2</f>
        <v>5.6754847613015784E-4</v>
      </c>
      <c r="V38">
        <f>((8*$F$1*$H$7)/(3.1415))*(((U38)^4-(T38)^4)-(((U38)^2-(T38)^2)^2/(LN(U38/T38))))^-1</f>
        <v>2.6548807666619879E+19</v>
      </c>
      <c r="W38">
        <f>(1/(2^U35))*((1/V38)+(1/V39)+(1/V40)+(1/V41)+(1/V42)+(1/V43)+(1/V44)+(1/V45)+(1/V46)+(1/V47)+(1/V48)+(1/V49)+(1/V50)+(1/V51)+(1/V52)+(1/V53)+(1/V54)+(1/V55)+(1/V56)+(1/V57))^-1</f>
        <v>1.656539682009087E+17</v>
      </c>
      <c r="Y38">
        <v>1</v>
      </c>
      <c r="Z38">
        <f>C1*(0.5)^(AA35/3.67)</f>
        <v>4.697879922907043E-4</v>
      </c>
      <c r="AA38">
        <f t="shared" ref="AA38:AA57" si="21">$Z$38+Y38*$H$2</f>
        <v>4.698879922907043E-4</v>
      </c>
      <c r="AB38">
        <f>((8*$F$1*$H$8)/(3.1415))*(((AA38)^4-(Z38)^4)-(((AA38)^2-(Z38)^2)^2/(LN(AA38/Z38))))^-1</f>
        <v>2.6548568200326832E+19</v>
      </c>
      <c r="AC38">
        <f>(1/(2^AA35))*((1/AB38)+(1/AB39)+(1/AB40)+(1/AB41)+(1/AB42)+(1/AB43)+(1/AB44)+(1/AB45)+(1/AB46)+(1/AB47)+(1/AB48)+(1/AB49)+(1/AB50)+(1/AB51)+(1/AB52)+(1/AB53)+(1/AB54)+(1/AB55)+(1/AB56)+(1/AB57))^-1</f>
        <v>8.2798014109597056E+16</v>
      </c>
      <c r="AE38">
        <v>1</v>
      </c>
      <c r="AF38">
        <f>C1*(0.5)^(AG35/3.67)</f>
        <v>3.8893532538081537E-4</v>
      </c>
      <c r="AG38">
        <f t="shared" ref="AG38:AG57" si="22">$AF$38+AE38*$H$2</f>
        <v>3.8903532538081537E-4</v>
      </c>
      <c r="AH38">
        <f>((8*$F$1*$H$9)/(3.1415))*(((AG38)^4-(AF38)^4)-(((AG38)^2-(AF38)^2)^2/(LN(AG38/AF38))))^-1</f>
        <v>2.6547831506648039E+19</v>
      </c>
      <c r="AI38">
        <f>(1/(2^AG35))*((1/AH38)+(1/AH39)+(1/AH40)+(1/AH41)+(1/AH42)+(1/AH43)+(1/AH44)+(1/AH45)+(1/AH46)+(1/AH47)+(1/AH48)+(1/AH49)+(1/AH50)+(1/AH51)+(1/AH52)+(1/AH53)+(1/AH54)+(1/AH55)+(1/AH56)+(1/AH57))^-1</f>
        <v>4.1380623735512072E+16</v>
      </c>
      <c r="AK38">
        <v>1</v>
      </c>
      <c r="AL38">
        <f>C1*(0.5)^(AM35/3.67)</f>
        <v>3.2199777306243842E-4</v>
      </c>
      <c r="AM38">
        <f t="shared" ref="AM38:AM57" si="23">$AL$38+AK38*$H$2</f>
        <v>3.2209777306243842E-4</v>
      </c>
      <c r="AN38">
        <f>((8*$F$1*$H$10)/(3.1415))*(((AM38)^4-(AL38)^4)-(((AM38)^2-(AL38)^2)^2/(LN(AM38/AL38))))^-1</f>
        <v>2.6547792730619482E+19</v>
      </c>
      <c r="AO38">
        <f>(1/(2^AM35))*((1/AN38)+(1/AN39)+(1/AN40)+(1/AN41)+(1/AN42)+(1/AN43)+(1/AN44)+(1/AN45)+(1/AN46)+(1/AN47)+(1/AN48)+(1/AN49)+(1/AN50)+(1/AN51)+(1/AN52)+(1/AN53)+(1/AN54)+(1/AN55)+(1/AN56)+(1/AN57))^-1</f>
        <v>2.0679248415622732E+16</v>
      </c>
      <c r="AQ38">
        <v>1</v>
      </c>
      <c r="AR38">
        <f>C1*(0.5)^(AS35/3.67)</f>
        <v>2.6658048032960659E-4</v>
      </c>
      <c r="AS38">
        <f t="shared" ref="AS38:AS57" si="24">$AR$38+AQ38*$H$2</f>
        <v>2.6668048032960659E-4</v>
      </c>
      <c r="AT38">
        <f>((8*$F$1*$H$11)/(3.1415))*(((AS38)^4-(AR38)^4)-(((AS38)^2-(AR38)^2)^2/(LN(AS38/AR38))))^-1</f>
        <v>2.654679040482295E+19</v>
      </c>
      <c r="AU38">
        <f>(1/(2^AS35))*((1/AT38)+(1/AT39)+(1/AT40)+(1/AT41)+(1/AT42)+(1/AT43)+(1/AT44)+(1/AT45)+(1/AT46)+(1/AT47)+(1/AT48)+(1/AT49)+(1/AT50)+(1/AT51)+(1/AT52)+(1/AT53)+(1/AT54)+(1/AT55)+(1/AT56)+(1/AT57))^-1</f>
        <v>1.0332980801195592E+16</v>
      </c>
      <c r="AW38">
        <v>1</v>
      </c>
      <c r="AX38">
        <f>C1*(0.5)^(AY35/3.67)</f>
        <v>2.2070075770053087E-4</v>
      </c>
      <c r="AY38">
        <f t="shared" ref="AY38:AY57" si="25">$AX$38+AW38*$H$2</f>
        <v>2.2080075770053087E-4</v>
      </c>
      <c r="AZ38">
        <f>((8*$F$1*$H$12)/(3.1415))*(((AY38)^4-(AX38)^4)-(((AY38)^2-(AX38)^2)^2/(LN(AY38/AX38))))^-1</f>
        <v>2.6545553869862171E+19</v>
      </c>
      <c r="BA38">
        <f>(1/(2^AY35))*((1/AZ38)+(1/AZ39)+(1/AZ40)+(1/AZ41)+(1/AZ42)+(1/AZ43)+(1/AZ44)+(1/AZ45)+(1/AZ46)+(1/AZ47)+(1/AZ48)+(1/AZ49)+(1/AZ50)+(1/AZ51)+(1/AZ52)+(1/AZ53)+(1/AZ54)+(1/AZ55)+(1/AZ56)+(1/AZ57))^-1</f>
        <v>5162478548867949</v>
      </c>
      <c r="BC38">
        <v>1</v>
      </c>
      <c r="BD38">
        <f>C1*(0.5)^(BE35/3.67)</f>
        <v>1.8271714564158507E-4</v>
      </c>
      <c r="BE38">
        <f t="shared" ref="BE38:BE56" si="26">$BD$38+BC38*$H$2</f>
        <v>1.8281714564158508E-4</v>
      </c>
      <c r="BF38">
        <f>((8*$H$13*$F$1)/(3.1415))*(((BE38)^4-(BD38)^4)-(((BE38)^2-(BD38)^2)^2/(LN(BE38/BD38))))^-1</f>
        <v>2.6544395053801542E+19</v>
      </c>
      <c r="BG38">
        <f>(1/(2^BE35))*((1/BF38)+(1/BF39)+(1/BF40)+(1/BF41)+(1/BF42)+(1/BF43)+(1/BF44)+(1/BF45)+(1/BF46)+(1/BF47)+(1/BF48)+(1/BF49)+(1/BF50)+(1/BF51)+(1/BF52)+(1/BF53)+(1/BF54)+(1/BF55)+(1/BF56)+(1/BF57))^-1</f>
        <v>2578821266941628.5</v>
      </c>
      <c r="BI38">
        <v>1</v>
      </c>
      <c r="BJ38">
        <f>C1*(0.5)^(BK35/3.67)</f>
        <v>1.5127068732908076E-4</v>
      </c>
      <c r="BK38">
        <f t="shared" ref="BK38:BK55" si="27">$BJ$38+BI38*$H$2</f>
        <v>1.5137068732908076E-4</v>
      </c>
      <c r="BL38">
        <f>((8*$F$1*$H$14)/(3.1415))*(((BK38)^4-(BJ38)^4)-(((BK38)^2-(BJ38)^2)^2/(LN(BK38/BJ38))))^-1</f>
        <v>2.6542898894363582E+19</v>
      </c>
      <c r="BM38">
        <f>(1/(2^BK35))*((1/BL38)+(1/BL39)+(1/BL40)+(1/BL41)+(1/BL42)+(1/BL43)+(1/BL44)+(1/BL45)+(1/BL46)+(1/BL47)+(1/BL48)+(1/BL49)+(1/BL50)+(1/BL51)+(1/BL52)+(1/BL53)+(1/BL54)+(1/BL55)+(1/BL56))^-1</f>
        <v>1356185054533158.3</v>
      </c>
      <c r="BO38">
        <v>1</v>
      </c>
      <c r="BP38">
        <f>C1*(0.5)^(BQ35/3.67)</f>
        <v>1.2523630863793745E-4</v>
      </c>
      <c r="BQ38">
        <f t="shared" ref="BQ38:BQ54" si="28">$BP$38+BO38*$H$2</f>
        <v>1.2533630863793745E-4</v>
      </c>
      <c r="BR38">
        <f>((8*$F$1*$H$15)/(3.1415))*(((BQ38)^4-(BP38)^4)-(((BQ38)^2-(BP38)^2)^2/(LN(BQ38/BP38))))^-1</f>
        <v>2.6541066545680032E+19</v>
      </c>
      <c r="BS38">
        <f>(1/(2^BQ35))*((1/BR38)+(1/BR39)+(1/BR40)+(1/BR41)+(1/BR42)+(1/BR43)+(1/BR44)+(1/BR45)+(1/BR46)+(1/BR47)+(1/BR48)+(1/BR49)+(1/BR50)+(1/BR51)+(1/BR52)+(1/BR53)+(1/BR54)+(1/BR55))^-1</f>
        <v>792565322457610</v>
      </c>
      <c r="BU38">
        <v>1</v>
      </c>
      <c r="BV38">
        <f>C1*(0.5)^(BW35/3.67)</f>
        <v>1.0368256585716962E-4</v>
      </c>
      <c r="BW38">
        <f t="shared" ref="BW38:BW53" si="29">$BV$38+BU38*$H$2</f>
        <v>1.0378256585716962E-4</v>
      </c>
      <c r="BX38">
        <f>((8*$F$1*$H$16)/(3.1415))*(((BW38)^4-(BV38)^4)-(((BW38)^2-(BV38)^2)^2/(LN(BW38/BV38))))^-1</f>
        <v>2.6538848306292257E+19</v>
      </c>
      <c r="BY38">
        <f>(1/(2^BW35))*((1/BX38)+(1/BX39)+(1/BX40)+(1/BX41)+(1/BX42)+(1/BX43)+(1/BX44)+(1/BX45)+(1/BX46)+(1/BX47)+(1/BX48)+(1/BX49)+(1/BX50)+(1/BX51)+(1/BX52)+(1/BX53)+(1/BX54))^-1</f>
        <v>378213219111912.13</v>
      </c>
      <c r="CA38">
        <v>1</v>
      </c>
      <c r="CB38">
        <f>C1*(0.5)^(CC35/3.67)</f>
        <v>8.5838321008048485E-5</v>
      </c>
      <c r="CC38">
        <f t="shared" ref="CC38:CC52" si="30">$CB$38+CA38*$H$2</f>
        <v>8.5938321008048488E-5</v>
      </c>
      <c r="CD38">
        <f>((8*$H$1*$H$17)/(3.1415))*(((CC38)^4-(CB38)^4)-(((CC38)^2-(CB38)^2)^2/(LN(CC38/CB38))))^-1</f>
        <v>3.3976707422620643E+19</v>
      </c>
      <c r="CE38">
        <f>(1/(2^CC35))*((1/CD38)+(1/CD39)+(1/CD40)+(1/CD41)+(1/CD42)+(1/CD43)+(1/CD44)+(1/CD45)+(1/CD46)+(1/CD47)+(1/CD48)+(1/CD49)+(1/CD50)+(1/CD51)+(1/CD52)+(1/CD53))^-1</f>
        <v>256977696209461.88</v>
      </c>
      <c r="CG38">
        <v>1</v>
      </c>
      <c r="CH38">
        <f>C1*(0.5^(CI35/3.67))</f>
        <v>7.1065152492763735E-5</v>
      </c>
      <c r="CI38">
        <f t="shared" ref="CI38:CI51" si="31">$CH$38+CG38*$H$2</f>
        <v>7.1165152492763738E-5</v>
      </c>
      <c r="CJ38">
        <f>((8*$H$1*$H$18)/(3.1415))*(((CI38)^4-(CH38)^4)-(((CI38)^2-(CH38)^2)^2/(LN(CI38/CH38))))^-1</f>
        <v>3.3972597703659287E+19</v>
      </c>
      <c r="CK38">
        <f>(1/(2^CI35))*((1/CJ38)+(1/CJ39)+(1/CJ40)+(1/CJ41)+(1/CJ42)+(1/CJ43)+(1/CJ44)+(1/CJ45)+(1/CJ46)+(1/CJ47)+(1/CJ48)+(1/CJ49)+(1/CJ50)+(1/CJ51)+(1/CJ52))^-1</f>
        <v>136887435966919.58</v>
      </c>
      <c r="CM38">
        <v>1</v>
      </c>
      <c r="CN38">
        <f>C1*(0.5^(CO35/3.67))</f>
        <v>5.88345139969156E-5</v>
      </c>
      <c r="CO38">
        <f t="shared" ref="CO38:CO50" si="32">$CN$38+CM38*$H$2</f>
        <v>5.8934513996915602E-5</v>
      </c>
      <c r="CP38">
        <f>((8*$H$1*$H$19)/(3.1415))*(((CO38)^4-(CN38)^4)-(((CO38)^2-(CN38)^2)^2/(LN(CO38/CN38))))^-1</f>
        <v>3.3967631653521342E+19</v>
      </c>
      <c r="CQ38">
        <f>(1/(2^CO35))*((1/CP38)+(1/CP39)+(1/CP40)+(1/CP41)+(1/CP42)+(1/CP43)+(1/CP44)+(1/CP45)+(1/CP46)+(1/CP47)+(1/CP48)+(1/CP49)+(1/CP50)+(1/CP51))^-1</f>
        <v>73235148175875.406</v>
      </c>
      <c r="CS38">
        <v>1</v>
      </c>
      <c r="CT38">
        <f>C1*(0.5)^(CU35/3.67)</f>
        <v>4.8708824449588421E-5</v>
      </c>
      <c r="CU38">
        <f t="shared" ref="CU38:CU49" si="33">$CT$38+CS38*$H$2</f>
        <v>4.8808824449588424E-5</v>
      </c>
      <c r="CV38">
        <f>((8*$H$1*$H$20)/(3.1415))*(((CU38)^4-(CT38)^4)-(((CU38)^2-(CT38)^2)^2/(LN(CU38/CT38))))^-1</f>
        <v>3.3961632798989431E+19</v>
      </c>
      <c r="CW38">
        <f>(1/(2^CU35))*((1/CV38)+(1/CV39)+(1/CV40)+(1/CV41)+(1/CV42)+(1/CV43)+(1/CV44)+(1/CV45)+(1/CV46)+(1/CV47)+(1/CV48)+(1/CV49)+(1/CV50))^-1</f>
        <v>39378005375629.289</v>
      </c>
      <c r="CY38">
        <v>1</v>
      </c>
      <c r="CZ38">
        <f>C1*(0.5)^(DA35/3.67)</f>
        <v>4.0325812487976073E-5</v>
      </c>
      <c r="DA38">
        <f t="shared" ref="DA38:DA48" si="34">$CZ$38+CY38*$H$2</f>
        <v>4.0425812487976075E-5</v>
      </c>
      <c r="DB38">
        <f>((8*$H$1*$H$21)/(3.1415))*(((DA38)^4-(CZ38)^4)-(((DA38)^2-(CZ38)^2)^2/(LN(DA38/CZ38))))^-1</f>
        <v>3.3954394138130256E+19</v>
      </c>
      <c r="DC38">
        <f>(1/(2^DA35))*((1/DB38)+(1/DB39)+(1/DB40)+(1/DB41)+(1/DB42)+(1/DB43)+(1/DB44)+(1/DB45)+(1/DB46)+(1/DB47)+(1/DB48)+(1/DB49))^-1</f>
        <v>21297507859378.055</v>
      </c>
      <c r="DE38">
        <v>1</v>
      </c>
      <c r="DF38">
        <f>C1*(0.5^(DG35/3.67))</f>
        <v>3.3385555311408212E-5</v>
      </c>
      <c r="DG38">
        <f t="shared" ref="DG38:DG47" si="35">$DF$38+DE38*$H$2</f>
        <v>3.3485555311408214E-5</v>
      </c>
      <c r="DH38">
        <f>((8*$H$1*$H$22)/(3.1415))*(((DG38)^4-(DF38)^4)-(((DG38)^2-(DF38)^2)^2/(LN(DG38/DF38))))^-1</f>
        <v>3.394565480209304E+19</v>
      </c>
      <c r="DI38">
        <f>(1/(2^DG35))*((1/DH38)+(1/DH39)+(1/DH40)+(1/DH41)+(1/DH42)+(1/DH43)+(1/DH44)+(1/DH45)+(1/DH46)+(1/DH47)+(1/DH48))^-1</f>
        <v>11598589132283.893</v>
      </c>
      <c r="DK38">
        <v>1</v>
      </c>
      <c r="DL38">
        <f>C1*(0.5^(DM35/3.67))</f>
        <v>2.7639748208010323E-5</v>
      </c>
      <c r="DM38">
        <f t="shared" ref="DM38:DM46" si="36">$DL$38+DK38*$H$2</f>
        <v>2.7739748208010322E-5</v>
      </c>
      <c r="DN38">
        <f>((8*$H$1*$H$23)/(3.1415))*(((DM38)^4-(DL38)^4)-(((DM38)^2-(DL38)^2)^2/(LN(DM38/DL38))))^-1</f>
        <v>3.3935102952386781E+19</v>
      </c>
      <c r="DO38">
        <f>(1/(2^DM35))*((1/DN38)+(1/DN39)+(1/DN40)+(1/DN41)+(1/DN42)+(1/DN43)+(1/DN44)+(1/DN45)+(1/DN46)+(1/DN47))^-1</f>
        <v>6369099798717.4316</v>
      </c>
      <c r="DQ38">
        <v>1</v>
      </c>
      <c r="DR38">
        <f>C1*(0.5)^(DS35/3.67)</f>
        <v>2.2882820845012508E-5</v>
      </c>
      <c r="DS38">
        <f t="shared" ref="DS38:DS45" si="37">$DR$38+DQ38*$H$2</f>
        <v>2.2982820845012507E-5</v>
      </c>
      <c r="DT38">
        <f>((8*$H$1*$H$24)/(3.1415))*(((DS38)^4-(DR38)^4)-(((DS38)^2-(DR38)^2)^2/(LN(DS38/DR38))))^-1</f>
        <v>3.3922365906439868E+19</v>
      </c>
      <c r="DU38">
        <f>(1/(2^DS35))*((1/DT38)+(1/DT39)+(1/DT40)+(1/DT41)+(1/DT42)+(1/DT43)+(1/DT44)+(1/DT45)+(1/DT46))^-1</f>
        <v>3532921169905.0684</v>
      </c>
      <c r="DW38">
        <v>1</v>
      </c>
      <c r="DX38">
        <f>C1*(0.5)^(DY35/3.67)</f>
        <v>1.89445824862177E-5</v>
      </c>
      <c r="DY38">
        <f>$DX$38+DW38*$H$2</f>
        <v>1.9044582486217699E-5</v>
      </c>
      <c r="DZ38">
        <f>((8*$F$1*$H$25)/(3.1415))*(((DY38)^4-(DX38)^4)-(((DY38)^2-(DX38)^2)^2/(LN(DY38/DX38))))^-1</f>
        <v>2.6481742333596811E+19</v>
      </c>
      <c r="EA38">
        <f>(1/(2^DY35))*((1/DZ38)+(1/DZ39)+(1/DZ40)+(1/DZ41)+(1/DZ42)+(1/DZ43)+(1/DZ44)+(1/DZ45))^-1</f>
        <v>1549876377213.3938</v>
      </c>
      <c r="EC38">
        <v>1</v>
      </c>
      <c r="ED38">
        <f>C1*(0.5)^(EE35/3.67)</f>
        <v>1.5684133001256724E-5</v>
      </c>
      <c r="EE38">
        <f t="shared" ref="EE38:EE44" si="38">$ED$38+EC38*$H$2</f>
        <v>1.5784133001256723E-5</v>
      </c>
      <c r="EF38">
        <f>((8*$F$1*$H$26)/(3.1415))*(((EE38)^4-(ED38)^4)-(((EE38)^2-(ED38)^2)^2/(LN(EE38/ED38))))^-1</f>
        <v>2.6467253572690092E+19</v>
      </c>
      <c r="EG38">
        <f>(1/(2^EE35))*((1/EF38)+(1/EF39)+(1/EF40)+(1/EF41)+(1/EF42)+(1/EF43)+(1/EF44))^-1</f>
        <v>884602737434.32324</v>
      </c>
      <c r="EI38">
        <v>1</v>
      </c>
      <c r="EJ38">
        <f>C1*(0.5)^(EK35/3.59)</f>
        <v>1.1786790678133225E-5</v>
      </c>
      <c r="EK38">
        <f>$EJ$38+EI38*$H$2</f>
        <v>1.1886790678133226E-5</v>
      </c>
      <c r="EL38">
        <f>((8*$F$1*$H$27)/(3.1415))*(((EK38)^4-(EJ38)^4)-(((EK38)^2-(EJ38)^2)^2/(LN(EK38/EJ38))))^-1</f>
        <v>2.9126813884188934E+19</v>
      </c>
      <c r="EM38">
        <f>(1/(2^EK35))*((1/EL38)+(1/EL39)+(1/EL40)+(1/EL41)+(1/EL42)+(1/EL43))^-1</f>
        <v>566728192700.32239</v>
      </c>
      <c r="EO38">
        <v>1</v>
      </c>
      <c r="EP38">
        <f>C1*(0.5)^(EQ35/3.67)</f>
        <v>1.0750074462726314E-5</v>
      </c>
      <c r="EQ38">
        <f>$EP$38+EO38*$H$2</f>
        <v>1.0850074462726315E-5</v>
      </c>
      <c r="ER38">
        <f>((8*$F$1*$H$28)/(3.1415))*(((EQ38)^4-(EP38)^4)-(((EQ38)^2-(EP38)^2)^2/(LN(EQ38/EP38))))^-1</f>
        <v>2.6428686087897412E+19</v>
      </c>
      <c r="ES38">
        <f>(1/(2^EQ35))*((1/ER38)+(1/ER39)+(1/ER40)+(1/ER41)+(1/ER42))^-1</f>
        <v>309326280539.75751</v>
      </c>
      <c r="EU38">
        <v>1</v>
      </c>
      <c r="EV38">
        <f>C1*(0.5)^(EW35/3.67)</f>
        <v>8.899937370985854E-6</v>
      </c>
      <c r="EW38">
        <f>$EV$38+EU38*$H$2</f>
        <v>8.9999373709858547E-6</v>
      </c>
      <c r="EX38">
        <f>((8*$F$1*$H$29)/(3.1415))*(((EW38)^4-(EV38)^4)-(((EW38)^2-(EV38)^2)^2/(LN(EW38/EV38))))^-1</f>
        <v>2.6403258098002731E+19</v>
      </c>
      <c r="EY38">
        <f>(1/(2^EW35))*((1/EX38)+(1/EX39)+(1/EX40)+(1/EX41))^-1</f>
        <v>193476962491.97122</v>
      </c>
      <c r="FA38">
        <v>1</v>
      </c>
      <c r="FB38">
        <f>C1*(0.5)^(FC35/3.67)</f>
        <v>7.3682173534807782E-6</v>
      </c>
      <c r="FC38">
        <f>$FB$38+FA38*$H$2</f>
        <v>7.4682173534807781E-6</v>
      </c>
      <c r="FD38">
        <f>((8*$F$1*$H$30)/(3.1415))*(((FC38)^4-(FB38)^4)-(((FC38)^2-(FB38)^2)^2/(LN(FC38/FB38))))^-1</f>
        <v>2.6372604972026712E+19</v>
      </c>
      <c r="FE38">
        <f>(1/(2^FC35))*((1/FD38)+(1/FD39)+(1/FD40))^-1</f>
        <v>129251799781.74957</v>
      </c>
      <c r="FG38">
        <v>1</v>
      </c>
      <c r="FH38">
        <f>C1*(0.5)^(FI35/3.67)</f>
        <v>6.1001133721597717E-6</v>
      </c>
      <c r="FI38">
        <f>$FH$38+FG38*$H$2</f>
        <v>6.2001133721597715E-6</v>
      </c>
      <c r="FJ38">
        <f>((8*$F$1*$H$31)/(3.1415))*(((FI38)^4-(FH38)^4)-(((FI38)^2-(FH38)^2)^2/(LN(FI38/FH38))))^-1</f>
        <v>2.6335668179736211E+19</v>
      </c>
      <c r="FK38">
        <f>(1/(2^FI35))*((1/FJ38)+(1/FJ39))^-1</f>
        <v>97316836881.977997</v>
      </c>
      <c r="FM38">
        <v>1</v>
      </c>
      <c r="FN38">
        <f>C1*(0.5)^(FO35/3.67)</f>
        <v>5.0502558988197649E-6</v>
      </c>
      <c r="FO38">
        <f>$FN$38+FM38*$H$2</f>
        <v>5.1502558988197648E-6</v>
      </c>
      <c r="FP38">
        <f>((8*$F$1*$H$32)/(3.1415))*(((FO38)^4-(FN38)^4)-(((FO38)^2-(FN38)^2)^2/(LN(FO38/FN38))))^-1</f>
        <v>2.6291181634761769E+19</v>
      </c>
      <c r="FQ38">
        <f>(1/(2^FO35))*((1/FP38))^-1</f>
        <v>97942283879.078064</v>
      </c>
    </row>
    <row r="39" spans="1:173" x14ac:dyDescent="0.35">
      <c r="A39">
        <f>A38+1</f>
        <v>2</v>
      </c>
      <c r="B39">
        <f>C38</f>
        <v>1.0001000000000001E-3</v>
      </c>
      <c r="C39">
        <f t="shared" si="17"/>
        <v>1.0001999999999999E-3</v>
      </c>
      <c r="D39">
        <f t="shared" ref="D39:D57" si="39">((8*$F$1*$H$4)/(3.1415))*(((C39)^4-(B39)^4)-(((C39)^2-(B39)^2)^2/(LN(C39/B39))))^-1</f>
        <v>7.9663984947980288E+19</v>
      </c>
      <c r="G39">
        <f>G38+1</f>
        <v>2</v>
      </c>
      <c r="H39">
        <f>I38</f>
        <v>8.2799541615219201E-4</v>
      </c>
      <c r="I39">
        <f t="shared" si="18"/>
        <v>8.2809541615219207E-4</v>
      </c>
      <c r="J39">
        <f t="shared" ref="J39:J57" si="40">((8*$F$1*$H$5)/(3.1415))*(((I39)^4-(H39)^4)-(((I39)^2-(H39)^2)^2/(LN(I39/H39))))^-1</f>
        <v>2.6547773350419132E+19</v>
      </c>
      <c r="M39">
        <f>M38+1</f>
        <v>2</v>
      </c>
      <c r="N39">
        <f>O38</f>
        <v>6.8551082008581118E-4</v>
      </c>
      <c r="O39">
        <f t="shared" si="19"/>
        <v>6.8561082008581123E-4</v>
      </c>
      <c r="P39">
        <f t="shared" ref="P39:P57" si="41">((8*$H$1*$H$6)/(3.1415))*(((O39)^4-(N39)^4)-(((O39)^2-(N39)^2)^2/(LN(O39/N39))))^-1</f>
        <v>3.3990853428556562E+19</v>
      </c>
      <c r="S39">
        <f>S38+1</f>
        <v>2</v>
      </c>
      <c r="T39">
        <f>U38</f>
        <v>5.6754847613015784E-4</v>
      </c>
      <c r="U39">
        <f t="shared" si="20"/>
        <v>5.6764847613015789E-4</v>
      </c>
      <c r="V39">
        <f t="shared" ref="V39:V57" si="42">((8*$F$1*$H$7)/(3.1415))*(((U39)^4-(T39)^4)-(((U39)^2-(T39)^2)^2/(LN(U39/T39))))^-1</f>
        <v>2.654323864871066E+19</v>
      </c>
      <c r="Y39">
        <f>Y38+1</f>
        <v>2</v>
      </c>
      <c r="Z39">
        <f>AA38</f>
        <v>4.698879922907043E-4</v>
      </c>
      <c r="AA39">
        <f t="shared" si="21"/>
        <v>4.699879922907043E-4</v>
      </c>
      <c r="AB39">
        <f t="shared" ref="AB39:AB57" si="43">((8*$F$1*$H$8)/(3.1415))*(((AA39)^4-(Z39)^4)-(((AA39)^2-(Z39)^2)^2/(LN(AA39/Z39))))^-1</f>
        <v>2.6542937040056357E+19</v>
      </c>
      <c r="AE39">
        <f>AE38+1</f>
        <v>2</v>
      </c>
      <c r="AF39">
        <f>AG38</f>
        <v>3.8903532538081537E-4</v>
      </c>
      <c r="AG39">
        <f t="shared" si="22"/>
        <v>3.8913532538081537E-4</v>
      </c>
      <c r="AH39">
        <f t="shared" ref="AH39:AH57" si="44">((8*$F$1*$H$9)/(3.1415))*(((AG39)^4-(AF39)^4)-(((AG39)^2-(AF39)^2)^2/(LN(AG39/AF39))))^-1</f>
        <v>2.6541037816092668E+19</v>
      </c>
      <c r="AK39">
        <f>AK38+1</f>
        <v>2</v>
      </c>
      <c r="AL39">
        <f>AM38</f>
        <v>3.2209777306243842E-4</v>
      </c>
      <c r="AM39">
        <f t="shared" si="23"/>
        <v>3.2219777306243842E-4</v>
      </c>
      <c r="AN39">
        <f t="shared" ref="AN39:AN57" si="45">((8*$F$1*$H$10)/(3.1415))*(((AM39)^4-(AL39)^4)-(((AM39)^2-(AL39)^2)^2/(LN(AM39/AL39))))^-1</f>
        <v>2.6539396530636939E+19</v>
      </c>
      <c r="AQ39">
        <f>AQ38+1</f>
        <v>2</v>
      </c>
      <c r="AR39">
        <f>AS38</f>
        <v>2.6668048032960659E-4</v>
      </c>
      <c r="AS39">
        <f t="shared" si="24"/>
        <v>2.6678048032960659E-4</v>
      </c>
      <c r="AT39">
        <f t="shared" ref="AT39:AT57" si="46">((8*$F$1*$H$11)/(3.1415))*(((AS39)^4-(AR39)^4)-(((AS39)^2-(AR39)^2)^2/(LN(AS39/AR39))))^-1</f>
        <v>2.6536914179364553E+19</v>
      </c>
      <c r="AW39">
        <f>AW38+1</f>
        <v>2</v>
      </c>
      <c r="AX39">
        <f>AY38</f>
        <v>2.2080075770053087E-4</v>
      </c>
      <c r="AY39">
        <f t="shared" si="25"/>
        <v>2.2090075770053087E-4</v>
      </c>
      <c r="AZ39">
        <f t="shared" ref="AZ39:AZ57" si="47">((8*$F$1*$H$12)/(3.1415))*(((AY39)^4-(AX39)^4)-(((AY39)^2-(AX39)^2)^2/(LN(AY39/AX39))))^-1</f>
        <v>2.6533577649843053E+19</v>
      </c>
      <c r="BC39">
        <f>BC38+1</f>
        <v>2</v>
      </c>
      <c r="BD39">
        <f>BE38</f>
        <v>1.8281714564158508E-4</v>
      </c>
      <c r="BE39">
        <f t="shared" si="26"/>
        <v>1.8291714564158508E-4</v>
      </c>
      <c r="BF39">
        <f t="shared" ref="BF39:BF56" si="48">((8*$H$13*$F$1)/(3.1415))*(((BE39)^4-(BD39)^4)-(((BE39)^2-(BD39)^2)^2/(LN(BE39/BD39))))^-1</f>
        <v>2.6529932985396929E+19</v>
      </c>
      <c r="BI39">
        <f>BI38+1</f>
        <v>2</v>
      </c>
      <c r="BJ39">
        <f>BK38</f>
        <v>1.5137068732908076E-4</v>
      </c>
      <c r="BK39">
        <f t="shared" si="27"/>
        <v>1.5147068732908076E-4</v>
      </c>
      <c r="BL39">
        <f t="shared" ref="BL39:BL55" si="49">((8*$F$1*$H$14)/(3.1415))*(((BK39)^4-(BJ39)^4)-(((BK39)^2-(BJ39)^2)^2/(LN(BK39/BJ39))))^-1</f>
        <v>2.6525309673233666E+19</v>
      </c>
      <c r="BO39">
        <f>BO38+1</f>
        <v>2</v>
      </c>
      <c r="BP39">
        <f>BQ38</f>
        <v>1.2533630863793745E-4</v>
      </c>
      <c r="BQ39">
        <f t="shared" si="28"/>
        <v>1.2543630863793746E-4</v>
      </c>
      <c r="BR39">
        <f t="shared" ref="BR39:BR47" si="50">((8*$F$1*$H$15)/(3.1415))*(((BQ39)^4-(BP39)^4)-(((BQ39)^2-(BP39)^2)^2/(LN(BQ39/BP39))))^-1</f>
        <v>2.6519871318865797E+19</v>
      </c>
      <c r="BU39">
        <f>BU38+1</f>
        <v>2</v>
      </c>
      <c r="BV39">
        <f>BW38</f>
        <v>1.0378256585716962E-4</v>
      </c>
      <c r="BW39">
        <f t="shared" si="29"/>
        <v>1.0388256585716963E-4</v>
      </c>
      <c r="BX39">
        <f t="shared" ref="BX39:BX46" si="51">((8*$F$1*$H$16)/(3.1415))*(((BW39)^4-(BV39)^4)-(((BW39)^2-(BV39)^2)^2/(LN(BW39/BV39))))^-1</f>
        <v>2.6513279878370738E+19</v>
      </c>
      <c r="CA39">
        <f>CA38+1</f>
        <v>2</v>
      </c>
      <c r="CB39">
        <f>CC38</f>
        <v>8.5938321008048488E-5</v>
      </c>
      <c r="CC39">
        <f t="shared" si="30"/>
        <v>8.603832100804849E-5</v>
      </c>
      <c r="CD39">
        <f t="shared" ref="CD39:CD52" si="52">((8*$H$1*$H$17)/(3.1415))*(((CC39)^4-(CB39)^4)-(((CC39)^2-(CB39)^2)^2/(LN(CC39/CB39))))^-1</f>
        <v>3.3937189639469822E+19</v>
      </c>
      <c r="CG39">
        <f>CG38+1</f>
        <v>2</v>
      </c>
      <c r="CH39">
        <f>CI38</f>
        <v>7.1165152492763738E-5</v>
      </c>
      <c r="CI39">
        <f t="shared" si="31"/>
        <v>7.126515249276374E-5</v>
      </c>
      <c r="CJ39">
        <f t="shared" ref="CJ39:CJ51" si="53">((8*$H$1*$H$18)/(3.1415))*(((CI39)^4-(CH39)^4)-(((CI39)^2-(CH39)^2)^2/(LN(CI39/CH39))))^-1</f>
        <v>3.392489210299487E+19</v>
      </c>
      <c r="CM39">
        <f>CM38+1</f>
        <v>2</v>
      </c>
      <c r="CN39">
        <f>CO38</f>
        <v>5.8934513996915602E-5</v>
      </c>
      <c r="CO39">
        <f t="shared" si="32"/>
        <v>5.9034513996915598E-5</v>
      </c>
      <c r="CP39">
        <f t="shared" ref="CP39:CP50" si="54">((8*$H$1*$H$19)/(3.1415))*(((CO39)^4-(CN39)^4)-(((CO39)^2-(CN39)^2)^2/(LN(CO39/CN39))))^-1</f>
        <v>3.39100435125038E+19</v>
      </c>
      <c r="CS39">
        <f>CS38+1</f>
        <v>2</v>
      </c>
      <c r="CT39">
        <f>CU38</f>
        <v>4.8808824449588424E-5</v>
      </c>
      <c r="CU39">
        <f t="shared" si="33"/>
        <v>4.8908824449588419E-5</v>
      </c>
      <c r="CV39">
        <f t="shared" ref="CV39:CV49" si="55">((8*$H$1*$H$20)/(3.1415))*(((CU39)^4-(CT39)^4)-(((CU39)^2-(CT39)^2)^2/(LN(CU39/CT39))))^-1</f>
        <v>3.3892124215385686E+19</v>
      </c>
      <c r="CY39">
        <f>CY38+1</f>
        <v>2</v>
      </c>
      <c r="CZ39">
        <f>DA38</f>
        <v>4.0425812487976075E-5</v>
      </c>
      <c r="DA39">
        <f t="shared" si="34"/>
        <v>4.0525812487976071E-5</v>
      </c>
      <c r="DB39">
        <f t="shared" ref="DB39:DB48" si="56">((8*$H$1*$H$21)/(3.1415))*(((DA39)^4-(CZ39)^4)-(((DA39)^2-(CZ39)^2)^2/(LN(DA39/CZ39))))^-1</f>
        <v>3.3870507094049149E+19</v>
      </c>
      <c r="DE39">
        <f>DE38+1</f>
        <v>2</v>
      </c>
      <c r="DF39">
        <f>DG38</f>
        <v>3.3485555311408214E-5</v>
      </c>
      <c r="DG39">
        <f t="shared" si="35"/>
        <v>3.358555531140821E-5</v>
      </c>
      <c r="DH39">
        <f t="shared" ref="DH39:DH47" si="57">((8*$H$1*$H$22)/(3.1415))*(((DG39)^4-(DF39)^4)-(((DG39)^2-(DF39)^2)^2/(LN(DG39/DF39))))^-1</f>
        <v>3.3844431649500627E+19</v>
      </c>
      <c r="DK39">
        <f>DK38+1</f>
        <v>2</v>
      </c>
      <c r="DL39">
        <f>DM38</f>
        <v>2.7739748208010322E-5</v>
      </c>
      <c r="DM39">
        <f t="shared" si="36"/>
        <v>2.7839748208010324E-5</v>
      </c>
      <c r="DN39">
        <f t="shared" ref="DN39:DN46" si="58">((8*$H$1*$H$23)/(3.1415))*(((DM39)^4-(DL39)^4)-(((DM39)^2-(DL39)^2)^2/(LN(DM39/DL39))))^-1</f>
        <v>3.3812988906633069E+19</v>
      </c>
      <c r="DQ39">
        <f>DQ38+1</f>
        <v>2</v>
      </c>
      <c r="DR39">
        <f>DS38</f>
        <v>2.2982820845012507E-5</v>
      </c>
      <c r="DS39">
        <f t="shared" si="37"/>
        <v>2.3082820845012509E-5</v>
      </c>
      <c r="DT39">
        <f>((8*$H$1*$H$24)/(3.1415))*(((DS39)^4-(DR39)^4)-(((DS39)^2-(DR39)^2)^2/(LN(DS39/DR39))))^-1</f>
        <v>3.3775087569034543E+19</v>
      </c>
      <c r="DW39">
        <v>2</v>
      </c>
      <c r="DX39">
        <f>DY38</f>
        <v>1.9044582486217699E-5</v>
      </c>
      <c r="DY39">
        <f>$DX$38+DW39*$H$2</f>
        <v>1.9144582486217702E-5</v>
      </c>
      <c r="DZ39">
        <f t="shared" ref="DZ39:DZ45" si="59">((8*$F$1*$H$25)/(3.1415))*(((DY39)^4-(DX39)^4)-(((DY39)^2-(DX39)^2)^2/(LN(DY39/DX39))))^-1</f>
        <v>2.63430553636772E+19</v>
      </c>
      <c r="EC39">
        <v>2</v>
      </c>
      <c r="ED39">
        <f>EE38</f>
        <v>1.5784133001256723E-5</v>
      </c>
      <c r="EE39">
        <f t="shared" si="38"/>
        <v>1.5884133001256725E-5</v>
      </c>
      <c r="EF39">
        <f t="shared" ref="EF39:EF44" si="60">((8*$F$1*$H$26)/(3.1415))*(((EE39)^4-(ED39)^4)-(((EE39)^2-(ED39)^2)^2/(LN(EE39/ED39))))^-1</f>
        <v>2.6300100601461256E+19</v>
      </c>
      <c r="EI39">
        <v>2</v>
      </c>
      <c r="EJ39">
        <f>EK38</f>
        <v>1.1886790678133226E-5</v>
      </c>
      <c r="EK39">
        <f>$EJ$38+EI39*$H$2</f>
        <v>1.1986790678133225E-5</v>
      </c>
      <c r="EL39">
        <f t="shared" ref="EL39:EL43" si="61">((8*$F$1*$H$27)/(3.1415))*(((EK39)^4-(EJ39)^4)-(((EK39)^2-(EJ39)^2)^2/(LN(EK39/EJ39))))^-1</f>
        <v>2.8882805714295669E+19</v>
      </c>
      <c r="EO39">
        <v>2</v>
      </c>
      <c r="EP39">
        <f>EQ38</f>
        <v>1.0850074462726315E-5</v>
      </c>
      <c r="EQ39">
        <f>$EP$38+EO39*$H$2</f>
        <v>1.0950074462726314E-5</v>
      </c>
      <c r="ER39">
        <f>((8*$F$1*$H$28)/(3.1415))*(((EQ39)^4-(EP39)^4)-(((EQ39)^2-(EP39)^2)^2/(LN(EQ39/EP39))))^-1</f>
        <v>2.6186223420643123E+19</v>
      </c>
      <c r="EU39">
        <v>2</v>
      </c>
      <c r="EV39">
        <f>EW38</f>
        <v>8.9999373709858547E-6</v>
      </c>
      <c r="EW39">
        <f>$EV$38+EU39*$H$2</f>
        <v>9.0999373709858537E-6</v>
      </c>
      <c r="EX39">
        <f>((8*$F$1*$H$29)/(3.1415))*(((EW39)^4-(EV39)^4)-(((EW39)^2-(EV39)^2)^2/(LN(EW39/EV39))))^-1</f>
        <v>2.6111508561245135E+19</v>
      </c>
      <c r="FA39">
        <v>2</v>
      </c>
      <c r="FB39">
        <f>FC38</f>
        <v>7.4682173534807781E-6</v>
      </c>
      <c r="FC39">
        <f>$FB$38+FA39*$H$2</f>
        <v>7.568217353480778E-6</v>
      </c>
      <c r="FD39">
        <f>((8*$F$1*$H$30)/(3.1415))*(((FC39)^4-(FB39)^4)-(((FC39)^2-(FB39)^2)^2/(LN(FC39/FB39))))^-1</f>
        <v>2.6021824372172386E+19</v>
      </c>
      <c r="FG39">
        <v>2</v>
      </c>
      <c r="FH39">
        <f>FI38</f>
        <v>6.2001133721597715E-6</v>
      </c>
      <c r="FI39">
        <f>$FH$38+FG39*$H$2</f>
        <v>6.3001133721597714E-6</v>
      </c>
      <c r="FJ39">
        <f>((8*$F$1*$H$31)/(3.1415))*(((FI39)^4-(FH39)^4)-(((FI39)^2-(FH39)^2)^2/(LN(FI39/FH39))))^-1</f>
        <v>2.5914308758284071E+19</v>
      </c>
    </row>
    <row r="40" spans="1:173" x14ac:dyDescent="0.35">
      <c r="A40">
        <f t="shared" ref="A40:A56" si="62">A39+1</f>
        <v>3</v>
      </c>
      <c r="B40">
        <f t="shared" ref="B40:B57" si="63">C39</f>
        <v>1.0001999999999999E-3</v>
      </c>
      <c r="C40">
        <f t="shared" si="17"/>
        <v>1.0003E-3</v>
      </c>
      <c r="D40">
        <f t="shared" si="39"/>
        <v>7.9590646558104109E+19</v>
      </c>
      <c r="G40">
        <f t="shared" ref="G40:G54" si="64">G39+1</f>
        <v>3</v>
      </c>
      <c r="H40">
        <f t="shared" ref="H40:H57" si="65">I39</f>
        <v>8.2809541615219207E-4</v>
      </c>
      <c r="I40">
        <f t="shared" si="18"/>
        <v>8.2819541615219202E-4</v>
      </c>
      <c r="J40">
        <f t="shared" si="40"/>
        <v>2.6547691545631642E+19</v>
      </c>
      <c r="M40">
        <f t="shared" ref="M40:M54" si="66">M39+1</f>
        <v>3</v>
      </c>
      <c r="N40">
        <f t="shared" ref="N40:N57" si="67">O39</f>
        <v>6.8561082008581123E-4</v>
      </c>
      <c r="O40">
        <f t="shared" si="19"/>
        <v>6.8571082008581118E-4</v>
      </c>
      <c r="P40">
        <f t="shared" si="41"/>
        <v>3.3986639653253169E+19</v>
      </c>
      <c r="S40">
        <f t="shared" ref="S40:S54" si="68">S39+1</f>
        <v>3</v>
      </c>
      <c r="T40">
        <f t="shared" ref="T40:T57" si="69">U39</f>
        <v>5.6764847613015789E-4</v>
      </c>
      <c r="U40">
        <f t="shared" si="20"/>
        <v>5.6774847613015784E-4</v>
      </c>
      <c r="V40">
        <f t="shared" si="42"/>
        <v>2.6541537710460707E+19</v>
      </c>
      <c r="Y40">
        <f t="shared" ref="Y40:Y54" si="70">Y39+1</f>
        <v>3</v>
      </c>
      <c r="Z40">
        <f t="shared" ref="Z40:Z57" si="71">AA39</f>
        <v>4.699879922907043E-4</v>
      </c>
      <c r="AA40">
        <f t="shared" si="21"/>
        <v>4.700879922907043E-4</v>
      </c>
      <c r="AB40">
        <f t="shared" si="43"/>
        <v>2.6537373507987083E+19</v>
      </c>
      <c r="AE40">
        <f t="shared" ref="AE40:AE57" si="72">AE39+1</f>
        <v>3</v>
      </c>
      <c r="AF40">
        <f t="shared" ref="AF40:AF57" si="73">AG39</f>
        <v>3.8913532538081537E-4</v>
      </c>
      <c r="AG40">
        <f t="shared" si="22"/>
        <v>3.8923532538081537E-4</v>
      </c>
      <c r="AH40">
        <f t="shared" si="44"/>
        <v>2.6534642786686632E+19</v>
      </c>
      <c r="AK40">
        <f t="shared" ref="AK40:AK57" si="74">AK39+1</f>
        <v>3</v>
      </c>
      <c r="AL40">
        <f t="shared" ref="AL40:AL57" si="75">AM39</f>
        <v>3.2219777306243842E-4</v>
      </c>
      <c r="AM40">
        <f t="shared" si="23"/>
        <v>3.2229777306243843E-4</v>
      </c>
      <c r="AN40">
        <f t="shared" si="45"/>
        <v>2.6531097924214866E+19</v>
      </c>
      <c r="AQ40">
        <f t="shared" ref="AQ40:AQ57" si="76">AQ39+1</f>
        <v>3</v>
      </c>
      <c r="AR40">
        <f t="shared" ref="AR40:AR57" si="77">AS39</f>
        <v>2.6678048032960659E-4</v>
      </c>
      <c r="AS40">
        <f t="shared" si="24"/>
        <v>2.6688048032960659E-4</v>
      </c>
      <c r="AT40">
        <f t="shared" si="46"/>
        <v>2.6526599337640571E+19</v>
      </c>
      <c r="AW40">
        <f t="shared" ref="AW40:AW57" si="78">AW39+1</f>
        <v>3</v>
      </c>
      <c r="AX40">
        <f t="shared" ref="AX40:AX57" si="79">AY39</f>
        <v>2.2090075770053087E-4</v>
      </c>
      <c r="AY40">
        <f t="shared" si="25"/>
        <v>2.2100075770053088E-4</v>
      </c>
      <c r="AZ40">
        <f t="shared" si="47"/>
        <v>2.6521642469283189E+19</v>
      </c>
      <c r="BC40">
        <f t="shared" ref="BC40:BC56" si="80">BC39+1</f>
        <v>3</v>
      </c>
      <c r="BD40">
        <f t="shared" ref="BD40:BD56" si="81">BE39</f>
        <v>1.8291714564158508E-4</v>
      </c>
      <c r="BE40">
        <f t="shared" si="26"/>
        <v>1.8301714564158508E-4</v>
      </c>
      <c r="BF40">
        <f t="shared" si="48"/>
        <v>2.6515386901018296E+19</v>
      </c>
      <c r="BI40">
        <f t="shared" ref="BI40:BI55" si="82">BI39+1</f>
        <v>3</v>
      </c>
      <c r="BJ40">
        <f t="shared" ref="BJ40:BJ55" si="83">BK39</f>
        <v>1.5147068732908076E-4</v>
      </c>
      <c r="BK40">
        <f t="shared" si="27"/>
        <v>1.5157068732908076E-4</v>
      </c>
      <c r="BL40">
        <f t="shared" si="49"/>
        <v>2.6507849704919896E+19</v>
      </c>
      <c r="BO40">
        <f t="shared" ref="BO40:BO54" si="84">BO39+1</f>
        <v>3</v>
      </c>
      <c r="BP40">
        <f t="shared" ref="BP40:BP54" si="85">BQ39</f>
        <v>1.2543630863793746E-4</v>
      </c>
      <c r="BQ40">
        <f t="shared" si="28"/>
        <v>1.2553630863793746E-4</v>
      </c>
      <c r="BR40">
        <f t="shared" si="50"/>
        <v>2.6498757668401807E+19</v>
      </c>
      <c r="BU40">
        <f t="shared" ref="BU40:BU53" si="86">BU39+1</f>
        <v>3</v>
      </c>
      <c r="BV40">
        <f t="shared" ref="BV40:BV53" si="87">BW39</f>
        <v>1.0388256585716963E-4</v>
      </c>
      <c r="BW40">
        <f t="shared" si="29"/>
        <v>1.0398256585716961E-4</v>
      </c>
      <c r="BX40">
        <f t="shared" si="51"/>
        <v>2.6487790175245763E+19</v>
      </c>
      <c r="CA40">
        <f t="shared" ref="CA40:CA52" si="88">CA39+1</f>
        <v>3</v>
      </c>
      <c r="CB40">
        <f t="shared" ref="CB40:CB52" si="89">CC39</f>
        <v>8.603832100804849E-5</v>
      </c>
      <c r="CC40">
        <f t="shared" si="30"/>
        <v>8.6138321008048479E-5</v>
      </c>
      <c r="CD40">
        <f t="shared" si="52"/>
        <v>3.3897778533412786E+19</v>
      </c>
      <c r="CG40">
        <f t="shared" ref="CG40:CG51" si="90">CG39+1</f>
        <v>3</v>
      </c>
      <c r="CH40">
        <f t="shared" ref="CH40:CH51" si="91">CI39</f>
        <v>7.126515249276374E-5</v>
      </c>
      <c r="CI40">
        <f t="shared" si="31"/>
        <v>7.1365152492763729E-5</v>
      </c>
      <c r="CJ40">
        <f t="shared" si="53"/>
        <v>3.3877323956864881E+19</v>
      </c>
      <c r="CM40">
        <f t="shared" ref="CM40:CM50" si="92">CM39+1</f>
        <v>3</v>
      </c>
      <c r="CN40">
        <f t="shared" ref="CN40:CN50" si="93">CO39</f>
        <v>5.9034513996915598E-5</v>
      </c>
      <c r="CO40">
        <f t="shared" si="32"/>
        <v>5.91345139969156E-5</v>
      </c>
      <c r="CP40">
        <f t="shared" si="54"/>
        <v>3.3852650712344158E+19</v>
      </c>
      <c r="CS40">
        <f t="shared" ref="CS40:CS49" si="94">CS39+1</f>
        <v>3</v>
      </c>
      <c r="CT40">
        <f t="shared" ref="CT40:CT49" si="95">CU39</f>
        <v>4.8908824449588419E-5</v>
      </c>
      <c r="CU40">
        <f t="shared" si="33"/>
        <v>4.9008824449588422E-5</v>
      </c>
      <c r="CV40">
        <f t="shared" si="55"/>
        <v>3.3822900123091481E+19</v>
      </c>
      <c r="CY40">
        <f t="shared" ref="CY40:CY48" si="96">CY39+1</f>
        <v>3</v>
      </c>
      <c r="CZ40">
        <f t="shared" ref="CZ40:CZ48" si="97">DA39</f>
        <v>4.0525812487976071E-5</v>
      </c>
      <c r="DA40">
        <f t="shared" si="34"/>
        <v>4.0625812487976073E-5</v>
      </c>
      <c r="DB40">
        <f t="shared" si="56"/>
        <v>3.3787031984794821E+19</v>
      </c>
      <c r="DE40">
        <f t="shared" ref="DE40:DE47" si="98">DE39+1</f>
        <v>3</v>
      </c>
      <c r="DF40">
        <f t="shared" ref="DF40:DF47" si="99">DG39</f>
        <v>3.358555531140821E-5</v>
      </c>
      <c r="DG40">
        <f t="shared" si="35"/>
        <v>3.3685555311408212E-5</v>
      </c>
      <c r="DH40">
        <f t="shared" si="57"/>
        <v>3.3743811252105871E+19</v>
      </c>
      <c r="DK40">
        <f t="shared" ref="DK40:DK46" si="100">DK39+1</f>
        <v>3</v>
      </c>
      <c r="DL40">
        <f t="shared" ref="DL40:DL46" si="101">DM39</f>
        <v>2.7839748208010324E-5</v>
      </c>
      <c r="DM40">
        <f t="shared" si="36"/>
        <v>2.7939748208010324E-5</v>
      </c>
      <c r="DN40">
        <f t="shared" si="58"/>
        <v>3.369175110366865E+19</v>
      </c>
      <c r="DQ40">
        <f t="shared" ref="DQ40:DQ45" si="102">DQ39+1</f>
        <v>3</v>
      </c>
      <c r="DR40">
        <f t="shared" ref="DR40:DR45" si="103">DS39</f>
        <v>2.3082820845012509E-5</v>
      </c>
      <c r="DS40">
        <f t="shared" si="37"/>
        <v>2.3182820845012508E-5</v>
      </c>
      <c r="DT40">
        <f t="shared" ref="DT40:DT45" si="104">((8*$H$1*$H$24)/(3.1415))*(((DS40)^4-(DR40)^4)-(((DS40)^2-(DR40)^2)^2/(LN(DS40/DR40))))^-1</f>
        <v>3.3629082595291009E+19</v>
      </c>
      <c r="DW40">
        <v>3</v>
      </c>
      <c r="DX40">
        <f t="shared" ref="DX40:DX45" si="105">DY39</f>
        <v>1.9144582486217702E-5</v>
      </c>
      <c r="DY40">
        <f>$DX$38+DW40*$H$2</f>
        <v>1.9244582486217701E-5</v>
      </c>
      <c r="DZ40">
        <f t="shared" si="59"/>
        <v>2.6205813274378895E+19</v>
      </c>
      <c r="EC40">
        <v>3</v>
      </c>
      <c r="ED40">
        <f t="shared" ref="ED40:ED44" si="106">EE39</f>
        <v>1.5884133001256725E-5</v>
      </c>
      <c r="EE40">
        <f t="shared" si="38"/>
        <v>1.5984133001256724E-5</v>
      </c>
      <c r="EF40">
        <f t="shared" si="60"/>
        <v>2.6135045700406288E+19</v>
      </c>
      <c r="EI40">
        <v>3</v>
      </c>
      <c r="EJ40">
        <f t="shared" ref="EJ40:EJ43" si="107">EK39</f>
        <v>1.1986790678133225E-5</v>
      </c>
      <c r="EK40">
        <f>$EJ$38+EI40*$H$2</f>
        <v>1.2086790678133226E-5</v>
      </c>
      <c r="EL40">
        <f t="shared" si="61"/>
        <v>2.8642851886414238E+19</v>
      </c>
      <c r="EO40">
        <v>3</v>
      </c>
      <c r="EP40">
        <f t="shared" ref="EP40:EP42" si="108">EQ39</f>
        <v>1.0950074462726314E-5</v>
      </c>
      <c r="EQ40">
        <f t="shared" ref="EQ40:EQ42" si="109">$EP$38+EO40*$H$2</f>
        <v>1.1050074462726315E-5</v>
      </c>
      <c r="ER40">
        <f t="shared" ref="ER40:ER42" si="110">((8*$F$1*$H$28)/(3.1415))*(((EQ40)^4-(EP40)^4)-(((EQ40)^2-(EP40)^2)^2/(LN(EQ40/EP40))))^-1</f>
        <v>2.5948169129469129E+19</v>
      </c>
      <c r="EU40">
        <v>3</v>
      </c>
      <c r="EV40">
        <f>EW39</f>
        <v>9.0999373709858537E-6</v>
      </c>
      <c r="EW40">
        <f>$EV$38+EU40*$H$2</f>
        <v>9.1999373709858545E-6</v>
      </c>
      <c r="EX40">
        <f>((8*$F$1*$H$29)/(3.1415))*(((EW40)^4-(EV40)^4)-(((EW40)^2-(EV40)^2)^2/(LN(EW40/EV40))))^-1</f>
        <v>2.5826136089018384E+19</v>
      </c>
      <c r="FA40">
        <v>3</v>
      </c>
      <c r="FB40">
        <f>FC39</f>
        <v>7.568217353480778E-6</v>
      </c>
      <c r="FC40">
        <f>$FB$38+FA40*$H$2</f>
        <v>7.6682173534807779E-6</v>
      </c>
      <c r="FD40">
        <f>((8*$F$1*$H$30)/(3.1415))*(((FC40)^4-(FB40)^4)-(((FC40)^2-(FB40)^2)^2/(LN(FC40/FB40))))^-1</f>
        <v>2.5680252676691939E+19</v>
      </c>
    </row>
    <row r="41" spans="1:173" x14ac:dyDescent="0.35">
      <c r="A41">
        <f t="shared" si="62"/>
        <v>4</v>
      </c>
      <c r="B41">
        <f t="shared" si="63"/>
        <v>1.0003E-3</v>
      </c>
      <c r="C41">
        <f t="shared" si="17"/>
        <v>1.0004E-3</v>
      </c>
      <c r="D41">
        <f t="shared" si="39"/>
        <v>7.9609742265480446E+19</v>
      </c>
      <c r="G41">
        <f t="shared" si="64"/>
        <v>4</v>
      </c>
      <c r="H41">
        <f t="shared" si="65"/>
        <v>8.2819541615219202E-4</v>
      </c>
      <c r="I41">
        <f t="shared" si="18"/>
        <v>8.2829541615219208E-4</v>
      </c>
      <c r="J41">
        <f t="shared" si="40"/>
        <v>2.6546166986339426E+19</v>
      </c>
      <c r="M41">
        <f t="shared" si="66"/>
        <v>4</v>
      </c>
      <c r="N41">
        <f t="shared" si="67"/>
        <v>6.8571082008581118E-4</v>
      </c>
      <c r="O41">
        <f t="shared" si="19"/>
        <v>6.8581082008581124E-4</v>
      </c>
      <c r="P41">
        <f t="shared" si="41"/>
        <v>3.398051197375302E+19</v>
      </c>
      <c r="S41">
        <f t="shared" si="68"/>
        <v>4</v>
      </c>
      <c r="T41">
        <f t="shared" si="69"/>
        <v>5.6774847613015784E-4</v>
      </c>
      <c r="U41">
        <f t="shared" si="20"/>
        <v>5.678484761301579E-4</v>
      </c>
      <c r="V41">
        <f t="shared" si="42"/>
        <v>2.6533925279706456E+19</v>
      </c>
      <c r="Y41">
        <f t="shared" si="70"/>
        <v>4</v>
      </c>
      <c r="Z41">
        <f t="shared" si="71"/>
        <v>4.700879922907043E-4</v>
      </c>
      <c r="AA41">
        <f t="shared" si="21"/>
        <v>4.7018799229070431E-4</v>
      </c>
      <c r="AB41">
        <f t="shared" si="43"/>
        <v>2.6533005753820246E+19</v>
      </c>
      <c r="AE41">
        <f t="shared" si="72"/>
        <v>4</v>
      </c>
      <c r="AF41">
        <f t="shared" si="73"/>
        <v>3.8923532538081537E-4</v>
      </c>
      <c r="AG41">
        <f t="shared" si="22"/>
        <v>3.8933532538081538E-4</v>
      </c>
      <c r="AH41">
        <f t="shared" si="44"/>
        <v>2.6528135709058294E+19</v>
      </c>
      <c r="AK41">
        <f t="shared" si="74"/>
        <v>4</v>
      </c>
      <c r="AL41">
        <f t="shared" si="75"/>
        <v>3.2229777306243843E-4</v>
      </c>
      <c r="AM41">
        <f t="shared" si="23"/>
        <v>3.2239777306243843E-4</v>
      </c>
      <c r="AN41">
        <f t="shared" si="45"/>
        <v>2.652255273817831E+19</v>
      </c>
      <c r="AQ41">
        <f t="shared" si="76"/>
        <v>4</v>
      </c>
      <c r="AR41">
        <f t="shared" si="77"/>
        <v>2.6688048032960659E-4</v>
      </c>
      <c r="AS41">
        <f t="shared" si="24"/>
        <v>2.669804803296066E-4</v>
      </c>
      <c r="AT41">
        <f t="shared" si="46"/>
        <v>2.6516868761167811E+19</v>
      </c>
      <c r="AW41">
        <f t="shared" si="78"/>
        <v>4</v>
      </c>
      <c r="AX41">
        <f t="shared" si="79"/>
        <v>2.2100075770053088E-4</v>
      </c>
      <c r="AY41">
        <f t="shared" si="25"/>
        <v>2.2110075770053088E-4</v>
      </c>
      <c r="AZ41">
        <f t="shared" si="47"/>
        <v>2.6509695778739835E+19</v>
      </c>
      <c r="BC41">
        <f t="shared" si="80"/>
        <v>4</v>
      </c>
      <c r="BD41">
        <f t="shared" si="81"/>
        <v>1.8301714564158508E-4</v>
      </c>
      <c r="BE41">
        <f t="shared" si="26"/>
        <v>1.8311714564158508E-4</v>
      </c>
      <c r="BF41">
        <f t="shared" si="48"/>
        <v>2.6500809586304647E+19</v>
      </c>
      <c r="BI41">
        <f t="shared" si="82"/>
        <v>4</v>
      </c>
      <c r="BJ41">
        <f t="shared" si="83"/>
        <v>1.5157068732908076E-4</v>
      </c>
      <c r="BK41">
        <f t="shared" si="27"/>
        <v>1.5167068732908077E-4</v>
      </c>
      <c r="BL41">
        <f t="shared" si="49"/>
        <v>2.6490336669091582E+19</v>
      </c>
      <c r="BO41">
        <f t="shared" si="84"/>
        <v>4</v>
      </c>
      <c r="BP41">
        <f t="shared" si="85"/>
        <v>1.2553630863793746E-4</v>
      </c>
      <c r="BQ41">
        <f t="shared" si="28"/>
        <v>1.2563630863793746E-4</v>
      </c>
      <c r="BR41">
        <f t="shared" si="50"/>
        <v>2.6477667453929255E+19</v>
      </c>
      <c r="BU41">
        <f t="shared" si="86"/>
        <v>4</v>
      </c>
      <c r="BV41">
        <f t="shared" si="87"/>
        <v>1.0398256585716961E-4</v>
      </c>
      <c r="BW41">
        <f t="shared" si="29"/>
        <v>1.0408256585716962E-4</v>
      </c>
      <c r="BX41">
        <f t="shared" si="51"/>
        <v>2.6462313300745478E+19</v>
      </c>
      <c r="CA41">
        <f t="shared" si="88"/>
        <v>4</v>
      </c>
      <c r="CB41">
        <f t="shared" si="89"/>
        <v>8.6138321008048479E-5</v>
      </c>
      <c r="CC41">
        <f t="shared" si="30"/>
        <v>8.6238321008048481E-5</v>
      </c>
      <c r="CD41">
        <f t="shared" si="52"/>
        <v>3.3858435989202907E+19</v>
      </c>
      <c r="CG41">
        <f t="shared" si="90"/>
        <v>4</v>
      </c>
      <c r="CH41">
        <f t="shared" si="91"/>
        <v>7.1365152492763729E-5</v>
      </c>
      <c r="CI41">
        <f t="shared" si="31"/>
        <v>7.1465152492763731E-5</v>
      </c>
      <c r="CJ41">
        <f t="shared" si="53"/>
        <v>3.3829887369569247E+19</v>
      </c>
      <c r="CM41">
        <f t="shared" si="92"/>
        <v>4</v>
      </c>
      <c r="CN41">
        <f t="shared" si="93"/>
        <v>5.91345139969156E-5</v>
      </c>
      <c r="CO41">
        <f t="shared" si="32"/>
        <v>5.9234513996915602E-5</v>
      </c>
      <c r="CP41">
        <f t="shared" si="54"/>
        <v>3.379545122466288E+19</v>
      </c>
      <c r="CS41">
        <f t="shared" si="94"/>
        <v>4</v>
      </c>
      <c r="CT41">
        <f t="shared" si="95"/>
        <v>4.9008824449588422E-5</v>
      </c>
      <c r="CU41">
        <f t="shared" si="33"/>
        <v>4.9108824449588424E-5</v>
      </c>
      <c r="CV41">
        <f t="shared" si="55"/>
        <v>3.3753955049146798E+19</v>
      </c>
      <c r="CY41">
        <f t="shared" si="96"/>
        <v>4</v>
      </c>
      <c r="CZ41">
        <f t="shared" si="97"/>
        <v>4.0625812487976073E-5</v>
      </c>
      <c r="DA41">
        <f t="shared" si="34"/>
        <v>4.0725812487976076E-5</v>
      </c>
      <c r="DB41">
        <f t="shared" si="56"/>
        <v>3.3703968444740112E+19</v>
      </c>
      <c r="DE41">
        <f t="shared" si="98"/>
        <v>4</v>
      </c>
      <c r="DF41">
        <f t="shared" si="99"/>
        <v>3.3685555311408212E-5</v>
      </c>
      <c r="DG41">
        <f t="shared" si="35"/>
        <v>3.3785555311408215E-5</v>
      </c>
      <c r="DH41">
        <f t="shared" si="57"/>
        <v>3.3643786720500244E+19</v>
      </c>
      <c r="DK41">
        <f t="shared" si="100"/>
        <v>4</v>
      </c>
      <c r="DL41">
        <f t="shared" si="101"/>
        <v>2.7939748208010324E-5</v>
      </c>
      <c r="DM41">
        <f t="shared" si="36"/>
        <v>2.8039748208010323E-5</v>
      </c>
      <c r="DN41">
        <f t="shared" si="58"/>
        <v>3.3571379221400953E+19</v>
      </c>
      <c r="DQ41">
        <f t="shared" si="102"/>
        <v>4</v>
      </c>
      <c r="DR41">
        <f t="shared" si="103"/>
        <v>2.3182820845012508E-5</v>
      </c>
      <c r="DS41">
        <f t="shared" si="37"/>
        <v>2.3282820845012508E-5</v>
      </c>
      <c r="DT41">
        <f t="shared" si="104"/>
        <v>3.3484334387592634E+19</v>
      </c>
      <c r="DW41">
        <v>4</v>
      </c>
      <c r="DX41">
        <f t="shared" si="105"/>
        <v>1.9244582486217701E-5</v>
      </c>
      <c r="DY41">
        <f>$DX$38+DW41*$H$2</f>
        <v>1.93445824862177E-5</v>
      </c>
      <c r="DZ41">
        <f t="shared" si="59"/>
        <v>2.6069993882733683E+19</v>
      </c>
      <c r="EC41">
        <v>4</v>
      </c>
      <c r="ED41">
        <f t="shared" si="106"/>
        <v>1.5984133001256724E-5</v>
      </c>
      <c r="EE41">
        <f t="shared" si="38"/>
        <v>1.6084133001256723E-5</v>
      </c>
      <c r="EF41">
        <f t="shared" si="60"/>
        <v>2.5972049589613777E+19</v>
      </c>
      <c r="EI41">
        <v>4</v>
      </c>
      <c r="EJ41">
        <f t="shared" si="107"/>
        <v>1.2086790678133226E-5</v>
      </c>
      <c r="EK41">
        <f t="shared" ref="EK41:EK43" si="111">$EJ$38+EI41*$H$2</f>
        <v>1.2186790678133225E-5</v>
      </c>
      <c r="EL41">
        <f t="shared" si="61"/>
        <v>2.8406852197015577E+19</v>
      </c>
      <c r="EO41">
        <v>4</v>
      </c>
      <c r="EP41">
        <f t="shared" si="108"/>
        <v>1.1050074462726315E-5</v>
      </c>
      <c r="EQ41">
        <f t="shared" si="109"/>
        <v>1.1150074462726314E-5</v>
      </c>
      <c r="ER41">
        <f t="shared" si="110"/>
        <v>2.5714404034749604E+19</v>
      </c>
      <c r="EU41">
        <v>4</v>
      </c>
      <c r="EV41">
        <f>EW40</f>
        <v>9.1999373709858545E-6</v>
      </c>
      <c r="EW41">
        <f>$EV$38+EU41*$H$2</f>
        <v>9.2999373709858535E-6</v>
      </c>
      <c r="EX41">
        <f>((8*$F$1*$H$29)/(3.1415))*(((EW41)^4-(EV41)^4)-(((EW41)^2-(EV41)^2)^2/(LN(EW41/EV41))))^-1</f>
        <v>2.5546933816371311E+19</v>
      </c>
    </row>
    <row r="42" spans="1:173" x14ac:dyDescent="0.35">
      <c r="A42">
        <f t="shared" si="62"/>
        <v>5</v>
      </c>
      <c r="B42">
        <f t="shared" si="63"/>
        <v>1.0004E-3</v>
      </c>
      <c r="C42">
        <f t="shared" si="17"/>
        <v>1.0005000000000001E-3</v>
      </c>
      <c r="D42">
        <f t="shared" si="39"/>
        <v>7.9620052813894189E+19</v>
      </c>
      <c r="G42">
        <f t="shared" si="64"/>
        <v>5</v>
      </c>
      <c r="H42">
        <f t="shared" si="65"/>
        <v>8.2829541615219208E-4</v>
      </c>
      <c r="I42">
        <f t="shared" si="18"/>
        <v>8.2839541615219202E-4</v>
      </c>
      <c r="J42">
        <f t="shared" si="40"/>
        <v>2.6535818602296132E+19</v>
      </c>
      <c r="M42">
        <f t="shared" si="66"/>
        <v>5</v>
      </c>
      <c r="N42">
        <f t="shared" si="67"/>
        <v>6.8581082008581124E-4</v>
      </c>
      <c r="O42">
        <f t="shared" si="19"/>
        <v>6.8591082008581119E-4</v>
      </c>
      <c r="P42">
        <f t="shared" si="41"/>
        <v>3.3972668434099491E+19</v>
      </c>
      <c r="S42">
        <f t="shared" si="68"/>
        <v>5</v>
      </c>
      <c r="T42">
        <f t="shared" si="69"/>
        <v>5.678484761301579E-4</v>
      </c>
      <c r="U42">
        <f t="shared" si="20"/>
        <v>5.6794847613015785E-4</v>
      </c>
      <c r="V42">
        <f t="shared" si="42"/>
        <v>2.6530773472980177E+19</v>
      </c>
      <c r="Y42">
        <f t="shared" si="70"/>
        <v>5</v>
      </c>
      <c r="Z42">
        <f t="shared" si="71"/>
        <v>4.7018799229070431E-4</v>
      </c>
      <c r="AA42">
        <f t="shared" si="21"/>
        <v>4.7028799229070431E-4</v>
      </c>
      <c r="AB42">
        <f t="shared" si="43"/>
        <v>2.6527007784417047E+19</v>
      </c>
      <c r="AE42">
        <f t="shared" si="72"/>
        <v>5</v>
      </c>
      <c r="AF42">
        <f t="shared" si="73"/>
        <v>3.8933532538081538E-4</v>
      </c>
      <c r="AG42">
        <f t="shared" si="22"/>
        <v>3.8943532538081538E-4</v>
      </c>
      <c r="AH42">
        <f t="shared" si="44"/>
        <v>2.6521130456446169E+19</v>
      </c>
      <c r="AK42">
        <f t="shared" si="74"/>
        <v>5</v>
      </c>
      <c r="AL42">
        <f t="shared" si="75"/>
        <v>3.2239777306243843E-4</v>
      </c>
      <c r="AM42">
        <f t="shared" si="23"/>
        <v>3.2249777306243843E-4</v>
      </c>
      <c r="AN42">
        <f t="shared" si="45"/>
        <v>2.6514509429557338E+19</v>
      </c>
      <c r="AQ42">
        <f t="shared" si="76"/>
        <v>5</v>
      </c>
      <c r="AR42">
        <f t="shared" si="77"/>
        <v>2.669804803296066E-4</v>
      </c>
      <c r="AS42">
        <f t="shared" si="24"/>
        <v>2.670804803296066E-4</v>
      </c>
      <c r="AT42">
        <f t="shared" si="46"/>
        <v>2.6507042427227943E+19</v>
      </c>
      <c r="AW42">
        <f t="shared" si="78"/>
        <v>5</v>
      </c>
      <c r="AX42">
        <f t="shared" si="79"/>
        <v>2.2110075770053088E-4</v>
      </c>
      <c r="AY42">
        <f t="shared" si="25"/>
        <v>2.2120075770053088E-4</v>
      </c>
      <c r="AZ42">
        <f t="shared" si="47"/>
        <v>2.6497698025255141E+19</v>
      </c>
      <c r="BC42">
        <f t="shared" si="80"/>
        <v>5</v>
      </c>
      <c r="BD42">
        <f t="shared" si="81"/>
        <v>1.8311714564158508E-4</v>
      </c>
      <c r="BE42">
        <f t="shared" si="26"/>
        <v>1.8321714564158509E-4</v>
      </c>
      <c r="BF42">
        <f t="shared" si="48"/>
        <v>2.6486423448917168E+19</v>
      </c>
      <c r="BI42">
        <f t="shared" si="82"/>
        <v>5</v>
      </c>
      <c r="BJ42">
        <f t="shared" si="83"/>
        <v>1.5167068732908077E-4</v>
      </c>
      <c r="BK42">
        <f t="shared" si="27"/>
        <v>1.5177068732908077E-4</v>
      </c>
      <c r="BL42">
        <f t="shared" si="49"/>
        <v>2.6472899030457696E+19</v>
      </c>
      <c r="BO42">
        <f t="shared" si="84"/>
        <v>5</v>
      </c>
      <c r="BP42">
        <f t="shared" si="85"/>
        <v>1.2563630863793746E-4</v>
      </c>
      <c r="BQ42">
        <f t="shared" si="28"/>
        <v>1.2573630863793746E-4</v>
      </c>
      <c r="BR42">
        <f t="shared" si="50"/>
        <v>2.6456585501995688E+19</v>
      </c>
      <c r="BU42">
        <f t="shared" si="86"/>
        <v>5</v>
      </c>
      <c r="BV42">
        <f t="shared" si="87"/>
        <v>1.0408256585716962E-4</v>
      </c>
      <c r="BW42">
        <f t="shared" si="29"/>
        <v>1.0418256585716962E-4</v>
      </c>
      <c r="BX42">
        <f t="shared" si="51"/>
        <v>2.6436903742181618E+19</v>
      </c>
      <c r="CA42">
        <f t="shared" si="88"/>
        <v>5</v>
      </c>
      <c r="CB42">
        <f t="shared" si="89"/>
        <v>8.6238321008048481E-5</v>
      </c>
      <c r="CC42">
        <f t="shared" si="30"/>
        <v>8.6338321008048484E-5</v>
      </c>
      <c r="CD42">
        <f t="shared" si="52"/>
        <v>3.3819201462631838E+19</v>
      </c>
      <c r="CG42">
        <f t="shared" si="90"/>
        <v>5</v>
      </c>
      <c r="CH42">
        <f t="shared" si="91"/>
        <v>7.1465152492763731E-5</v>
      </c>
      <c r="CI42">
        <f t="shared" si="31"/>
        <v>7.1565152492763734E-5</v>
      </c>
      <c r="CJ42">
        <f t="shared" si="53"/>
        <v>3.3782578930371473E+19</v>
      </c>
      <c r="CM42">
        <f t="shared" si="92"/>
        <v>5</v>
      </c>
      <c r="CN42">
        <f t="shared" si="93"/>
        <v>5.9234513996915602E-5</v>
      </c>
      <c r="CO42">
        <f t="shared" si="32"/>
        <v>5.9334513996915598E-5</v>
      </c>
      <c r="CP42">
        <f t="shared" si="54"/>
        <v>3.3738446853904806E+19</v>
      </c>
      <c r="CS42">
        <f t="shared" si="94"/>
        <v>5</v>
      </c>
      <c r="CT42">
        <f t="shared" si="95"/>
        <v>4.9108824449588424E-5</v>
      </c>
      <c r="CU42">
        <f t="shared" si="33"/>
        <v>4.920882444958842E-5</v>
      </c>
      <c r="CV42">
        <f t="shared" si="55"/>
        <v>3.3685290793027793E+19</v>
      </c>
      <c r="CY42">
        <f t="shared" si="96"/>
        <v>5</v>
      </c>
      <c r="CZ42">
        <f t="shared" si="97"/>
        <v>4.0725812487976076E-5</v>
      </c>
      <c r="DA42">
        <f t="shared" si="34"/>
        <v>4.0825812487976071E-5</v>
      </c>
      <c r="DB42">
        <f t="shared" si="56"/>
        <v>3.3621311892980634E+19</v>
      </c>
      <c r="DE42">
        <f t="shared" si="98"/>
        <v>5</v>
      </c>
      <c r="DF42">
        <f t="shared" si="99"/>
        <v>3.3785555311408215E-5</v>
      </c>
      <c r="DG42">
        <f t="shared" si="35"/>
        <v>3.388555531140821E-5</v>
      </c>
      <c r="DH42">
        <f t="shared" si="57"/>
        <v>3.3544353142029853E+19</v>
      </c>
      <c r="DK42">
        <f t="shared" si="100"/>
        <v>5</v>
      </c>
      <c r="DL42">
        <f t="shared" si="101"/>
        <v>2.8039748208010323E-5</v>
      </c>
      <c r="DM42">
        <f t="shared" si="36"/>
        <v>2.8139748208010322E-5</v>
      </c>
      <c r="DN42">
        <f t="shared" si="58"/>
        <v>3.3451864541264966E+19</v>
      </c>
      <c r="DQ42">
        <f t="shared" si="102"/>
        <v>5</v>
      </c>
      <c r="DR42">
        <f t="shared" si="103"/>
        <v>2.3282820845012508E-5</v>
      </c>
      <c r="DS42">
        <f t="shared" si="37"/>
        <v>2.3382820845012507E-5</v>
      </c>
      <c r="DT42">
        <f t="shared" si="104"/>
        <v>3.3340827069268394E+19</v>
      </c>
      <c r="DW42">
        <v>5</v>
      </c>
      <c r="DX42">
        <f t="shared" si="105"/>
        <v>1.93445824862177E-5</v>
      </c>
      <c r="DY42">
        <f>$DX$38+DW42*$H$2</f>
        <v>1.9444582486217699E-5</v>
      </c>
      <c r="DZ42">
        <f t="shared" si="59"/>
        <v>2.5935575073049571E+19</v>
      </c>
      <c r="EC42">
        <v>5</v>
      </c>
      <c r="ED42">
        <f t="shared" si="106"/>
        <v>1.6084133001256723E-5</v>
      </c>
      <c r="EE42">
        <f t="shared" si="38"/>
        <v>1.6184133001256722E-5</v>
      </c>
      <c r="EF42">
        <f t="shared" si="60"/>
        <v>2.5811073986861494E+19</v>
      </c>
      <c r="EI42">
        <v>5</v>
      </c>
      <c r="EJ42">
        <f t="shared" si="107"/>
        <v>1.2186790678133225E-5</v>
      </c>
      <c r="EK42">
        <f t="shared" si="111"/>
        <v>1.2286790678133226E-5</v>
      </c>
      <c r="EL42">
        <f t="shared" si="61"/>
        <v>2.8174709751747166E+19</v>
      </c>
      <c r="EO42">
        <v>5</v>
      </c>
      <c r="EP42">
        <f t="shared" si="108"/>
        <v>1.1150074462726314E-5</v>
      </c>
      <c r="EQ42">
        <f t="shared" si="109"/>
        <v>1.1250074462726315E-5</v>
      </c>
      <c r="ER42">
        <f t="shared" si="110"/>
        <v>2.5484813290558325E+19</v>
      </c>
    </row>
    <row r="43" spans="1:173" x14ac:dyDescent="0.35">
      <c r="A43">
        <f t="shared" si="62"/>
        <v>6</v>
      </c>
      <c r="B43">
        <f t="shared" si="63"/>
        <v>1.0005000000000001E-3</v>
      </c>
      <c r="C43">
        <f t="shared" si="17"/>
        <v>1.0005999999999999E-3</v>
      </c>
      <c r="D43">
        <f t="shared" si="39"/>
        <v>7.9607300374920937E+19</v>
      </c>
      <c r="G43">
        <f t="shared" si="64"/>
        <v>6</v>
      </c>
      <c r="H43">
        <f t="shared" si="65"/>
        <v>8.2839541615219202E-4</v>
      </c>
      <c r="I43">
        <f t="shared" si="18"/>
        <v>8.2849541615219208E-4</v>
      </c>
      <c r="J43">
        <f t="shared" si="40"/>
        <v>2.6537170200200692E+19</v>
      </c>
      <c r="M43">
        <f t="shared" si="66"/>
        <v>6</v>
      </c>
      <c r="N43">
        <f t="shared" si="67"/>
        <v>6.8591082008581119E-4</v>
      </c>
      <c r="O43">
        <f t="shared" si="19"/>
        <v>6.8601082008581124E-4</v>
      </c>
      <c r="P43">
        <f t="shared" si="41"/>
        <v>3.3968928845559177E+19</v>
      </c>
      <c r="S43">
        <f t="shared" si="68"/>
        <v>6</v>
      </c>
      <c r="T43">
        <f t="shared" si="69"/>
        <v>5.6794847613015785E-4</v>
      </c>
      <c r="U43">
        <f t="shared" si="20"/>
        <v>5.680484761301579E-4</v>
      </c>
      <c r="V43">
        <f t="shared" si="42"/>
        <v>2.6525652358404506E+19</v>
      </c>
      <c r="Y43">
        <f t="shared" si="70"/>
        <v>6</v>
      </c>
      <c r="Z43">
        <f t="shared" si="71"/>
        <v>4.7028799229070431E-4</v>
      </c>
      <c r="AA43">
        <f t="shared" si="21"/>
        <v>4.7038799229070431E-4</v>
      </c>
      <c r="AB43">
        <f t="shared" si="43"/>
        <v>2.6519876191052288E+19</v>
      </c>
      <c r="AE43">
        <f t="shared" si="72"/>
        <v>6</v>
      </c>
      <c r="AF43">
        <f t="shared" si="73"/>
        <v>3.8943532538081538E-4</v>
      </c>
      <c r="AG43">
        <f t="shared" si="22"/>
        <v>3.8953532538081538E-4</v>
      </c>
      <c r="AH43">
        <f t="shared" si="44"/>
        <v>2.6514282456168915E+19</v>
      </c>
      <c r="AK43">
        <f t="shared" si="74"/>
        <v>6</v>
      </c>
      <c r="AL43">
        <f t="shared" si="75"/>
        <v>3.2249777306243843E-4</v>
      </c>
      <c r="AM43">
        <f t="shared" si="23"/>
        <v>3.2259777306243843E-4</v>
      </c>
      <c r="AN43">
        <f t="shared" si="45"/>
        <v>2.6506085646527099E+19</v>
      </c>
      <c r="AQ43">
        <f t="shared" si="76"/>
        <v>6</v>
      </c>
      <c r="AR43">
        <f t="shared" si="77"/>
        <v>2.670804803296066E-4</v>
      </c>
      <c r="AS43">
        <f t="shared" si="24"/>
        <v>2.671804803296066E-4</v>
      </c>
      <c r="AT43">
        <f t="shared" si="46"/>
        <v>2.6496951145881952E+19</v>
      </c>
      <c r="AW43">
        <f t="shared" si="78"/>
        <v>6</v>
      </c>
      <c r="AX43">
        <f t="shared" si="79"/>
        <v>2.2120075770053088E-4</v>
      </c>
      <c r="AY43">
        <f t="shared" si="25"/>
        <v>2.2130075770053086E-4</v>
      </c>
      <c r="AZ43">
        <f t="shared" si="47"/>
        <v>2.6485599909031645E+19</v>
      </c>
      <c r="BC43">
        <f t="shared" si="80"/>
        <v>6</v>
      </c>
      <c r="BD43">
        <f t="shared" si="81"/>
        <v>1.8321714564158509E-4</v>
      </c>
      <c r="BE43">
        <f t="shared" si="26"/>
        <v>1.8331714564158506E-4</v>
      </c>
      <c r="BF43">
        <f t="shared" si="48"/>
        <v>2.6471920600811213E+19</v>
      </c>
      <c r="BI43">
        <f t="shared" si="82"/>
        <v>6</v>
      </c>
      <c r="BJ43">
        <f t="shared" si="83"/>
        <v>1.5177068732908077E-4</v>
      </c>
      <c r="BK43">
        <f t="shared" si="27"/>
        <v>1.5187068732908074E-4</v>
      </c>
      <c r="BL43">
        <f t="shared" si="49"/>
        <v>2.6455450882692264E+19</v>
      </c>
      <c r="BO43">
        <f t="shared" si="84"/>
        <v>6</v>
      </c>
      <c r="BP43">
        <f t="shared" si="85"/>
        <v>1.2573630863793746E-4</v>
      </c>
      <c r="BQ43">
        <f t="shared" si="28"/>
        <v>1.2583630863793744E-4</v>
      </c>
      <c r="BR43">
        <f t="shared" si="50"/>
        <v>2.6435539842235716E+19</v>
      </c>
      <c r="BU43">
        <f t="shared" si="86"/>
        <v>6</v>
      </c>
      <c r="BV43">
        <f t="shared" si="87"/>
        <v>1.0418256585716962E-4</v>
      </c>
      <c r="BW43">
        <f t="shared" si="29"/>
        <v>1.0428256585716962E-4</v>
      </c>
      <c r="BX43">
        <f t="shared" si="51"/>
        <v>2.641154447141718E+19</v>
      </c>
      <c r="CA43">
        <f t="shared" si="88"/>
        <v>6</v>
      </c>
      <c r="CB43">
        <f t="shared" si="89"/>
        <v>8.6338321008048484E-5</v>
      </c>
      <c r="CC43">
        <f t="shared" si="30"/>
        <v>8.6438321008048486E-5</v>
      </c>
      <c r="CD43">
        <f t="shared" si="52"/>
        <v>3.3780061035231506E+19</v>
      </c>
      <c r="CG43">
        <f t="shared" si="90"/>
        <v>6</v>
      </c>
      <c r="CH43">
        <f t="shared" si="91"/>
        <v>7.1565152492763734E-5</v>
      </c>
      <c r="CI43">
        <f t="shared" si="31"/>
        <v>7.1665152492763736E-5</v>
      </c>
      <c r="CJ43">
        <f t="shared" si="53"/>
        <v>3.3735411287634186E+19</v>
      </c>
      <c r="CM43">
        <f t="shared" si="92"/>
        <v>6</v>
      </c>
      <c r="CN43">
        <f t="shared" si="93"/>
        <v>5.9334513996915598E-5</v>
      </c>
      <c r="CO43">
        <f t="shared" si="32"/>
        <v>5.9434513996915601E-5</v>
      </c>
      <c r="CP43">
        <f t="shared" si="54"/>
        <v>3.3681630223540593E+19</v>
      </c>
      <c r="CS43">
        <f t="shared" si="94"/>
        <v>6</v>
      </c>
      <c r="CT43">
        <f t="shared" si="95"/>
        <v>4.920882444958842E-5</v>
      </c>
      <c r="CU43">
        <f t="shared" si="33"/>
        <v>4.9308824449588422E-5</v>
      </c>
      <c r="CV43">
        <f t="shared" si="55"/>
        <v>3.3616908498190598E+19</v>
      </c>
      <c r="CY43">
        <f t="shared" si="96"/>
        <v>6</v>
      </c>
      <c r="CZ43">
        <f t="shared" si="97"/>
        <v>4.0825812487976071E-5</v>
      </c>
      <c r="DA43">
        <f t="shared" si="34"/>
        <v>4.0925812487976074E-5</v>
      </c>
      <c r="DB43">
        <f t="shared" si="56"/>
        <v>3.3539059449338905E+19</v>
      </c>
      <c r="DE43">
        <f t="shared" si="98"/>
        <v>6</v>
      </c>
      <c r="DF43">
        <f t="shared" si="99"/>
        <v>3.388555531140821E-5</v>
      </c>
      <c r="DG43">
        <f t="shared" si="35"/>
        <v>3.3985555311408213E-5</v>
      </c>
      <c r="DH43">
        <f t="shared" si="57"/>
        <v>3.3445505713200714E+19</v>
      </c>
      <c r="DK43">
        <f t="shared" si="100"/>
        <v>6</v>
      </c>
      <c r="DL43">
        <f t="shared" si="101"/>
        <v>2.8139748208010322E-5</v>
      </c>
      <c r="DM43">
        <f t="shared" si="36"/>
        <v>2.8239748208010324E-5</v>
      </c>
      <c r="DN43">
        <f t="shared" si="58"/>
        <v>3.3333198093968585E+19</v>
      </c>
      <c r="DQ43">
        <f t="shared" si="102"/>
        <v>6</v>
      </c>
      <c r="DR43">
        <f t="shared" si="103"/>
        <v>2.3382820845012507E-5</v>
      </c>
      <c r="DS43">
        <f t="shared" si="37"/>
        <v>2.3482820845012509E-5</v>
      </c>
      <c r="DT43">
        <f t="shared" si="104"/>
        <v>3.3198544685333221E+19</v>
      </c>
      <c r="DW43">
        <v>6</v>
      </c>
      <c r="DX43">
        <f t="shared" si="105"/>
        <v>1.9444582486217699E-5</v>
      </c>
      <c r="DY43">
        <f t="shared" ref="DY43:DY45" si="112">$DX$38+DW43*$H$2</f>
        <v>1.9544582486217701E-5</v>
      </c>
      <c r="DZ43">
        <f t="shared" si="59"/>
        <v>2.5802535353674494E+19</v>
      </c>
      <c r="EC43">
        <v>6</v>
      </c>
      <c r="ED43">
        <f t="shared" si="106"/>
        <v>1.6184133001256722E-5</v>
      </c>
      <c r="EE43">
        <f t="shared" si="38"/>
        <v>1.6284133001256725E-5</v>
      </c>
      <c r="EF43">
        <f t="shared" si="60"/>
        <v>2.5652081604465402E+19</v>
      </c>
      <c r="EI43">
        <v>6</v>
      </c>
      <c r="EJ43">
        <f t="shared" si="107"/>
        <v>1.2286790678133226E-5</v>
      </c>
      <c r="EK43">
        <f t="shared" si="111"/>
        <v>1.2386790678133225E-5</v>
      </c>
      <c r="EL43">
        <f t="shared" si="61"/>
        <v>2.7946330647024255E+19</v>
      </c>
    </row>
    <row r="44" spans="1:173" x14ac:dyDescent="0.35">
      <c r="A44">
        <f t="shared" si="62"/>
        <v>7</v>
      </c>
      <c r="B44">
        <f t="shared" si="63"/>
        <v>1.0005999999999999E-3</v>
      </c>
      <c r="C44">
        <f t="shared" si="17"/>
        <v>1.0007E-3</v>
      </c>
      <c r="D44">
        <f t="shared" si="39"/>
        <v>7.9588323460432921E+19</v>
      </c>
      <c r="G44">
        <f t="shared" si="64"/>
        <v>7</v>
      </c>
      <c r="H44">
        <f t="shared" si="65"/>
        <v>8.2849541615219208E-4</v>
      </c>
      <c r="I44">
        <f t="shared" si="18"/>
        <v>8.2859541615219203E-4</v>
      </c>
      <c r="J44">
        <f t="shared" si="40"/>
        <v>2.6524032015373947E+19</v>
      </c>
      <c r="M44">
        <f t="shared" si="66"/>
        <v>7</v>
      </c>
      <c r="N44">
        <f t="shared" si="67"/>
        <v>6.8601082008581124E-4</v>
      </c>
      <c r="O44">
        <f t="shared" si="19"/>
        <v>6.8611082008581119E-4</v>
      </c>
      <c r="P44">
        <f t="shared" si="41"/>
        <v>3.3963186462717534E+19</v>
      </c>
      <c r="S44">
        <f t="shared" si="68"/>
        <v>7</v>
      </c>
      <c r="T44">
        <f t="shared" si="69"/>
        <v>5.680484761301579E-4</v>
      </c>
      <c r="U44">
        <f t="shared" si="20"/>
        <v>5.6814847613015785E-4</v>
      </c>
      <c r="V44">
        <f t="shared" si="42"/>
        <v>2.6519831111721722E+19</v>
      </c>
      <c r="Y44">
        <f t="shared" si="70"/>
        <v>7</v>
      </c>
      <c r="Z44">
        <f t="shared" si="71"/>
        <v>4.7038799229070431E-4</v>
      </c>
      <c r="AA44">
        <f t="shared" si="21"/>
        <v>4.7048799229070431E-4</v>
      </c>
      <c r="AB44">
        <f t="shared" si="43"/>
        <v>2.6514880078342922E+19</v>
      </c>
      <c r="AE44">
        <f t="shared" si="72"/>
        <v>7</v>
      </c>
      <c r="AF44">
        <f t="shared" si="73"/>
        <v>3.8953532538081538E-4</v>
      </c>
      <c r="AG44">
        <f t="shared" si="22"/>
        <v>3.8963532538081538E-4</v>
      </c>
      <c r="AH44">
        <f t="shared" si="44"/>
        <v>2.6507135290204566E+19</v>
      </c>
      <c r="AK44">
        <f t="shared" si="74"/>
        <v>7</v>
      </c>
      <c r="AL44">
        <f t="shared" si="75"/>
        <v>3.2259777306243843E-4</v>
      </c>
      <c r="AM44">
        <f t="shared" si="23"/>
        <v>3.2269777306243844E-4</v>
      </c>
      <c r="AN44">
        <f t="shared" si="45"/>
        <v>2.6497818484580299E+19</v>
      </c>
      <c r="AQ44">
        <f t="shared" si="76"/>
        <v>7</v>
      </c>
      <c r="AR44">
        <f t="shared" si="77"/>
        <v>2.671804803296066E-4</v>
      </c>
      <c r="AS44">
        <f t="shared" si="24"/>
        <v>2.672804803296066E-4</v>
      </c>
      <c r="AT44">
        <f t="shared" si="46"/>
        <v>2.6486853801120412E+19</v>
      </c>
      <c r="AW44">
        <f t="shared" si="78"/>
        <v>7</v>
      </c>
      <c r="AX44">
        <f t="shared" si="79"/>
        <v>2.2130075770053086E-4</v>
      </c>
      <c r="AY44">
        <f t="shared" si="25"/>
        <v>2.2140075770053086E-4</v>
      </c>
      <c r="AZ44">
        <f t="shared" si="47"/>
        <v>2.6473710606031397E+19</v>
      </c>
      <c r="BC44">
        <f t="shared" si="80"/>
        <v>7</v>
      </c>
      <c r="BD44">
        <f t="shared" si="81"/>
        <v>1.8331714564158506E-4</v>
      </c>
      <c r="BE44">
        <f t="shared" si="26"/>
        <v>1.8341714564158506E-4</v>
      </c>
      <c r="BF44">
        <f t="shared" si="48"/>
        <v>2.6457534123810136E+19</v>
      </c>
      <c r="BI44">
        <f t="shared" si="82"/>
        <v>7</v>
      </c>
      <c r="BJ44">
        <f t="shared" si="83"/>
        <v>1.5187068732908074E-4</v>
      </c>
      <c r="BK44">
        <f t="shared" si="27"/>
        <v>1.5197068732908075E-4</v>
      </c>
      <c r="BL44">
        <f t="shared" si="49"/>
        <v>2.643803459310744E+19</v>
      </c>
      <c r="BO44">
        <f t="shared" si="84"/>
        <v>7</v>
      </c>
      <c r="BP44">
        <f t="shared" si="85"/>
        <v>1.2583630863793744E-4</v>
      </c>
      <c r="BQ44">
        <f t="shared" si="28"/>
        <v>1.2593630863793744E-4</v>
      </c>
      <c r="BR44">
        <f t="shared" si="50"/>
        <v>2.6414553355488117E+19</v>
      </c>
      <c r="BU44">
        <f t="shared" si="86"/>
        <v>7</v>
      </c>
      <c r="BV44">
        <f t="shared" si="87"/>
        <v>1.0428256585716962E-4</v>
      </c>
      <c r="BW44">
        <f t="shared" si="29"/>
        <v>1.0438256585716962E-4</v>
      </c>
      <c r="BX44">
        <f t="shared" si="51"/>
        <v>2.6386223430411747E+19</v>
      </c>
      <c r="CA44">
        <f t="shared" si="88"/>
        <v>7</v>
      </c>
      <c r="CB44">
        <f t="shared" si="89"/>
        <v>8.6438321008048486E-5</v>
      </c>
      <c r="CC44">
        <f t="shared" si="30"/>
        <v>8.6538321008048489E-5</v>
      </c>
      <c r="CD44">
        <f t="shared" si="52"/>
        <v>3.374100231015313E+19</v>
      </c>
      <c r="CG44">
        <f t="shared" si="90"/>
        <v>7</v>
      </c>
      <c r="CH44">
        <f t="shared" si="91"/>
        <v>7.1665152492763736E-5</v>
      </c>
      <c r="CI44">
        <f t="shared" si="31"/>
        <v>7.1765152492763739E-5</v>
      </c>
      <c r="CJ44">
        <f t="shared" si="53"/>
        <v>3.3688369524528144E+19</v>
      </c>
      <c r="CM44">
        <f t="shared" si="92"/>
        <v>7</v>
      </c>
      <c r="CN44">
        <f t="shared" si="93"/>
        <v>5.9434513996915601E-5</v>
      </c>
      <c r="CO44">
        <f t="shared" si="32"/>
        <v>5.9534513996915596E-5</v>
      </c>
      <c r="CP44">
        <f t="shared" si="54"/>
        <v>3.3625008450698867E+19</v>
      </c>
      <c r="CS44">
        <f t="shared" si="94"/>
        <v>7</v>
      </c>
      <c r="CT44">
        <f t="shared" si="95"/>
        <v>4.9308824449588422E-5</v>
      </c>
      <c r="CU44">
        <f t="shared" si="33"/>
        <v>4.9408824449588418E-5</v>
      </c>
      <c r="CV44">
        <f t="shared" si="55"/>
        <v>3.3548800148265505E+19</v>
      </c>
      <c r="CY44">
        <f t="shared" si="96"/>
        <v>7</v>
      </c>
      <c r="CZ44">
        <f t="shared" si="97"/>
        <v>4.0925812487976074E-5</v>
      </c>
      <c r="DA44">
        <f t="shared" si="34"/>
        <v>4.1025812487976069E-5</v>
      </c>
      <c r="DB44">
        <f t="shared" si="56"/>
        <v>3.345720712553343E+19</v>
      </c>
      <c r="DE44">
        <f t="shared" si="98"/>
        <v>7</v>
      </c>
      <c r="DF44">
        <f t="shared" si="99"/>
        <v>3.3985555311408213E-5</v>
      </c>
      <c r="DG44">
        <f t="shared" si="35"/>
        <v>3.4085555311408208E-5</v>
      </c>
      <c r="DH44">
        <f t="shared" si="57"/>
        <v>3.3347239609068712E+19</v>
      </c>
      <c r="DK44">
        <f t="shared" si="100"/>
        <v>7</v>
      </c>
      <c r="DL44">
        <f t="shared" si="101"/>
        <v>2.8239748208010324E-5</v>
      </c>
      <c r="DM44">
        <f t="shared" si="36"/>
        <v>2.8339748208010323E-5</v>
      </c>
      <c r="DN44">
        <f t="shared" si="58"/>
        <v>3.321537043600121E+19</v>
      </c>
      <c r="DQ44">
        <f t="shared" si="102"/>
        <v>7</v>
      </c>
      <c r="DR44">
        <f t="shared" si="103"/>
        <v>2.3482820845012509E-5</v>
      </c>
      <c r="DS44">
        <f t="shared" si="37"/>
        <v>2.3582820845012508E-5</v>
      </c>
      <c r="DT44">
        <f t="shared" si="104"/>
        <v>3.3057471282877071E+19</v>
      </c>
      <c r="DW44">
        <v>7</v>
      </c>
      <c r="DX44">
        <f t="shared" si="105"/>
        <v>1.9544582486217701E-5</v>
      </c>
      <c r="DY44">
        <f t="shared" si="112"/>
        <v>1.96445824862177E-5</v>
      </c>
      <c r="DZ44">
        <f t="shared" si="59"/>
        <v>2.5670853362918674E+19</v>
      </c>
      <c r="EC44">
        <v>7</v>
      </c>
      <c r="ED44">
        <f t="shared" si="106"/>
        <v>1.6284133001256725E-5</v>
      </c>
      <c r="EE44">
        <f t="shared" si="38"/>
        <v>1.6384133001256724E-5</v>
      </c>
      <c r="EF44">
        <f t="shared" si="60"/>
        <v>2.5495035893141262E+19</v>
      </c>
    </row>
    <row r="45" spans="1:173" x14ac:dyDescent="0.35">
      <c r="A45">
        <f t="shared" si="62"/>
        <v>8</v>
      </c>
      <c r="B45">
        <f t="shared" si="63"/>
        <v>1.0007E-3</v>
      </c>
      <c r="C45">
        <f t="shared" si="17"/>
        <v>1.0008E-3</v>
      </c>
      <c r="D45">
        <f t="shared" si="39"/>
        <v>7.9626309888025641E+19</v>
      </c>
      <c r="G45">
        <f t="shared" si="64"/>
        <v>8</v>
      </c>
      <c r="H45">
        <f t="shared" si="65"/>
        <v>8.2859541615219203E-4</v>
      </c>
      <c r="I45">
        <f t="shared" si="18"/>
        <v>8.2869541615219209E-4</v>
      </c>
      <c r="J45">
        <f t="shared" si="40"/>
        <v>2.6524600088692142E+19</v>
      </c>
      <c r="M45">
        <f t="shared" si="66"/>
        <v>8</v>
      </c>
      <c r="N45">
        <f t="shared" si="67"/>
        <v>6.8611082008581119E-4</v>
      </c>
      <c r="O45">
        <f t="shared" si="19"/>
        <v>6.8621082008581125E-4</v>
      </c>
      <c r="P45">
        <f t="shared" si="41"/>
        <v>3.3962355428981015E+19</v>
      </c>
      <c r="S45">
        <f t="shared" si="68"/>
        <v>8</v>
      </c>
      <c r="T45">
        <f t="shared" si="69"/>
        <v>5.6814847613015785E-4</v>
      </c>
      <c r="U45">
        <f t="shared" si="20"/>
        <v>5.6824847613015791E-4</v>
      </c>
      <c r="V45">
        <f t="shared" si="42"/>
        <v>2.6516666689630638E+19</v>
      </c>
      <c r="Y45">
        <f t="shared" si="70"/>
        <v>8</v>
      </c>
      <c r="Z45">
        <f t="shared" si="71"/>
        <v>4.7048799229070431E-4</v>
      </c>
      <c r="AA45">
        <f t="shared" si="21"/>
        <v>4.7058799229070432E-4</v>
      </c>
      <c r="AB45">
        <f t="shared" si="43"/>
        <v>2.6509787148976701E+19</v>
      </c>
      <c r="AE45">
        <f t="shared" si="72"/>
        <v>8</v>
      </c>
      <c r="AF45">
        <f t="shared" si="73"/>
        <v>3.8963532538081538E-4</v>
      </c>
      <c r="AG45">
        <f t="shared" si="22"/>
        <v>3.8973532538081538E-4</v>
      </c>
      <c r="AH45">
        <f t="shared" si="44"/>
        <v>2.6500549751948775E+19</v>
      </c>
      <c r="AK45">
        <f t="shared" si="74"/>
        <v>8</v>
      </c>
      <c r="AL45">
        <f t="shared" si="75"/>
        <v>3.2269777306243844E-4</v>
      </c>
      <c r="AM45">
        <f t="shared" si="23"/>
        <v>3.2279777306243844E-4</v>
      </c>
      <c r="AN45">
        <f t="shared" si="45"/>
        <v>2.6490222658956419E+19</v>
      </c>
      <c r="AQ45">
        <f t="shared" si="76"/>
        <v>8</v>
      </c>
      <c r="AR45">
        <f t="shared" si="77"/>
        <v>2.672804803296066E-4</v>
      </c>
      <c r="AS45">
        <f t="shared" si="24"/>
        <v>2.6738048032960661E-4</v>
      </c>
      <c r="AT45">
        <f t="shared" si="46"/>
        <v>2.6477389727355388E+19</v>
      </c>
      <c r="AW45">
        <f t="shared" si="78"/>
        <v>8</v>
      </c>
      <c r="AX45">
        <f t="shared" si="79"/>
        <v>2.2140075770053086E-4</v>
      </c>
      <c r="AY45">
        <f t="shared" si="25"/>
        <v>2.2150075770053086E-4</v>
      </c>
      <c r="AZ45">
        <f t="shared" si="47"/>
        <v>2.6461793930918474E+19</v>
      </c>
      <c r="BC45">
        <f t="shared" si="80"/>
        <v>8</v>
      </c>
      <c r="BD45">
        <f t="shared" si="81"/>
        <v>1.8341714564158506E-4</v>
      </c>
      <c r="BE45">
        <f t="shared" si="26"/>
        <v>1.8351714564158507E-4</v>
      </c>
      <c r="BF45">
        <f t="shared" si="48"/>
        <v>2.644310544053717E+19</v>
      </c>
      <c r="BI45">
        <f t="shared" si="82"/>
        <v>8</v>
      </c>
      <c r="BJ45">
        <f t="shared" si="83"/>
        <v>1.5197068732908075E-4</v>
      </c>
      <c r="BK45">
        <f t="shared" si="27"/>
        <v>1.5207068732908075E-4</v>
      </c>
      <c r="BL45">
        <f t="shared" si="49"/>
        <v>2.6420679302360175E+19</v>
      </c>
      <c r="BO45">
        <f t="shared" si="84"/>
        <v>8</v>
      </c>
      <c r="BP45">
        <f t="shared" si="85"/>
        <v>1.2593630863793744E-4</v>
      </c>
      <c r="BQ45">
        <f t="shared" si="28"/>
        <v>1.2603630863793744E-4</v>
      </c>
      <c r="BR45">
        <f t="shared" si="50"/>
        <v>2.6393585441794109E+19</v>
      </c>
      <c r="BU45">
        <f t="shared" si="86"/>
        <v>8</v>
      </c>
      <c r="BV45">
        <f t="shared" si="87"/>
        <v>1.0438256585716962E-4</v>
      </c>
      <c r="BW45">
        <f t="shared" si="29"/>
        <v>1.0448256585716963E-4</v>
      </c>
      <c r="BX45">
        <f t="shared" si="51"/>
        <v>2.6360970017756017E+19</v>
      </c>
      <c r="CA45">
        <f t="shared" si="88"/>
        <v>8</v>
      </c>
      <c r="CB45">
        <f t="shared" si="89"/>
        <v>8.6538321008048489E-5</v>
      </c>
      <c r="CC45">
        <f t="shared" si="30"/>
        <v>8.6638321008048491E-5</v>
      </c>
      <c r="CD45">
        <f t="shared" si="52"/>
        <v>3.3702027972354728E+19</v>
      </c>
      <c r="CG45">
        <f t="shared" si="90"/>
        <v>8</v>
      </c>
      <c r="CH45">
        <f t="shared" si="91"/>
        <v>7.1765152492763739E-5</v>
      </c>
      <c r="CI45">
        <f t="shared" si="31"/>
        <v>7.1865152492763741E-5</v>
      </c>
      <c r="CJ45">
        <f t="shared" si="53"/>
        <v>3.3641454483655672E+19</v>
      </c>
      <c r="CM45">
        <f t="shared" si="92"/>
        <v>8</v>
      </c>
      <c r="CN45">
        <f t="shared" si="93"/>
        <v>5.9534513996915596E-5</v>
      </c>
      <c r="CO45">
        <f t="shared" si="32"/>
        <v>5.9634513996915599E-5</v>
      </c>
      <c r="CP45">
        <f t="shared" si="54"/>
        <v>3.3568577707211641E+19</v>
      </c>
      <c r="CS45">
        <f t="shared" si="94"/>
        <v>8</v>
      </c>
      <c r="CT45">
        <f t="shared" si="95"/>
        <v>4.9408824449588418E-5</v>
      </c>
      <c r="CU45">
        <f t="shared" si="33"/>
        <v>4.9508824449588421E-5</v>
      </c>
      <c r="CV45">
        <f t="shared" si="55"/>
        <v>3.3480969004935094E+19</v>
      </c>
      <c r="CY45">
        <f t="shared" si="96"/>
        <v>8</v>
      </c>
      <c r="CZ45">
        <f t="shared" si="97"/>
        <v>4.1025812487976069E-5</v>
      </c>
      <c r="DA45">
        <f t="shared" si="34"/>
        <v>4.1125812487976072E-5</v>
      </c>
      <c r="DB45">
        <f t="shared" si="56"/>
        <v>3.3375755592452608E+19</v>
      </c>
      <c r="DE45">
        <f t="shared" si="98"/>
        <v>8</v>
      </c>
      <c r="DF45">
        <f t="shared" si="99"/>
        <v>3.4085555311408208E-5</v>
      </c>
      <c r="DG45">
        <f t="shared" si="35"/>
        <v>3.4185555311408211E-5</v>
      </c>
      <c r="DH45">
        <f t="shared" si="57"/>
        <v>3.3249548878912135E+19</v>
      </c>
      <c r="DK45">
        <f t="shared" si="100"/>
        <v>8</v>
      </c>
      <c r="DL45">
        <f t="shared" si="101"/>
        <v>2.8339748208010323E-5</v>
      </c>
      <c r="DM45">
        <f t="shared" si="36"/>
        <v>2.8439748208010322E-5</v>
      </c>
      <c r="DN45">
        <f t="shared" si="58"/>
        <v>3.3098372440814023E+19</v>
      </c>
      <c r="DQ45">
        <f t="shared" si="102"/>
        <v>8</v>
      </c>
      <c r="DR45">
        <f t="shared" si="103"/>
        <v>2.3582820845012508E-5</v>
      </c>
      <c r="DS45">
        <f t="shared" si="37"/>
        <v>2.3682820845012507E-5</v>
      </c>
      <c r="DT45">
        <f t="shared" si="104"/>
        <v>3.2917591902224892E+19</v>
      </c>
      <c r="DW45">
        <v>8</v>
      </c>
      <c r="DX45">
        <f t="shared" si="105"/>
        <v>1.96445824862177E-5</v>
      </c>
      <c r="DY45">
        <f t="shared" si="112"/>
        <v>1.9744582486217699E-5</v>
      </c>
      <c r="DZ45">
        <f t="shared" si="59"/>
        <v>2.5540508731128918E+19</v>
      </c>
    </row>
    <row r="46" spans="1:173" x14ac:dyDescent="0.35">
      <c r="A46">
        <f t="shared" si="62"/>
        <v>9</v>
      </c>
      <c r="B46">
        <f t="shared" si="63"/>
        <v>1.0008E-3</v>
      </c>
      <c r="C46">
        <f t="shared" si="17"/>
        <v>1.0009000000000001E-3</v>
      </c>
      <c r="D46">
        <f t="shared" si="39"/>
        <v>7.9608079998398874E+19</v>
      </c>
      <c r="G46">
        <f t="shared" si="64"/>
        <v>9</v>
      </c>
      <c r="H46">
        <f t="shared" si="65"/>
        <v>8.2869541615219209E-4</v>
      </c>
      <c r="I46">
        <f t="shared" si="18"/>
        <v>8.2879541615219203E-4</v>
      </c>
      <c r="J46">
        <f t="shared" si="40"/>
        <v>2.652399414468456E+19</v>
      </c>
      <c r="M46">
        <f t="shared" si="66"/>
        <v>9</v>
      </c>
      <c r="N46">
        <f t="shared" si="67"/>
        <v>6.8621082008581125E-4</v>
      </c>
      <c r="O46">
        <f t="shared" si="19"/>
        <v>6.863108200858112E-4</v>
      </c>
      <c r="P46">
        <f t="shared" si="41"/>
        <v>3.3956724142067618E+19</v>
      </c>
      <c r="S46">
        <f t="shared" si="68"/>
        <v>9</v>
      </c>
      <c r="T46">
        <f t="shared" si="69"/>
        <v>5.6824847613015791E-4</v>
      </c>
      <c r="U46">
        <f t="shared" si="20"/>
        <v>5.6834847613015786E-4</v>
      </c>
      <c r="V46">
        <f t="shared" si="42"/>
        <v>2.6510446621105037E+19</v>
      </c>
      <c r="Y46">
        <f t="shared" si="70"/>
        <v>9</v>
      </c>
      <c r="Z46">
        <f t="shared" si="71"/>
        <v>4.7058799229070432E-4</v>
      </c>
      <c r="AA46">
        <f t="shared" si="21"/>
        <v>4.7068799229070432E-4</v>
      </c>
      <c r="AB46">
        <f t="shared" si="43"/>
        <v>2.6503715073929277E+19</v>
      </c>
      <c r="AE46">
        <f t="shared" si="72"/>
        <v>9</v>
      </c>
      <c r="AF46">
        <f t="shared" si="73"/>
        <v>3.8973532538081538E-4</v>
      </c>
      <c r="AG46">
        <f t="shared" si="22"/>
        <v>3.8983532538081539E-4</v>
      </c>
      <c r="AH46">
        <f t="shared" si="44"/>
        <v>2.6493101165466104E+19</v>
      </c>
      <c r="AK46">
        <f t="shared" si="74"/>
        <v>9</v>
      </c>
      <c r="AL46">
        <f t="shared" si="75"/>
        <v>3.2279777306243844E-4</v>
      </c>
      <c r="AM46">
        <f t="shared" si="23"/>
        <v>3.2289777306243844E-4</v>
      </c>
      <c r="AN46">
        <f t="shared" si="45"/>
        <v>2.6481684063526126E+19</v>
      </c>
      <c r="AQ46">
        <f t="shared" si="76"/>
        <v>9</v>
      </c>
      <c r="AR46">
        <f t="shared" si="77"/>
        <v>2.6738048032960661E-4</v>
      </c>
      <c r="AS46">
        <f t="shared" si="24"/>
        <v>2.6748048032960661E-4</v>
      </c>
      <c r="AT46">
        <f t="shared" si="46"/>
        <v>2.646738916829107E+19</v>
      </c>
      <c r="AW46">
        <f t="shared" si="78"/>
        <v>9</v>
      </c>
      <c r="AX46">
        <f t="shared" si="79"/>
        <v>2.2150075770053086E-4</v>
      </c>
      <c r="AY46">
        <f t="shared" si="25"/>
        <v>2.2160075770053086E-4</v>
      </c>
      <c r="AZ46">
        <f t="shared" si="47"/>
        <v>2.6449765197876257E+19</v>
      </c>
      <c r="BC46">
        <f t="shared" si="80"/>
        <v>9</v>
      </c>
      <c r="BD46">
        <f t="shared" si="81"/>
        <v>1.8351714564158507E-4</v>
      </c>
      <c r="BE46">
        <f t="shared" si="26"/>
        <v>1.8361714564158507E-4</v>
      </c>
      <c r="BF46">
        <f t="shared" si="48"/>
        <v>2.6428737156267405E+19</v>
      </c>
      <c r="BI46">
        <f t="shared" si="82"/>
        <v>9</v>
      </c>
      <c r="BJ46">
        <f t="shared" si="83"/>
        <v>1.5207068732908075E-4</v>
      </c>
      <c r="BK46">
        <f t="shared" si="27"/>
        <v>1.5217068732908075E-4</v>
      </c>
      <c r="BL46">
        <f t="shared" si="49"/>
        <v>2.6403275079319908E+19</v>
      </c>
      <c r="BO46">
        <f t="shared" si="84"/>
        <v>9</v>
      </c>
      <c r="BP46">
        <f t="shared" si="85"/>
        <v>1.2603630863793744E-4</v>
      </c>
      <c r="BQ46">
        <f t="shared" si="28"/>
        <v>1.2613630863793745E-4</v>
      </c>
      <c r="BR46">
        <f t="shared" si="50"/>
        <v>2.6372662392051491E+19</v>
      </c>
      <c r="BU46">
        <f t="shared" si="86"/>
        <v>9</v>
      </c>
      <c r="BV46">
        <f t="shared" si="87"/>
        <v>1.0448256585716963E-4</v>
      </c>
      <c r="BW46">
        <f t="shared" si="29"/>
        <v>1.0458256585716962E-4</v>
      </c>
      <c r="BX46">
        <f t="shared" si="51"/>
        <v>2.6335739569099416E+19</v>
      </c>
      <c r="CA46">
        <f t="shared" si="88"/>
        <v>9</v>
      </c>
      <c r="CB46">
        <f t="shared" si="89"/>
        <v>8.6638321008048491E-5</v>
      </c>
      <c r="CC46">
        <f t="shared" si="30"/>
        <v>8.673832100804848E-5</v>
      </c>
      <c r="CD46">
        <f t="shared" si="52"/>
        <v>3.3663147972601844E+19</v>
      </c>
      <c r="CG46">
        <f t="shared" si="90"/>
        <v>9</v>
      </c>
      <c r="CH46">
        <f t="shared" si="91"/>
        <v>7.1865152492763741E-5</v>
      </c>
      <c r="CI46">
        <f t="shared" si="31"/>
        <v>7.196515249276373E-5</v>
      </c>
      <c r="CJ46">
        <f t="shared" si="53"/>
        <v>3.3594673675493392E+19</v>
      </c>
      <c r="CM46">
        <f t="shared" si="92"/>
        <v>9</v>
      </c>
      <c r="CN46">
        <f t="shared" si="93"/>
        <v>5.9634513996915599E-5</v>
      </c>
      <c r="CO46">
        <f t="shared" si="32"/>
        <v>5.9734513996915601E-5</v>
      </c>
      <c r="CP46">
        <f t="shared" si="54"/>
        <v>3.3512335431251689E+19</v>
      </c>
      <c r="CS46">
        <f t="shared" si="94"/>
        <v>9</v>
      </c>
      <c r="CT46">
        <f t="shared" si="95"/>
        <v>4.9508824449588421E-5</v>
      </c>
      <c r="CU46">
        <f t="shared" si="33"/>
        <v>4.9608824449588423E-5</v>
      </c>
      <c r="CV46">
        <f t="shared" si="55"/>
        <v>3.341341132810999E+19</v>
      </c>
      <c r="CY46">
        <f t="shared" si="96"/>
        <v>9</v>
      </c>
      <c r="CZ46">
        <f t="shared" si="97"/>
        <v>4.1125812487976072E-5</v>
      </c>
      <c r="DA46">
        <f t="shared" si="34"/>
        <v>4.1225812487976074E-5</v>
      </c>
      <c r="DB46">
        <f t="shared" si="56"/>
        <v>3.3294699387911913E+19</v>
      </c>
      <c r="DE46">
        <f t="shared" si="98"/>
        <v>9</v>
      </c>
      <c r="DF46">
        <f t="shared" si="99"/>
        <v>3.4185555311408211E-5</v>
      </c>
      <c r="DG46">
        <f t="shared" si="35"/>
        <v>3.4285555311408213E-5</v>
      </c>
      <c r="DH46">
        <f t="shared" si="57"/>
        <v>3.3152429273016381E+19</v>
      </c>
      <c r="DK46">
        <f t="shared" si="100"/>
        <v>9</v>
      </c>
      <c r="DL46">
        <f t="shared" si="101"/>
        <v>2.8439748208010322E-5</v>
      </c>
      <c r="DM46">
        <f t="shared" si="36"/>
        <v>2.8539748208010325E-5</v>
      </c>
      <c r="DN46">
        <f t="shared" si="58"/>
        <v>3.2982196367837106E+19</v>
      </c>
      <c r="DQ46">
        <v>9</v>
      </c>
      <c r="DR46">
        <f t="shared" ref="DR46" si="113">DS45</f>
        <v>2.3682820845012507E-5</v>
      </c>
      <c r="DS46">
        <f t="shared" ref="DS46" si="114">$DR$38+DQ46*$H$2</f>
        <v>2.3782820845012509E-5</v>
      </c>
      <c r="DT46">
        <f t="shared" ref="DT46" si="115">((8*$H$1*$H$24)/(3.1415))*(((DS46)^4-(DR46)^4)-(((DS46)^2-(DR46)^2)^2/(LN(DS46/DR46))))^-1</f>
        <v>3.2778891332918501E+19</v>
      </c>
    </row>
    <row r="47" spans="1:173" x14ac:dyDescent="0.35">
      <c r="A47">
        <f t="shared" si="62"/>
        <v>10</v>
      </c>
      <c r="B47">
        <f t="shared" si="63"/>
        <v>1.0009000000000001E-3</v>
      </c>
      <c r="C47">
        <f t="shared" si="17"/>
        <v>1.0009999999999999E-3</v>
      </c>
      <c r="D47">
        <f t="shared" si="39"/>
        <v>7.9587314866577261E+19</v>
      </c>
      <c r="G47">
        <f t="shared" si="64"/>
        <v>10</v>
      </c>
      <c r="H47">
        <f t="shared" si="65"/>
        <v>8.2879541615219203E-4</v>
      </c>
      <c r="I47">
        <f t="shared" si="18"/>
        <v>8.2889541615219209E-4</v>
      </c>
      <c r="J47">
        <f t="shared" si="40"/>
        <v>2.6524323149909803E+19</v>
      </c>
      <c r="M47">
        <f t="shared" si="66"/>
        <v>10</v>
      </c>
      <c r="N47">
        <f t="shared" si="67"/>
        <v>6.863108200858112E-4</v>
      </c>
      <c r="O47">
        <f t="shared" si="19"/>
        <v>6.8641082008581125E-4</v>
      </c>
      <c r="P47">
        <f t="shared" si="41"/>
        <v>3.39504993240972E+19</v>
      </c>
      <c r="S47">
        <f t="shared" si="68"/>
        <v>10</v>
      </c>
      <c r="T47">
        <f t="shared" si="69"/>
        <v>5.6834847613015786E-4</v>
      </c>
      <c r="U47">
        <f t="shared" si="20"/>
        <v>5.6844847613015791E-4</v>
      </c>
      <c r="V47">
        <f t="shared" si="42"/>
        <v>2.6506561044890378E+19</v>
      </c>
      <c r="Y47">
        <f t="shared" si="70"/>
        <v>10</v>
      </c>
      <c r="Z47">
        <f t="shared" si="71"/>
        <v>4.7068799229070432E-4</v>
      </c>
      <c r="AA47">
        <f t="shared" si="21"/>
        <v>4.7078799229070432E-4</v>
      </c>
      <c r="AB47">
        <f t="shared" si="43"/>
        <v>2.6498813256316707E+19</v>
      </c>
      <c r="AE47">
        <f t="shared" si="72"/>
        <v>10</v>
      </c>
      <c r="AF47">
        <f t="shared" si="73"/>
        <v>3.8983532538081539E-4</v>
      </c>
      <c r="AG47">
        <f t="shared" si="22"/>
        <v>3.8993532538081539E-4</v>
      </c>
      <c r="AH47">
        <f t="shared" si="44"/>
        <v>2.648696283635241E+19</v>
      </c>
      <c r="AK47">
        <f t="shared" si="74"/>
        <v>10</v>
      </c>
      <c r="AL47">
        <f t="shared" si="75"/>
        <v>3.2289777306243844E-4</v>
      </c>
      <c r="AM47">
        <f t="shared" si="23"/>
        <v>3.2299777306243844E-4</v>
      </c>
      <c r="AN47">
        <f t="shared" si="45"/>
        <v>2.6473737228798394E+19</v>
      </c>
      <c r="AQ47">
        <f t="shared" si="76"/>
        <v>10</v>
      </c>
      <c r="AR47">
        <f t="shared" si="77"/>
        <v>2.6748048032960661E-4</v>
      </c>
      <c r="AS47">
        <f t="shared" si="24"/>
        <v>2.6758048032960661E-4</v>
      </c>
      <c r="AT47">
        <f t="shared" si="46"/>
        <v>2.6457128179485348E+19</v>
      </c>
      <c r="AW47">
        <f t="shared" si="78"/>
        <v>10</v>
      </c>
      <c r="AX47">
        <f t="shared" si="79"/>
        <v>2.2160075770053086E-4</v>
      </c>
      <c r="AY47">
        <f t="shared" si="25"/>
        <v>2.2170075770053087E-4</v>
      </c>
      <c r="AZ47">
        <f t="shared" si="47"/>
        <v>2.6437851595933774E+19</v>
      </c>
      <c r="BC47">
        <f t="shared" si="80"/>
        <v>10</v>
      </c>
      <c r="BD47">
        <f t="shared" si="81"/>
        <v>1.8361714564158507E-4</v>
      </c>
      <c r="BE47">
        <f t="shared" si="26"/>
        <v>1.8371714564158507E-4</v>
      </c>
      <c r="BF47">
        <f t="shared" si="48"/>
        <v>2.6414291080173335E+19</v>
      </c>
      <c r="BI47">
        <f t="shared" si="82"/>
        <v>10</v>
      </c>
      <c r="BJ47">
        <f t="shared" si="83"/>
        <v>1.5217068732908075E-4</v>
      </c>
      <c r="BK47">
        <f t="shared" si="27"/>
        <v>1.5227068732908075E-4</v>
      </c>
      <c r="BL47">
        <f t="shared" si="49"/>
        <v>2.6385906715359621E+19</v>
      </c>
      <c r="BO47">
        <f t="shared" si="84"/>
        <v>10</v>
      </c>
      <c r="BP47">
        <f t="shared" si="85"/>
        <v>1.2613630863793745E-4</v>
      </c>
      <c r="BQ47">
        <f t="shared" si="28"/>
        <v>1.2623630863793745E-4</v>
      </c>
      <c r="BR47">
        <f t="shared" si="50"/>
        <v>2.6351773981945573E+19</v>
      </c>
      <c r="BU47">
        <f t="shared" si="86"/>
        <v>10</v>
      </c>
      <c r="BV47">
        <f t="shared" si="87"/>
        <v>1.0458256585716962E-4</v>
      </c>
      <c r="BW47">
        <f t="shared" si="29"/>
        <v>1.0468256585716962E-4</v>
      </c>
      <c r="BX47">
        <f>((8*$F$1*$H$16)/(3.1415))*(((BW47)^4-(BV47)^4)-(((BW47)^2-(BV47)^2)^2/(LN(BW47/BV47))))^-1</f>
        <v>2.6310569575137473E+19</v>
      </c>
      <c r="CA47">
        <f t="shared" si="88"/>
        <v>10</v>
      </c>
      <c r="CB47">
        <f t="shared" si="89"/>
        <v>8.673832100804848E-5</v>
      </c>
      <c r="CC47">
        <f t="shared" si="30"/>
        <v>8.6838321008048482E-5</v>
      </c>
      <c r="CD47">
        <f t="shared" si="52"/>
        <v>3.3624364515813626E+19</v>
      </c>
      <c r="CG47">
        <f t="shared" si="90"/>
        <v>10</v>
      </c>
      <c r="CH47">
        <f t="shared" si="91"/>
        <v>7.196515249276373E-5</v>
      </c>
      <c r="CI47">
        <f t="shared" si="31"/>
        <v>7.2065152492763732E-5</v>
      </c>
      <c r="CJ47">
        <f t="shared" si="53"/>
        <v>3.3548027913054028E+19</v>
      </c>
      <c r="CM47">
        <f t="shared" si="92"/>
        <v>10</v>
      </c>
      <c r="CN47">
        <f t="shared" si="93"/>
        <v>5.9734513996915601E-5</v>
      </c>
      <c r="CO47">
        <f t="shared" si="32"/>
        <v>5.9834513996915597E-5</v>
      </c>
      <c r="CP47">
        <f t="shared" si="54"/>
        <v>3.3456279993153311E+19</v>
      </c>
      <c r="CS47">
        <f t="shared" si="94"/>
        <v>10</v>
      </c>
      <c r="CT47">
        <f t="shared" si="95"/>
        <v>4.9608824449588423E-5</v>
      </c>
      <c r="CU47">
        <f t="shared" si="33"/>
        <v>4.9708824449588419E-5</v>
      </c>
      <c r="CV47">
        <f t="shared" si="55"/>
        <v>3.3346124958141346E+19</v>
      </c>
      <c r="CY47">
        <f t="shared" si="96"/>
        <v>10</v>
      </c>
      <c r="CZ47">
        <f t="shared" si="97"/>
        <v>4.1225812487976074E-5</v>
      </c>
      <c r="DA47">
        <f t="shared" si="34"/>
        <v>4.132581248797607E-5</v>
      </c>
      <c r="DB47">
        <f t="shared" si="56"/>
        <v>3.321403459830376E+19</v>
      </c>
      <c r="DE47">
        <f t="shared" si="98"/>
        <v>10</v>
      </c>
      <c r="DF47">
        <f t="shared" si="99"/>
        <v>3.4285555311408213E-5</v>
      </c>
      <c r="DG47">
        <f t="shared" si="35"/>
        <v>3.4385555311408209E-5</v>
      </c>
      <c r="DH47">
        <f t="shared" si="57"/>
        <v>3.3055875234816733E+19</v>
      </c>
      <c r="DK47">
        <v>10</v>
      </c>
      <c r="DL47">
        <f t="shared" ref="DL47" si="116">DM46</f>
        <v>2.8539748208010325E-5</v>
      </c>
      <c r="DM47">
        <f t="shared" ref="DM47" si="117">$DL$38+DK47*$H$2</f>
        <v>2.8639748208010324E-5</v>
      </c>
      <c r="DN47">
        <f t="shared" ref="DN47" si="118">((8*$H$1*$H$23)/(3.1415))*(((DM47)^4-(DL47)^4)-(((DM47)^2-(DL47)^2)^2/(LN(DM47/DL47))))^-1</f>
        <v>3.2866832430375588E+19</v>
      </c>
    </row>
    <row r="48" spans="1:173" x14ac:dyDescent="0.35">
      <c r="A48">
        <f t="shared" si="62"/>
        <v>11</v>
      </c>
      <c r="B48">
        <f t="shared" si="63"/>
        <v>1.0009999999999999E-3</v>
      </c>
      <c r="C48">
        <f t="shared" si="17"/>
        <v>1.0011E-3</v>
      </c>
      <c r="D48">
        <f t="shared" si="39"/>
        <v>7.9561432451617063E+19</v>
      </c>
      <c r="G48">
        <f t="shared" si="64"/>
        <v>11</v>
      </c>
      <c r="H48">
        <f t="shared" si="65"/>
        <v>8.2889541615219209E-4</v>
      </c>
      <c r="I48">
        <f t="shared" si="18"/>
        <v>8.2899541615219204E-4</v>
      </c>
      <c r="J48">
        <f t="shared" si="40"/>
        <v>2.6515597806601834E+19</v>
      </c>
      <c r="M48">
        <f t="shared" si="66"/>
        <v>11</v>
      </c>
      <c r="N48">
        <f t="shared" si="67"/>
        <v>6.8641082008581125E-4</v>
      </c>
      <c r="O48">
        <f t="shared" si="19"/>
        <v>6.865108200858112E-4</v>
      </c>
      <c r="P48">
        <f t="shared" si="41"/>
        <v>3.3946961205601853E+19</v>
      </c>
      <c r="S48">
        <f t="shared" si="68"/>
        <v>11</v>
      </c>
      <c r="T48">
        <f t="shared" si="69"/>
        <v>5.6844847613015791E-4</v>
      </c>
      <c r="U48">
        <f t="shared" si="20"/>
        <v>5.6854847613015786E-4</v>
      </c>
      <c r="V48">
        <f t="shared" si="42"/>
        <v>2.6504608770203304E+19</v>
      </c>
      <c r="Y48">
        <f t="shared" si="70"/>
        <v>11</v>
      </c>
      <c r="Z48">
        <f t="shared" si="71"/>
        <v>4.7078799229070432E-4</v>
      </c>
      <c r="AA48">
        <f t="shared" si="21"/>
        <v>4.7088799229070432E-4</v>
      </c>
      <c r="AB48">
        <f t="shared" si="43"/>
        <v>2.6493105386571829E+19</v>
      </c>
      <c r="AE48">
        <f t="shared" si="72"/>
        <v>11</v>
      </c>
      <c r="AF48">
        <f t="shared" si="73"/>
        <v>3.8993532538081539E-4</v>
      </c>
      <c r="AG48">
        <f t="shared" si="22"/>
        <v>3.9003532538081539E-4</v>
      </c>
      <c r="AH48">
        <f t="shared" si="44"/>
        <v>2.6480607488859824E+19</v>
      </c>
      <c r="AK48">
        <f t="shared" si="74"/>
        <v>11</v>
      </c>
      <c r="AL48">
        <f t="shared" si="75"/>
        <v>3.2299777306243844E-4</v>
      </c>
      <c r="AM48">
        <f t="shared" si="23"/>
        <v>3.2309777306243845E-4</v>
      </c>
      <c r="AN48">
        <f t="shared" si="45"/>
        <v>2.6465024278060749E+19</v>
      </c>
      <c r="AQ48">
        <f t="shared" si="76"/>
        <v>11</v>
      </c>
      <c r="AR48">
        <f t="shared" si="77"/>
        <v>2.6758048032960661E-4</v>
      </c>
      <c r="AS48">
        <f t="shared" si="24"/>
        <v>2.6768048032960661E-4</v>
      </c>
      <c r="AT48">
        <f t="shared" si="46"/>
        <v>2.644769698056278E+19</v>
      </c>
      <c r="AW48">
        <f t="shared" si="78"/>
        <v>11</v>
      </c>
      <c r="AX48">
        <f t="shared" si="79"/>
        <v>2.2170075770053087E-4</v>
      </c>
      <c r="AY48">
        <f t="shared" si="25"/>
        <v>2.2180075770053087E-4</v>
      </c>
      <c r="AZ48">
        <f t="shared" si="47"/>
        <v>2.6425973577725915E+19</v>
      </c>
      <c r="BC48">
        <f t="shared" si="80"/>
        <v>11</v>
      </c>
      <c r="BD48">
        <f t="shared" si="81"/>
        <v>1.8371714564158507E-4</v>
      </c>
      <c r="BE48">
        <f t="shared" si="26"/>
        <v>1.8381714564158507E-4</v>
      </c>
      <c r="BF48">
        <f t="shared" si="48"/>
        <v>2.6400000233963979E+19</v>
      </c>
      <c r="BI48">
        <f t="shared" si="82"/>
        <v>11</v>
      </c>
      <c r="BJ48">
        <f t="shared" si="83"/>
        <v>1.5227068732908075E-4</v>
      </c>
      <c r="BK48">
        <f t="shared" si="27"/>
        <v>1.5237068732908076E-4</v>
      </c>
      <c r="BL48">
        <f t="shared" si="49"/>
        <v>2.6368601894922691E+19</v>
      </c>
      <c r="BO48">
        <f t="shared" si="84"/>
        <v>11</v>
      </c>
      <c r="BP48">
        <f t="shared" si="85"/>
        <v>1.2623630863793745E-4</v>
      </c>
      <c r="BQ48">
        <f t="shared" si="28"/>
        <v>1.2633630863793745E-4</v>
      </c>
      <c r="BR48">
        <f t="shared" ref="BR48:BR54" si="119">((8*$H$1*$H$15)/(3.1415))*(((BQ48)^4-(BP48)^4)-(((BQ48)^2-(BP48)^2)^2/(LN(BQ48/BP48))))^-1</f>
        <v>3.37138229084119E+19</v>
      </c>
      <c r="BU48">
        <f t="shared" si="86"/>
        <v>11</v>
      </c>
      <c r="BV48">
        <f>BW47</f>
        <v>1.0468256585716962E-4</v>
      </c>
      <c r="BW48">
        <f t="shared" si="29"/>
        <v>1.0478256585716962E-4</v>
      </c>
      <c r="BX48">
        <f t="shared" ref="BX48:BX53" si="120">((8*$F$1*$H$16)/(3.1415))*(((BW48)^4-(BV48)^4)-(((BW48)^2-(BV48)^2)^2/(LN(BW48/BV48))))^-1</f>
        <v>2.6285451924706488E+19</v>
      </c>
      <c r="CA48">
        <f t="shared" si="88"/>
        <v>11</v>
      </c>
      <c r="CB48">
        <f t="shared" si="89"/>
        <v>8.6838321008048482E-5</v>
      </c>
      <c r="CC48">
        <f t="shared" si="30"/>
        <v>8.6938321008048485E-5</v>
      </c>
      <c r="CD48">
        <f t="shared" si="52"/>
        <v>3.3585671200735551E+19</v>
      </c>
      <c r="CG48">
        <f t="shared" si="90"/>
        <v>11</v>
      </c>
      <c r="CH48">
        <f t="shared" si="91"/>
        <v>7.2065152492763732E-5</v>
      </c>
      <c r="CI48">
        <f t="shared" si="31"/>
        <v>7.2165152492763735E-5</v>
      </c>
      <c r="CJ48">
        <f t="shared" si="53"/>
        <v>3.3501503410807497E+19</v>
      </c>
      <c r="CM48">
        <f t="shared" si="92"/>
        <v>11</v>
      </c>
      <c r="CN48">
        <f t="shared" si="93"/>
        <v>5.9834513996915597E-5</v>
      </c>
      <c r="CO48">
        <f t="shared" si="32"/>
        <v>5.9934513996915599E-5</v>
      </c>
      <c r="CP48">
        <f t="shared" si="54"/>
        <v>3.3400413640716214E+19</v>
      </c>
      <c r="CS48">
        <f t="shared" si="94"/>
        <v>11</v>
      </c>
      <c r="CT48">
        <f t="shared" si="95"/>
        <v>4.9708824449588419E-5</v>
      </c>
      <c r="CU48">
        <f t="shared" si="33"/>
        <v>4.9808824449588421E-5</v>
      </c>
      <c r="CV48">
        <f t="shared" si="55"/>
        <v>3.3279109323639091E+19</v>
      </c>
      <c r="CY48">
        <f t="shared" si="96"/>
        <v>11</v>
      </c>
      <c r="CZ48">
        <f t="shared" si="97"/>
        <v>4.132581248797607E-5</v>
      </c>
      <c r="DA48">
        <f t="shared" si="34"/>
        <v>4.1425812487976072E-5</v>
      </c>
      <c r="DB48">
        <f t="shared" si="56"/>
        <v>3.3133760770193609E+19</v>
      </c>
      <c r="DE48">
        <v>11</v>
      </c>
      <c r="DF48">
        <f t="shared" ref="DF48" si="121">DG47</f>
        <v>3.4385555311408209E-5</v>
      </c>
      <c r="DG48">
        <f t="shared" ref="DG48" si="122">$DF$38+DE48*$H$2</f>
        <v>3.4485555311408211E-5</v>
      </c>
      <c r="DH48">
        <f t="shared" ref="DH48" si="123">((8*$H$1*$H$22)/(3.1415))*(((DG48)^4-(DF48)^4)-(((DG48)^2-(DF48)^2)^2/(LN(DG48/DF48))))^-1</f>
        <v>3.2959881438711165E+19</v>
      </c>
    </row>
    <row r="49" spans="1:106" x14ac:dyDescent="0.35">
      <c r="A49">
        <f t="shared" si="62"/>
        <v>12</v>
      </c>
      <c r="B49">
        <f t="shared" si="63"/>
        <v>1.0011E-3</v>
      </c>
      <c r="C49">
        <f t="shared" si="17"/>
        <v>1.0012E-3</v>
      </c>
      <c r="D49">
        <f t="shared" si="39"/>
        <v>7.9550881491429114E+19</v>
      </c>
      <c r="G49">
        <f t="shared" si="64"/>
        <v>12</v>
      </c>
      <c r="H49">
        <f t="shared" si="65"/>
        <v>8.2899541615219204E-4</v>
      </c>
      <c r="I49">
        <f t="shared" si="18"/>
        <v>8.290954161521921E-4</v>
      </c>
      <c r="J49">
        <f t="shared" si="40"/>
        <v>2.651123906076534E+19</v>
      </c>
      <c r="M49">
        <f t="shared" si="66"/>
        <v>12</v>
      </c>
      <c r="N49">
        <f t="shared" si="67"/>
        <v>6.865108200858112E-4</v>
      </c>
      <c r="O49">
        <f t="shared" si="19"/>
        <v>6.8661082008581126E-4</v>
      </c>
      <c r="P49">
        <f t="shared" si="41"/>
        <v>3.3940385319129362E+19</v>
      </c>
      <c r="S49">
        <f t="shared" si="68"/>
        <v>12</v>
      </c>
      <c r="T49">
        <f t="shared" si="69"/>
        <v>5.6854847613015786E-4</v>
      </c>
      <c r="U49">
        <f t="shared" si="20"/>
        <v>5.6864847613015792E-4</v>
      </c>
      <c r="V49">
        <f t="shared" si="42"/>
        <v>2.649716612571818E+19</v>
      </c>
      <c r="Y49">
        <f t="shared" si="70"/>
        <v>12</v>
      </c>
      <c r="Z49">
        <f t="shared" si="71"/>
        <v>4.7088799229070432E-4</v>
      </c>
      <c r="AA49">
        <f t="shared" si="21"/>
        <v>4.7098799229070427E-4</v>
      </c>
      <c r="AB49">
        <f t="shared" si="43"/>
        <v>2.6487157677752734E+19</v>
      </c>
      <c r="AE49">
        <f t="shared" si="72"/>
        <v>12</v>
      </c>
      <c r="AF49">
        <f t="shared" si="73"/>
        <v>3.9003532538081539E-4</v>
      </c>
      <c r="AG49">
        <f t="shared" si="22"/>
        <v>3.9013532538081534E-4</v>
      </c>
      <c r="AH49">
        <f t="shared" si="44"/>
        <v>2.6473709657503523E+19</v>
      </c>
      <c r="AK49">
        <f t="shared" si="74"/>
        <v>12</v>
      </c>
      <c r="AL49">
        <f t="shared" si="75"/>
        <v>3.2309777306243845E-4</v>
      </c>
      <c r="AM49">
        <f t="shared" si="23"/>
        <v>3.2319777306243839E-4</v>
      </c>
      <c r="AN49">
        <f t="shared" si="45"/>
        <v>2.6457303052668715E+19</v>
      </c>
      <c r="AQ49">
        <f t="shared" si="76"/>
        <v>12</v>
      </c>
      <c r="AR49">
        <f t="shared" si="77"/>
        <v>2.6768048032960661E-4</v>
      </c>
      <c r="AS49">
        <f t="shared" si="24"/>
        <v>2.6778048032960656E-4</v>
      </c>
      <c r="AT49">
        <f t="shared" si="46"/>
        <v>2.6437476925851038E+19</v>
      </c>
      <c r="AW49">
        <f t="shared" si="78"/>
        <v>12</v>
      </c>
      <c r="AX49">
        <f t="shared" si="79"/>
        <v>2.2180075770053087E-4</v>
      </c>
      <c r="AY49">
        <f t="shared" si="25"/>
        <v>2.2190075770053087E-4</v>
      </c>
      <c r="AZ49">
        <f t="shared" si="47"/>
        <v>2.6414101549996265E+19</v>
      </c>
      <c r="BC49">
        <f t="shared" si="80"/>
        <v>12</v>
      </c>
      <c r="BD49">
        <f t="shared" si="81"/>
        <v>1.8381714564158507E-4</v>
      </c>
      <c r="BE49">
        <f t="shared" si="26"/>
        <v>1.8391714564158508E-4</v>
      </c>
      <c r="BF49">
        <f t="shared" si="48"/>
        <v>2.638552991296793E+19</v>
      </c>
      <c r="BI49">
        <f t="shared" si="82"/>
        <v>12</v>
      </c>
      <c r="BJ49">
        <f t="shared" si="83"/>
        <v>1.5237068732908076E-4</v>
      </c>
      <c r="BK49">
        <f t="shared" si="27"/>
        <v>1.5247068732908076E-4</v>
      </c>
      <c r="BL49">
        <f t="shared" si="49"/>
        <v>2.6351321580833497E+19</v>
      </c>
      <c r="BO49">
        <f t="shared" si="84"/>
        <v>12</v>
      </c>
      <c r="BP49">
        <f t="shared" si="85"/>
        <v>1.2633630863793745E-4</v>
      </c>
      <c r="BQ49">
        <f t="shared" si="28"/>
        <v>1.2643630863793745E-4</v>
      </c>
      <c r="BR49">
        <f t="shared" si="119"/>
        <v>3.3687168308898664E+19</v>
      </c>
      <c r="BU49">
        <f t="shared" si="86"/>
        <v>12</v>
      </c>
      <c r="BV49">
        <f t="shared" si="87"/>
        <v>1.0478256585716962E-4</v>
      </c>
      <c r="BW49">
        <f t="shared" si="29"/>
        <v>1.0488256585716962E-4</v>
      </c>
      <c r="BX49">
        <f t="shared" si="120"/>
        <v>2.6260372380536488E+19</v>
      </c>
      <c r="CA49">
        <f t="shared" si="88"/>
        <v>12</v>
      </c>
      <c r="CB49">
        <f t="shared" si="89"/>
        <v>8.6938321008048485E-5</v>
      </c>
      <c r="CC49">
        <f t="shared" si="30"/>
        <v>8.7038321008048487E-5</v>
      </c>
      <c r="CD49">
        <f t="shared" si="52"/>
        <v>3.3547067504602755E+19</v>
      </c>
      <c r="CG49">
        <f t="shared" si="90"/>
        <v>12</v>
      </c>
      <c r="CH49">
        <f t="shared" si="91"/>
        <v>7.2165152492763735E-5</v>
      </c>
      <c r="CI49">
        <f t="shared" si="31"/>
        <v>7.2265152492763737E-5</v>
      </c>
      <c r="CJ49">
        <f t="shared" si="53"/>
        <v>3.3455112538312671E+19</v>
      </c>
      <c r="CM49">
        <f t="shared" si="92"/>
        <v>12</v>
      </c>
      <c r="CN49">
        <f t="shared" si="93"/>
        <v>5.9934513996915599E-5</v>
      </c>
      <c r="CO49">
        <f t="shared" si="32"/>
        <v>6.0034513996915602E-5</v>
      </c>
      <c r="CP49">
        <f t="shared" si="54"/>
        <v>3.334473090732281E+19</v>
      </c>
      <c r="CS49">
        <f t="shared" si="94"/>
        <v>12</v>
      </c>
      <c r="CT49">
        <f t="shared" si="95"/>
        <v>4.9808824449588421E-5</v>
      </c>
      <c r="CU49">
        <f t="shared" si="33"/>
        <v>4.9908824449588423E-5</v>
      </c>
      <c r="CV49">
        <f t="shared" si="55"/>
        <v>3.3212362270687519E+19</v>
      </c>
      <c r="CY49">
        <v>12</v>
      </c>
      <c r="CZ49">
        <f t="shared" ref="CZ49" si="124">DA48</f>
        <v>4.1425812487976072E-5</v>
      </c>
      <c r="DA49">
        <f t="shared" ref="DA49" si="125">$CZ$38+CY49*$H$2</f>
        <v>4.1525812487976075E-5</v>
      </c>
      <c r="DB49">
        <f t="shared" ref="DB49" si="126">((8*$H$1*$H$21)/(3.1415))*(((DA49)^4-(CZ49)^4)-(((DA49)^2-(CZ49)^2)^2/(LN(DA49/CZ49))))^-1</f>
        <v>3.3053873679572451E+19</v>
      </c>
    </row>
    <row r="50" spans="1:106" x14ac:dyDescent="0.35">
      <c r="A50">
        <f t="shared" si="62"/>
        <v>13</v>
      </c>
      <c r="B50">
        <f t="shared" si="63"/>
        <v>1.0012E-3</v>
      </c>
      <c r="C50">
        <f t="shared" si="17"/>
        <v>1.0013000000000001E-3</v>
      </c>
      <c r="D50">
        <f t="shared" si="39"/>
        <v>7.9553437440453247E+19</v>
      </c>
      <c r="G50">
        <f t="shared" si="64"/>
        <v>13</v>
      </c>
      <c r="H50">
        <f t="shared" si="65"/>
        <v>8.290954161521921E-4</v>
      </c>
      <c r="I50">
        <f t="shared" si="18"/>
        <v>8.2919541615219204E-4</v>
      </c>
      <c r="J50">
        <f t="shared" si="40"/>
        <v>2.6512598797817373E+19</v>
      </c>
      <c r="M50">
        <f t="shared" si="66"/>
        <v>13</v>
      </c>
      <c r="N50">
        <f t="shared" si="67"/>
        <v>6.8661082008581126E-4</v>
      </c>
      <c r="O50">
        <f t="shared" si="19"/>
        <v>6.8671082008581121E-4</v>
      </c>
      <c r="P50">
        <f t="shared" si="41"/>
        <v>3.3937728443993403E+19</v>
      </c>
      <c r="S50">
        <f t="shared" si="68"/>
        <v>13</v>
      </c>
      <c r="T50">
        <f t="shared" si="69"/>
        <v>5.6864847613015792E-4</v>
      </c>
      <c r="U50">
        <f t="shared" si="20"/>
        <v>5.6874847613015787E-4</v>
      </c>
      <c r="V50">
        <f t="shared" si="42"/>
        <v>2.6493199601306194E+19</v>
      </c>
      <c r="Y50">
        <f t="shared" si="70"/>
        <v>13</v>
      </c>
      <c r="Z50">
        <f t="shared" si="71"/>
        <v>4.7098799229070427E-4</v>
      </c>
      <c r="AA50">
        <f t="shared" si="21"/>
        <v>4.7108799229070427E-4</v>
      </c>
      <c r="AB50">
        <f t="shared" si="43"/>
        <v>2.6481646346956796E+19</v>
      </c>
      <c r="AE50">
        <f t="shared" si="72"/>
        <v>13</v>
      </c>
      <c r="AF50">
        <f t="shared" si="73"/>
        <v>3.9013532538081534E-4</v>
      </c>
      <c r="AG50">
        <f t="shared" si="22"/>
        <v>3.9023532538081534E-4</v>
      </c>
      <c r="AH50">
        <f t="shared" si="44"/>
        <v>2.6467180065200271E+19</v>
      </c>
      <c r="AK50">
        <f t="shared" si="74"/>
        <v>13</v>
      </c>
      <c r="AL50">
        <f t="shared" si="75"/>
        <v>3.2319777306243839E-4</v>
      </c>
      <c r="AM50">
        <f t="shared" si="23"/>
        <v>3.232977730624384E-4</v>
      </c>
      <c r="AN50">
        <f t="shared" si="45"/>
        <v>2.6449010030276936E+19</v>
      </c>
      <c r="AQ50">
        <f t="shared" si="76"/>
        <v>13</v>
      </c>
      <c r="AR50">
        <f t="shared" si="77"/>
        <v>2.6778048032960656E-4</v>
      </c>
      <c r="AS50">
        <f t="shared" si="24"/>
        <v>2.6788048032960656E-4</v>
      </c>
      <c r="AT50">
        <f t="shared" si="46"/>
        <v>2.6427809331525984E+19</v>
      </c>
      <c r="AW50">
        <f t="shared" si="78"/>
        <v>13</v>
      </c>
      <c r="AX50">
        <f t="shared" si="79"/>
        <v>2.2190075770053087E-4</v>
      </c>
      <c r="AY50">
        <f t="shared" si="25"/>
        <v>2.2200075770053087E-4</v>
      </c>
      <c r="AZ50">
        <f t="shared" si="47"/>
        <v>2.6402041349485191E+19</v>
      </c>
      <c r="BC50">
        <f t="shared" si="80"/>
        <v>13</v>
      </c>
      <c r="BD50">
        <f t="shared" si="81"/>
        <v>1.8391714564158508E-4</v>
      </c>
      <c r="BE50">
        <f t="shared" si="26"/>
        <v>1.8401714564158508E-4</v>
      </c>
      <c r="BF50">
        <f t="shared" si="48"/>
        <v>2.637123608076875E+19</v>
      </c>
      <c r="BI50">
        <f t="shared" si="82"/>
        <v>13</v>
      </c>
      <c r="BJ50">
        <f t="shared" si="83"/>
        <v>1.5247068732908076E-4</v>
      </c>
      <c r="BK50">
        <f t="shared" si="27"/>
        <v>1.5257068732908076E-4</v>
      </c>
      <c r="BL50">
        <f t="shared" si="49"/>
        <v>2.6334041529867301E+19</v>
      </c>
      <c r="BO50">
        <f t="shared" si="84"/>
        <v>13</v>
      </c>
      <c r="BP50">
        <f t="shared" si="85"/>
        <v>1.2643630863793745E-4</v>
      </c>
      <c r="BQ50">
        <f t="shared" si="28"/>
        <v>1.2653630863793746E-4</v>
      </c>
      <c r="BR50">
        <f t="shared" si="119"/>
        <v>3.3660533393512129E+19</v>
      </c>
      <c r="BU50">
        <f t="shared" si="86"/>
        <v>13</v>
      </c>
      <c r="BV50">
        <f t="shared" si="87"/>
        <v>1.0488256585716962E-4</v>
      </c>
      <c r="BW50">
        <f t="shared" si="29"/>
        <v>1.0498256585716963E-4</v>
      </c>
      <c r="BX50">
        <f t="shared" si="120"/>
        <v>2.6235350381447889E+19</v>
      </c>
      <c r="CA50">
        <f t="shared" si="88"/>
        <v>13</v>
      </c>
      <c r="CB50">
        <f t="shared" si="89"/>
        <v>8.7038321008048487E-5</v>
      </c>
      <c r="CC50">
        <f t="shared" si="30"/>
        <v>8.713832100804849E-5</v>
      </c>
      <c r="CD50">
        <f t="shared" si="52"/>
        <v>3.3508532927984542E+19</v>
      </c>
      <c r="CG50">
        <f t="shared" si="90"/>
        <v>13</v>
      </c>
      <c r="CH50">
        <f t="shared" si="91"/>
        <v>7.2265152492763737E-5</v>
      </c>
      <c r="CI50">
        <f t="shared" si="31"/>
        <v>7.236515249276374E-5</v>
      </c>
      <c r="CJ50">
        <f t="shared" si="53"/>
        <v>3.3408852444174213E+19</v>
      </c>
      <c r="CM50">
        <f t="shared" si="92"/>
        <v>13</v>
      </c>
      <c r="CN50">
        <f t="shared" si="93"/>
        <v>6.0034513996915602E-5</v>
      </c>
      <c r="CO50">
        <f t="shared" si="32"/>
        <v>6.0134513996915597E-5</v>
      </c>
      <c r="CP50">
        <f t="shared" si="54"/>
        <v>3.3289232379904934E+19</v>
      </c>
      <c r="CS50">
        <v>13</v>
      </c>
      <c r="CT50">
        <f t="shared" ref="CT50" si="127">CU49</f>
        <v>4.9908824449588423E-5</v>
      </c>
      <c r="CU50">
        <f t="shared" ref="CU50" si="128">$CT$38+CS50*$H$2</f>
        <v>5.0008824449588419E-5</v>
      </c>
      <c r="CV50">
        <f t="shared" ref="CV50" si="129">((8*$H$1*$H$20)/(3.1415))*(((CU50)^4-(CT50)^4)-(((CU50)^2-(CT50)^2)^2/(LN(CU50/CT50))))^-1</f>
        <v>3.3145882520331305E+19</v>
      </c>
    </row>
    <row r="51" spans="1:106" x14ac:dyDescent="0.35">
      <c r="A51">
        <f t="shared" si="62"/>
        <v>14</v>
      </c>
      <c r="B51">
        <f t="shared" si="63"/>
        <v>1.0013000000000001E-3</v>
      </c>
      <c r="C51">
        <f t="shared" si="17"/>
        <v>1.0013999999999999E-3</v>
      </c>
      <c r="D51">
        <f t="shared" si="39"/>
        <v>7.9557782930754699E+19</v>
      </c>
      <c r="G51">
        <f t="shared" si="64"/>
        <v>14</v>
      </c>
      <c r="H51">
        <f t="shared" si="65"/>
        <v>8.2919541615219204E-4</v>
      </c>
      <c r="I51">
        <f t="shared" si="18"/>
        <v>8.292954161521921E-4</v>
      </c>
      <c r="J51">
        <f t="shared" si="40"/>
        <v>2.6513033943132541E+19</v>
      </c>
      <c r="M51">
        <f t="shared" si="66"/>
        <v>14</v>
      </c>
      <c r="N51">
        <f t="shared" si="67"/>
        <v>6.8671082008581121E-4</v>
      </c>
      <c r="O51">
        <f t="shared" si="19"/>
        <v>6.8681082008581126E-4</v>
      </c>
      <c r="P51">
        <f t="shared" si="41"/>
        <v>3.3928816738835554E+19</v>
      </c>
      <c r="S51">
        <f t="shared" si="68"/>
        <v>14</v>
      </c>
      <c r="T51">
        <f t="shared" si="69"/>
        <v>5.6874847613015787E-4</v>
      </c>
      <c r="U51">
        <f t="shared" si="20"/>
        <v>5.6884847613015792E-4</v>
      </c>
      <c r="V51">
        <f t="shared" si="42"/>
        <v>2.6489089607237456E+19</v>
      </c>
      <c r="Y51">
        <f t="shared" si="70"/>
        <v>14</v>
      </c>
      <c r="Z51">
        <f t="shared" si="71"/>
        <v>4.7108799229070427E-4</v>
      </c>
      <c r="AA51">
        <f t="shared" si="21"/>
        <v>4.7118799229070428E-4</v>
      </c>
      <c r="AB51">
        <f t="shared" si="43"/>
        <v>2.6474817029224337E+19</v>
      </c>
      <c r="AE51">
        <f t="shared" si="72"/>
        <v>14</v>
      </c>
      <c r="AF51">
        <f t="shared" si="73"/>
        <v>3.9023532538081534E-4</v>
      </c>
      <c r="AG51">
        <f t="shared" si="22"/>
        <v>3.9033532538081535E-4</v>
      </c>
      <c r="AH51">
        <f t="shared" si="44"/>
        <v>2.646013974479725E+19</v>
      </c>
      <c r="AK51">
        <f t="shared" si="74"/>
        <v>14</v>
      </c>
      <c r="AL51">
        <f t="shared" si="75"/>
        <v>3.232977730624384E-4</v>
      </c>
      <c r="AM51">
        <f t="shared" si="23"/>
        <v>3.233977730624384E-4</v>
      </c>
      <c r="AN51">
        <f t="shared" si="45"/>
        <v>2.6440716441142505E+19</v>
      </c>
      <c r="AQ51">
        <f t="shared" si="76"/>
        <v>14</v>
      </c>
      <c r="AR51">
        <f t="shared" si="77"/>
        <v>2.6788048032960656E-4</v>
      </c>
      <c r="AS51">
        <f t="shared" si="24"/>
        <v>2.6798048032960657E-4</v>
      </c>
      <c r="AT51">
        <f t="shared" si="46"/>
        <v>2.6417837296439828E+19</v>
      </c>
      <c r="AW51">
        <f t="shared" si="78"/>
        <v>14</v>
      </c>
      <c r="AX51">
        <f t="shared" si="79"/>
        <v>2.2200075770053087E-4</v>
      </c>
      <c r="AY51">
        <f t="shared" si="25"/>
        <v>2.2210075770053088E-4</v>
      </c>
      <c r="AZ51">
        <f t="shared" si="47"/>
        <v>2.6390264491071226E+19</v>
      </c>
      <c r="BC51">
        <f t="shared" si="80"/>
        <v>14</v>
      </c>
      <c r="BD51">
        <f t="shared" si="81"/>
        <v>1.8401714564158508E-4</v>
      </c>
      <c r="BE51">
        <f t="shared" si="26"/>
        <v>1.8411714564158508E-4</v>
      </c>
      <c r="BF51">
        <f t="shared" si="48"/>
        <v>2.635692728107692E+19</v>
      </c>
      <c r="BI51">
        <f t="shared" si="82"/>
        <v>14</v>
      </c>
      <c r="BJ51">
        <f t="shared" si="83"/>
        <v>1.5257068732908076E-4</v>
      </c>
      <c r="BK51">
        <f t="shared" si="27"/>
        <v>1.5267068732908076E-4</v>
      </c>
      <c r="BL51">
        <f t="shared" si="49"/>
        <v>2.6316804500989985E+19</v>
      </c>
      <c r="BO51">
        <f t="shared" si="84"/>
        <v>14</v>
      </c>
      <c r="BP51">
        <f t="shared" si="85"/>
        <v>1.2653630863793746E-4</v>
      </c>
      <c r="BQ51">
        <f t="shared" si="28"/>
        <v>1.2663630863793746E-4</v>
      </c>
      <c r="BR51">
        <f t="shared" si="119"/>
        <v>3.3633928300827005E+19</v>
      </c>
      <c r="BU51">
        <f t="shared" si="86"/>
        <v>14</v>
      </c>
      <c r="BV51">
        <f t="shared" si="87"/>
        <v>1.0498256585716963E-4</v>
      </c>
      <c r="BW51">
        <f t="shared" si="29"/>
        <v>1.0508256585716961E-4</v>
      </c>
      <c r="BX51">
        <f t="shared" si="120"/>
        <v>2.6210380526704083E+19</v>
      </c>
      <c r="CA51">
        <f t="shared" si="88"/>
        <v>14</v>
      </c>
      <c r="CB51">
        <f t="shared" si="89"/>
        <v>8.713832100804849E-5</v>
      </c>
      <c r="CC51">
        <f t="shared" si="30"/>
        <v>8.7238321008048479E-5</v>
      </c>
      <c r="CD51">
        <f t="shared" si="52"/>
        <v>3.3470093015075754E+19</v>
      </c>
      <c r="CG51">
        <f t="shared" si="90"/>
        <v>14</v>
      </c>
      <c r="CH51">
        <f t="shared" si="91"/>
        <v>7.236515249276374E-5</v>
      </c>
      <c r="CI51">
        <f t="shared" si="31"/>
        <v>7.2465152492763728E-5</v>
      </c>
      <c r="CJ51">
        <f t="shared" si="53"/>
        <v>3.3362715746893779E+19</v>
      </c>
      <c r="CM51">
        <v>14</v>
      </c>
      <c r="CN51">
        <f t="shared" ref="CN51" si="130">CO50</f>
        <v>6.0134513996915597E-5</v>
      </c>
      <c r="CO51">
        <f t="shared" ref="CO51" si="131">$CN$38+CM51*$H$2</f>
        <v>6.02345139969156E-5</v>
      </c>
      <c r="CP51">
        <f t="shared" ref="CP51" si="132">((8*$H$1*$H$19)/(3.1415))*(((CO51)^4-(CN51)^4)-(((CO51)^2-(CN51)^2)^2/(LN(CO51/CN51))))^-1</f>
        <v>3.3233923352456557E+19</v>
      </c>
    </row>
    <row r="52" spans="1:106" x14ac:dyDescent="0.35">
      <c r="A52">
        <f t="shared" si="62"/>
        <v>15</v>
      </c>
      <c r="B52">
        <f t="shared" si="63"/>
        <v>1.0013999999999999E-3</v>
      </c>
      <c r="C52">
        <f t="shared" si="17"/>
        <v>1.0015E-3</v>
      </c>
      <c r="D52">
        <f t="shared" si="39"/>
        <v>7.954261544299792E+19</v>
      </c>
      <c r="G52">
        <f t="shared" si="64"/>
        <v>15</v>
      </c>
      <c r="H52">
        <f t="shared" si="65"/>
        <v>8.292954161521921E-4</v>
      </c>
      <c r="I52">
        <f t="shared" si="18"/>
        <v>8.2939541615219205E-4</v>
      </c>
      <c r="J52">
        <f t="shared" si="40"/>
        <v>2.6500891894382453E+19</v>
      </c>
      <c r="M52">
        <f t="shared" si="66"/>
        <v>15</v>
      </c>
      <c r="N52">
        <f t="shared" si="67"/>
        <v>6.8681082008581126E-4</v>
      </c>
      <c r="O52">
        <f t="shared" si="19"/>
        <v>6.8691082008581121E-4</v>
      </c>
      <c r="P52">
        <f t="shared" si="41"/>
        <v>3.3927179080392098E+19</v>
      </c>
      <c r="S52">
        <f t="shared" si="68"/>
        <v>15</v>
      </c>
      <c r="T52">
        <f t="shared" si="69"/>
        <v>5.6884847613015792E-4</v>
      </c>
      <c r="U52">
        <f t="shared" si="20"/>
        <v>5.6894847613015787E-4</v>
      </c>
      <c r="V52">
        <f t="shared" si="42"/>
        <v>2.6484224282467635E+19</v>
      </c>
      <c r="Y52">
        <f t="shared" si="70"/>
        <v>15</v>
      </c>
      <c r="Z52">
        <f t="shared" si="71"/>
        <v>4.7118799229070428E-4</v>
      </c>
      <c r="AA52">
        <f t="shared" si="21"/>
        <v>4.7128799229070428E-4</v>
      </c>
      <c r="AB52">
        <f t="shared" si="43"/>
        <v>2.6469372622755611E+19</v>
      </c>
      <c r="AE52">
        <f t="shared" si="72"/>
        <v>15</v>
      </c>
      <c r="AF52">
        <f t="shared" si="73"/>
        <v>3.9033532538081535E-4</v>
      </c>
      <c r="AG52">
        <f t="shared" si="22"/>
        <v>3.9043532538081535E-4</v>
      </c>
      <c r="AH52">
        <f t="shared" si="44"/>
        <v>2.6453233308420166E+19</v>
      </c>
      <c r="AK52">
        <f t="shared" si="74"/>
        <v>15</v>
      </c>
      <c r="AL52">
        <f t="shared" si="75"/>
        <v>3.233977730624384E-4</v>
      </c>
      <c r="AM52">
        <f t="shared" si="23"/>
        <v>3.234977730624384E-4</v>
      </c>
      <c r="AN52">
        <f t="shared" si="45"/>
        <v>2.6432472340521759E+19</v>
      </c>
      <c r="AQ52">
        <f t="shared" si="76"/>
        <v>15</v>
      </c>
      <c r="AR52">
        <f t="shared" si="77"/>
        <v>2.6798048032960657E-4</v>
      </c>
      <c r="AS52">
        <f t="shared" si="24"/>
        <v>2.6808048032960657E-4</v>
      </c>
      <c r="AT52">
        <f t="shared" si="46"/>
        <v>2.6407863448213893E+19</v>
      </c>
      <c r="AW52">
        <f t="shared" si="78"/>
        <v>15</v>
      </c>
      <c r="AX52">
        <f t="shared" si="79"/>
        <v>2.2210075770053088E-4</v>
      </c>
      <c r="AY52">
        <f t="shared" si="25"/>
        <v>2.2220075770053088E-4</v>
      </c>
      <c r="AZ52">
        <f t="shared" si="47"/>
        <v>2.63782183591267E+19</v>
      </c>
      <c r="BC52">
        <f t="shared" si="80"/>
        <v>15</v>
      </c>
      <c r="BD52">
        <f t="shared" si="81"/>
        <v>1.8411714564158508E-4</v>
      </c>
      <c r="BE52">
        <f t="shared" si="26"/>
        <v>1.8421714564158508E-4</v>
      </c>
      <c r="BF52">
        <f t="shared" si="48"/>
        <v>2.6342641975733387E+19</v>
      </c>
      <c r="BI52">
        <f t="shared" si="82"/>
        <v>15</v>
      </c>
      <c r="BJ52">
        <f t="shared" si="83"/>
        <v>1.5267068732908076E-4</v>
      </c>
      <c r="BK52">
        <f t="shared" si="27"/>
        <v>1.5277068732908077E-4</v>
      </c>
      <c r="BL52">
        <f t="shared" si="49"/>
        <v>2.6299548905055539E+19</v>
      </c>
      <c r="BO52">
        <f t="shared" si="84"/>
        <v>15</v>
      </c>
      <c r="BP52">
        <f t="shared" si="85"/>
        <v>1.2663630863793746E-4</v>
      </c>
      <c r="BQ52">
        <f t="shared" si="28"/>
        <v>1.2673630863793746E-4</v>
      </c>
      <c r="BR52">
        <f t="shared" si="119"/>
        <v>3.3607399316114514E+19</v>
      </c>
      <c r="BU52">
        <f t="shared" si="86"/>
        <v>15</v>
      </c>
      <c r="BV52">
        <f t="shared" si="87"/>
        <v>1.0508256585716961E-4</v>
      </c>
      <c r="BW52">
        <f t="shared" si="29"/>
        <v>1.0518256585716962E-4</v>
      </c>
      <c r="BX52">
        <f t="shared" si="120"/>
        <v>2.618543421490015E+19</v>
      </c>
      <c r="CA52">
        <f t="shared" si="88"/>
        <v>15</v>
      </c>
      <c r="CB52">
        <f t="shared" si="89"/>
        <v>8.7238321008048479E-5</v>
      </c>
      <c r="CC52">
        <f t="shared" si="30"/>
        <v>8.7338321008048481E-5</v>
      </c>
      <c r="CD52">
        <f t="shared" si="52"/>
        <v>3.3431771304650723E+19</v>
      </c>
      <c r="CG52">
        <v>15</v>
      </c>
      <c r="CH52">
        <f t="shared" ref="CH52" si="133">CI51</f>
        <v>7.2465152492763728E-5</v>
      </c>
      <c r="CI52">
        <f t="shared" ref="CI52" si="134">$CH$38+CG52*$H$2</f>
        <v>7.2565152492763731E-5</v>
      </c>
      <c r="CJ52">
        <f t="shared" ref="CJ52" si="135">((8*$H$1*$H$18)/(3.1415))*(((CI52)^4-(CH52)^4)-(((CI52)^2-(CH52)^2)^2/(LN(CI52/CH52))))^-1</f>
        <v>3.3316708565562175E+19</v>
      </c>
    </row>
    <row r="53" spans="1:106" x14ac:dyDescent="0.35">
      <c r="A53">
        <f t="shared" si="62"/>
        <v>16</v>
      </c>
      <c r="B53">
        <f t="shared" si="63"/>
        <v>1.0015E-3</v>
      </c>
      <c r="C53">
        <f t="shared" si="17"/>
        <v>1.0016000000000001E-3</v>
      </c>
      <c r="D53">
        <f t="shared" si="39"/>
        <v>7.9557168833343078E+19</v>
      </c>
      <c r="G53">
        <f t="shared" si="64"/>
        <v>16</v>
      </c>
      <c r="H53">
        <f t="shared" si="65"/>
        <v>8.2939541615219205E-4</v>
      </c>
      <c r="I53">
        <f t="shared" si="18"/>
        <v>8.2949541615219211E-4</v>
      </c>
      <c r="J53">
        <f t="shared" si="40"/>
        <v>2.6507056674622939E+19</v>
      </c>
      <c r="M53">
        <f t="shared" si="66"/>
        <v>16</v>
      </c>
      <c r="N53">
        <f t="shared" si="67"/>
        <v>6.8691082008581121E-4</v>
      </c>
      <c r="O53">
        <f t="shared" si="19"/>
        <v>6.8701082008581127E-4</v>
      </c>
      <c r="P53">
        <f t="shared" si="41"/>
        <v>3.3922659671099019E+19</v>
      </c>
      <c r="S53">
        <f t="shared" si="68"/>
        <v>16</v>
      </c>
      <c r="T53">
        <f t="shared" si="69"/>
        <v>5.6894847613015787E-4</v>
      </c>
      <c r="U53">
        <f t="shared" si="20"/>
        <v>5.6904847613015793E-4</v>
      </c>
      <c r="V53">
        <f t="shared" si="42"/>
        <v>2.6478748142142001E+19</v>
      </c>
      <c r="Y53">
        <f t="shared" si="70"/>
        <v>16</v>
      </c>
      <c r="Z53">
        <f t="shared" si="71"/>
        <v>4.7128799229070428E-4</v>
      </c>
      <c r="AA53">
        <f t="shared" si="21"/>
        <v>4.7138799229070428E-4</v>
      </c>
      <c r="AB53">
        <f t="shared" si="43"/>
        <v>2.6464307799216873E+19</v>
      </c>
      <c r="AE53">
        <f t="shared" si="72"/>
        <v>16</v>
      </c>
      <c r="AF53">
        <f t="shared" si="73"/>
        <v>3.9043532538081535E-4</v>
      </c>
      <c r="AG53">
        <f t="shared" si="22"/>
        <v>3.9053532538081535E-4</v>
      </c>
      <c r="AH53">
        <f t="shared" si="44"/>
        <v>2.6445750250994958E+19</v>
      </c>
      <c r="AK53">
        <f t="shared" si="74"/>
        <v>16</v>
      </c>
      <c r="AL53">
        <f t="shared" si="75"/>
        <v>3.234977730624384E-4</v>
      </c>
      <c r="AM53">
        <f t="shared" si="23"/>
        <v>3.235977730624384E-4</v>
      </c>
      <c r="AN53">
        <f t="shared" si="45"/>
        <v>2.6424582284394349E+19</v>
      </c>
      <c r="AQ53">
        <f t="shared" si="76"/>
        <v>16</v>
      </c>
      <c r="AR53">
        <f t="shared" si="77"/>
        <v>2.6808048032960657E-4</v>
      </c>
      <c r="AS53">
        <f t="shared" si="24"/>
        <v>2.6818048032960657E-4</v>
      </c>
      <c r="AT53">
        <f t="shared" si="46"/>
        <v>2.6398118745299173E+19</v>
      </c>
      <c r="AW53">
        <f t="shared" si="78"/>
        <v>16</v>
      </c>
      <c r="AX53">
        <f t="shared" si="79"/>
        <v>2.2220075770053088E-4</v>
      </c>
      <c r="AY53">
        <f t="shared" si="25"/>
        <v>2.2230075770053088E-4</v>
      </c>
      <c r="AZ53">
        <f t="shared" si="47"/>
        <v>2.6366600033874768E+19</v>
      </c>
      <c r="BC53">
        <f t="shared" si="80"/>
        <v>16</v>
      </c>
      <c r="BD53">
        <f t="shared" si="81"/>
        <v>1.8421714564158508E-4</v>
      </c>
      <c r="BE53">
        <f t="shared" si="26"/>
        <v>1.8431714564158509E-4</v>
      </c>
      <c r="BF53">
        <f t="shared" si="48"/>
        <v>2.6328305072023421E+19</v>
      </c>
      <c r="BI53">
        <f t="shared" si="82"/>
        <v>16</v>
      </c>
      <c r="BJ53">
        <f t="shared" si="83"/>
        <v>1.5277068732908077E-4</v>
      </c>
      <c r="BK53">
        <f t="shared" si="27"/>
        <v>1.5287068732908077E-4</v>
      </c>
      <c r="BL53">
        <f t="shared" si="49"/>
        <v>2.6282308917464781E+19</v>
      </c>
      <c r="BO53">
        <f t="shared" si="84"/>
        <v>16</v>
      </c>
      <c r="BP53">
        <f t="shared" si="85"/>
        <v>1.2673630863793746E-4</v>
      </c>
      <c r="BQ53">
        <f t="shared" si="28"/>
        <v>1.2683630863793746E-4</v>
      </c>
      <c r="BR53">
        <f t="shared" si="119"/>
        <v>3.3580873928545133E+19</v>
      </c>
      <c r="BU53">
        <f t="shared" si="86"/>
        <v>16</v>
      </c>
      <c r="BV53">
        <f t="shared" si="87"/>
        <v>1.0518256585716962E-4</v>
      </c>
      <c r="BW53">
        <f t="shared" si="29"/>
        <v>1.0528256585716962E-4</v>
      </c>
      <c r="BX53">
        <f t="shared" si="120"/>
        <v>2.6160574466772824E+19</v>
      </c>
      <c r="CA53">
        <v>16</v>
      </c>
      <c r="CB53">
        <f t="shared" ref="CB53" si="136">CC52</f>
        <v>8.7338321008048481E-5</v>
      </c>
      <c r="CC53">
        <f t="shared" ref="CC53" si="137">$CB$38+CA53*$H$2</f>
        <v>8.7438321008048483E-5</v>
      </c>
      <c r="CD53">
        <f t="shared" ref="CD53" si="138">((8*$H$1*$H$17)/(3.1415))*(((CC53)^4-(CB53)^4)-(((CC53)^2-(CB53)^2)^2/(LN(CC53/CB53))))^-1</f>
        <v>3.3393494497443168E+19</v>
      </c>
    </row>
    <row r="54" spans="1:106" x14ac:dyDescent="0.35">
      <c r="A54">
        <f t="shared" si="62"/>
        <v>17</v>
      </c>
      <c r="B54">
        <f t="shared" si="63"/>
        <v>1.0016000000000001E-3</v>
      </c>
      <c r="C54">
        <f t="shared" si="17"/>
        <v>1.0017000000000001E-3</v>
      </c>
      <c r="D54">
        <f t="shared" si="39"/>
        <v>7.9503083201705755E+19</v>
      </c>
      <c r="G54">
        <f t="shared" si="64"/>
        <v>17</v>
      </c>
      <c r="H54">
        <f t="shared" si="65"/>
        <v>8.2949541615219211E-4</v>
      </c>
      <c r="I54">
        <f t="shared" si="18"/>
        <v>8.2959541615219205E-4</v>
      </c>
      <c r="J54">
        <f t="shared" si="40"/>
        <v>2.6497926920475267E+19</v>
      </c>
      <c r="M54">
        <f t="shared" si="66"/>
        <v>17</v>
      </c>
      <c r="N54">
        <f t="shared" si="67"/>
        <v>6.8701082008581127E-4</v>
      </c>
      <c r="O54">
        <f t="shared" si="19"/>
        <v>6.8711082008581122E-4</v>
      </c>
      <c r="P54">
        <f t="shared" si="41"/>
        <v>3.3914292491643814E+19</v>
      </c>
      <c r="S54">
        <f t="shared" si="68"/>
        <v>17</v>
      </c>
      <c r="T54">
        <f t="shared" si="69"/>
        <v>5.6904847613015793E-4</v>
      </c>
      <c r="U54">
        <f t="shared" si="20"/>
        <v>5.6914847613015788E-4</v>
      </c>
      <c r="V54">
        <f t="shared" si="42"/>
        <v>2.647302400216116E+19</v>
      </c>
      <c r="Y54">
        <f t="shared" si="70"/>
        <v>17</v>
      </c>
      <c r="Z54">
        <f t="shared" si="71"/>
        <v>4.7138799229070428E-4</v>
      </c>
      <c r="AA54">
        <f t="shared" si="21"/>
        <v>4.7148799229070428E-4</v>
      </c>
      <c r="AB54">
        <f t="shared" si="43"/>
        <v>2.6458753310741266E+19</v>
      </c>
      <c r="AE54">
        <f t="shared" si="72"/>
        <v>17</v>
      </c>
      <c r="AF54">
        <f t="shared" si="73"/>
        <v>3.9053532538081535E-4</v>
      </c>
      <c r="AG54">
        <f t="shared" si="22"/>
        <v>3.9063532538081535E-4</v>
      </c>
      <c r="AH54">
        <f t="shared" si="44"/>
        <v>2.6439542477719339E+19</v>
      </c>
      <c r="AK54">
        <f t="shared" si="74"/>
        <v>17</v>
      </c>
      <c r="AL54">
        <f t="shared" si="75"/>
        <v>3.235977730624384E-4</v>
      </c>
      <c r="AM54">
        <f t="shared" si="23"/>
        <v>3.2369777306243841E-4</v>
      </c>
      <c r="AN54">
        <f t="shared" si="45"/>
        <v>2.6416392663944098E+19</v>
      </c>
      <c r="AQ54">
        <f t="shared" si="76"/>
        <v>17</v>
      </c>
      <c r="AR54">
        <f t="shared" si="77"/>
        <v>2.6818048032960657E-4</v>
      </c>
      <c r="AS54">
        <f t="shared" si="24"/>
        <v>2.6828048032960657E-4</v>
      </c>
      <c r="AT54">
        <f t="shared" si="46"/>
        <v>2.6388102255122293E+19</v>
      </c>
      <c r="AW54">
        <f t="shared" si="78"/>
        <v>17</v>
      </c>
      <c r="AX54">
        <f t="shared" si="79"/>
        <v>2.2230075770053088E-4</v>
      </c>
      <c r="AY54">
        <f t="shared" si="25"/>
        <v>2.2240075770053086E-4</v>
      </c>
      <c r="AZ54">
        <f t="shared" si="47"/>
        <v>2.6354550632075039E+19</v>
      </c>
      <c r="BC54">
        <f t="shared" si="80"/>
        <v>17</v>
      </c>
      <c r="BD54">
        <f t="shared" si="81"/>
        <v>1.8431714564158509E-4</v>
      </c>
      <c r="BE54">
        <f t="shared" si="26"/>
        <v>1.8441714564158506E-4</v>
      </c>
      <c r="BF54">
        <f t="shared" si="48"/>
        <v>2.6314078063331455E+19</v>
      </c>
      <c r="BI54">
        <f t="shared" si="82"/>
        <v>17</v>
      </c>
      <c r="BJ54">
        <f t="shared" si="83"/>
        <v>1.5287068732908077E-4</v>
      </c>
      <c r="BK54">
        <f t="shared" si="27"/>
        <v>1.5297068732908074E-4</v>
      </c>
      <c r="BL54">
        <f t="shared" si="49"/>
        <v>2.6265179714640179E+19</v>
      </c>
      <c r="BO54">
        <f t="shared" si="84"/>
        <v>17</v>
      </c>
      <c r="BP54">
        <f t="shared" si="85"/>
        <v>1.2683630863793746E-4</v>
      </c>
      <c r="BQ54">
        <f t="shared" si="28"/>
        <v>1.2693630863793744E-4</v>
      </c>
      <c r="BR54">
        <f t="shared" si="119"/>
        <v>3.3554419104073548E+19</v>
      </c>
      <c r="BU54">
        <v>17</v>
      </c>
      <c r="BV54">
        <f t="shared" ref="BV54" si="139">BW53</f>
        <v>1.0528256585716962E-4</v>
      </c>
      <c r="BW54">
        <f t="shared" ref="BW54" si="140">$BV$38+BU54*$H$2</f>
        <v>1.0538256585716962E-4</v>
      </c>
      <c r="BX54">
        <f t="shared" ref="BX54" si="141">((8*$F$1*$H$16)/(3.1415))*(((BW54)^4-(BV54)^4)-(((BW54)^2-(BV54)^2)^2/(LN(BW54/BV54))))^-1</f>
        <v>2.6135716215427486E+19</v>
      </c>
    </row>
    <row r="55" spans="1:106" x14ac:dyDescent="0.35">
      <c r="A55">
        <f>A54+1</f>
        <v>18</v>
      </c>
      <c r="B55">
        <f t="shared" si="63"/>
        <v>1.0017000000000001E-3</v>
      </c>
      <c r="C55">
        <f t="shared" si="17"/>
        <v>1.0018E-3</v>
      </c>
      <c r="D55">
        <f t="shared" si="39"/>
        <v>7.9509330708247511E+19</v>
      </c>
      <c r="G55">
        <f>G54+1</f>
        <v>18</v>
      </c>
      <c r="H55">
        <f t="shared" si="65"/>
        <v>8.2959541615219205E-4</v>
      </c>
      <c r="I55">
        <f t="shared" si="18"/>
        <v>8.2969541615219211E-4</v>
      </c>
      <c r="J55">
        <f t="shared" si="40"/>
        <v>2.6499333723779994E+19</v>
      </c>
      <c r="M55">
        <f>M54+1</f>
        <v>18</v>
      </c>
      <c r="N55">
        <f t="shared" si="67"/>
        <v>6.8711082008581122E-4</v>
      </c>
      <c r="O55">
        <f t="shared" si="19"/>
        <v>6.8721082008581127E-4</v>
      </c>
      <c r="P55">
        <f t="shared" si="41"/>
        <v>3.3908534809060082E+19</v>
      </c>
      <c r="S55">
        <f>S54+1</f>
        <v>18</v>
      </c>
      <c r="T55">
        <f t="shared" si="69"/>
        <v>5.6914847613015788E-4</v>
      </c>
      <c r="U55">
        <f t="shared" si="20"/>
        <v>5.6924847613015793E-4</v>
      </c>
      <c r="V55">
        <f t="shared" si="42"/>
        <v>2.6470565046598816E+19</v>
      </c>
      <c r="Y55">
        <f>Y54+1</f>
        <v>18</v>
      </c>
      <c r="Z55">
        <f t="shared" si="71"/>
        <v>4.7148799229070428E-4</v>
      </c>
      <c r="AA55">
        <f t="shared" si="21"/>
        <v>4.7158799229070429E-4</v>
      </c>
      <c r="AB55">
        <f t="shared" si="43"/>
        <v>2.6453379558049923E+19</v>
      </c>
      <c r="AE55">
        <f t="shared" si="72"/>
        <v>18</v>
      </c>
      <c r="AF55">
        <f t="shared" si="73"/>
        <v>3.9063532538081535E-4</v>
      </c>
      <c r="AG55">
        <f t="shared" si="22"/>
        <v>3.9073532538081536E-4</v>
      </c>
      <c r="AH55">
        <f t="shared" si="44"/>
        <v>2.6432904633269166E+19</v>
      </c>
      <c r="AK55">
        <f t="shared" si="74"/>
        <v>18</v>
      </c>
      <c r="AL55">
        <f t="shared" si="75"/>
        <v>3.2369777306243841E-4</v>
      </c>
      <c r="AM55">
        <f t="shared" si="23"/>
        <v>3.2379777306243841E-4</v>
      </c>
      <c r="AN55">
        <f t="shared" si="45"/>
        <v>2.6408011023041913E+19</v>
      </c>
      <c r="AQ55">
        <f t="shared" si="76"/>
        <v>18</v>
      </c>
      <c r="AR55">
        <f t="shared" si="77"/>
        <v>2.6828048032960657E-4</v>
      </c>
      <c r="AS55">
        <f t="shared" si="24"/>
        <v>2.6838048032960658E-4</v>
      </c>
      <c r="AT55">
        <f t="shared" si="46"/>
        <v>2.6378574787215495E+19</v>
      </c>
      <c r="AW55">
        <f t="shared" si="78"/>
        <v>18</v>
      </c>
      <c r="AX55">
        <f t="shared" si="79"/>
        <v>2.2240075770053086E-4</v>
      </c>
      <c r="AY55">
        <f t="shared" si="25"/>
        <v>2.2250075770053086E-4</v>
      </c>
      <c r="AZ55">
        <f t="shared" si="47"/>
        <v>2.6342796593395835E+19</v>
      </c>
      <c r="BC55">
        <f t="shared" si="80"/>
        <v>18</v>
      </c>
      <c r="BD55">
        <f t="shared" si="81"/>
        <v>1.8441714564158506E-4</v>
      </c>
      <c r="BE55">
        <f t="shared" si="26"/>
        <v>1.8451714564158506E-4</v>
      </c>
      <c r="BF55">
        <f t="shared" si="48"/>
        <v>2.6299720247505129E+19</v>
      </c>
      <c r="BI55">
        <f t="shared" si="82"/>
        <v>18</v>
      </c>
      <c r="BJ55">
        <f t="shared" si="83"/>
        <v>1.5297068732908074E-4</v>
      </c>
      <c r="BK55">
        <f t="shared" si="27"/>
        <v>1.5307068732908075E-4</v>
      </c>
      <c r="BL55">
        <f t="shared" si="49"/>
        <v>2.6248012889158582E+19</v>
      </c>
      <c r="BO55">
        <v>18</v>
      </c>
      <c r="BP55">
        <f t="shared" ref="BP55" si="142">BQ54</f>
        <v>1.2693630863793744E-4</v>
      </c>
      <c r="BQ55">
        <f t="shared" ref="BQ55" si="143">$BP$38+BO55*$H$2</f>
        <v>1.2703630863793744E-4</v>
      </c>
      <c r="BR55">
        <f t="shared" ref="BR55" si="144">((8*$H$1*$H$15)/(3.1415))*(((BQ55)^4-(BP55)^4)-(((BQ55)^2-(BP55)^2)^2/(LN(BQ55/BP55))))^-1</f>
        <v>3.3528002172168319E+19</v>
      </c>
    </row>
    <row r="56" spans="1:106" x14ac:dyDescent="0.35">
      <c r="A56">
        <f t="shared" si="62"/>
        <v>19</v>
      </c>
      <c r="B56">
        <f t="shared" si="63"/>
        <v>1.0018E-3</v>
      </c>
      <c r="C56">
        <f t="shared" si="17"/>
        <v>1.0019E-3</v>
      </c>
      <c r="D56">
        <f t="shared" si="39"/>
        <v>7.9501516343741071E+19</v>
      </c>
      <c r="G56">
        <f t="shared" ref="G56" si="145">G55+1</f>
        <v>19</v>
      </c>
      <c r="H56">
        <f t="shared" si="65"/>
        <v>8.2969541615219211E-4</v>
      </c>
      <c r="I56">
        <f t="shared" si="18"/>
        <v>8.2979541615219206E-4</v>
      </c>
      <c r="J56">
        <f t="shared" si="40"/>
        <v>2.649504999447554E+19</v>
      </c>
      <c r="M56">
        <f t="shared" ref="M56" si="146">M55+1</f>
        <v>19</v>
      </c>
      <c r="N56">
        <f t="shared" si="67"/>
        <v>6.8721082008581127E-4</v>
      </c>
      <c r="O56">
        <f t="shared" si="19"/>
        <v>6.8731082008581122E-4</v>
      </c>
      <c r="P56">
        <f t="shared" si="41"/>
        <v>3.3905389440130064E+19</v>
      </c>
      <c r="S56">
        <f t="shared" ref="S56:S57" si="147">S55+1</f>
        <v>19</v>
      </c>
      <c r="T56">
        <f t="shared" si="69"/>
        <v>5.6924847613015793E-4</v>
      </c>
      <c r="U56">
        <f t="shared" si="20"/>
        <v>5.6934847613015788E-4</v>
      </c>
      <c r="V56">
        <f t="shared" si="42"/>
        <v>2.6465816114208735E+19</v>
      </c>
      <c r="Y56">
        <f t="shared" ref="Y56:Y57" si="148">Y55+1</f>
        <v>19</v>
      </c>
      <c r="Z56">
        <f t="shared" si="71"/>
        <v>4.7158799229070429E-4</v>
      </c>
      <c r="AA56">
        <f t="shared" si="21"/>
        <v>4.7168799229070429E-4</v>
      </c>
      <c r="AB56">
        <f t="shared" si="43"/>
        <v>2.6447896011406311E+19</v>
      </c>
      <c r="AE56">
        <f t="shared" si="72"/>
        <v>19</v>
      </c>
      <c r="AF56">
        <f t="shared" si="73"/>
        <v>3.9073532538081536E-4</v>
      </c>
      <c r="AG56">
        <f t="shared" si="22"/>
        <v>3.9083532538081536E-4</v>
      </c>
      <c r="AH56">
        <f t="shared" si="44"/>
        <v>2.6426160563767415E+19</v>
      </c>
      <c r="AK56">
        <f t="shared" si="74"/>
        <v>19</v>
      </c>
      <c r="AL56">
        <f t="shared" si="75"/>
        <v>3.2379777306243841E-4</v>
      </c>
      <c r="AM56">
        <f t="shared" si="23"/>
        <v>3.2389777306243841E-4</v>
      </c>
      <c r="AN56">
        <f t="shared" si="45"/>
        <v>2.6400047859632718E+19</v>
      </c>
      <c r="AQ56">
        <f t="shared" si="76"/>
        <v>19</v>
      </c>
      <c r="AR56">
        <f t="shared" si="77"/>
        <v>2.6838048032960658E-4</v>
      </c>
      <c r="AS56">
        <f t="shared" si="24"/>
        <v>2.6848048032960658E-4</v>
      </c>
      <c r="AT56">
        <f t="shared" si="46"/>
        <v>2.6368711266149908E+19</v>
      </c>
      <c r="AW56">
        <f t="shared" si="78"/>
        <v>19</v>
      </c>
      <c r="AX56">
        <f t="shared" si="79"/>
        <v>2.2250075770053086E-4</v>
      </c>
      <c r="AY56">
        <f t="shared" si="25"/>
        <v>2.2260075770053086E-4</v>
      </c>
      <c r="AZ56">
        <f t="shared" si="47"/>
        <v>2.6330858141266399E+19</v>
      </c>
      <c r="BC56">
        <f t="shared" si="80"/>
        <v>19</v>
      </c>
      <c r="BD56">
        <f t="shared" si="81"/>
        <v>1.8451714564158506E-4</v>
      </c>
      <c r="BE56">
        <f t="shared" si="26"/>
        <v>1.8461714564158507E-4</v>
      </c>
      <c r="BF56">
        <f t="shared" si="48"/>
        <v>2.628555689732291E+19</v>
      </c>
      <c r="BI56">
        <v>19</v>
      </c>
      <c r="BJ56">
        <f t="shared" ref="BJ56" si="149">BK55</f>
        <v>1.5307068732908075E-4</v>
      </c>
      <c r="BK56">
        <f t="shared" ref="BK56" si="150">$BJ$38+BI56*$H$2</f>
        <v>1.5317068732908075E-4</v>
      </c>
      <c r="BL56">
        <f t="shared" ref="BL56" si="151">((8*$F$1*$H$14)/(3.1415))*(((BK56)^4-(BJ56)^4)-(((BK56)^2-(BJ56)^2)^2/(LN(BK56/BJ56))))^-1</f>
        <v>2.62308225139398E+19</v>
      </c>
    </row>
    <row r="57" spans="1:106" x14ac:dyDescent="0.35">
      <c r="A57">
        <f>A56+1</f>
        <v>20</v>
      </c>
      <c r="B57">
        <f t="shared" si="63"/>
        <v>1.0019E-3</v>
      </c>
      <c r="C57">
        <f t="shared" si="17"/>
        <v>1.0020000000000001E-3</v>
      </c>
      <c r="D57">
        <f t="shared" si="39"/>
        <v>7.9534213094269338E+19</v>
      </c>
      <c r="G57">
        <f>G56+1</f>
        <v>20</v>
      </c>
      <c r="H57">
        <f t="shared" si="65"/>
        <v>8.2979541615219206E-4</v>
      </c>
      <c r="I57">
        <f t="shared" si="18"/>
        <v>8.2989541615219212E-4</v>
      </c>
      <c r="J57">
        <f t="shared" si="40"/>
        <v>2.6493908136711107E+19</v>
      </c>
      <c r="M57">
        <f>M56+1</f>
        <v>20</v>
      </c>
      <c r="N57">
        <f t="shared" si="67"/>
        <v>6.8731082008581122E-4</v>
      </c>
      <c r="O57">
        <f t="shared" si="19"/>
        <v>6.8741082008581128E-4</v>
      </c>
      <c r="P57">
        <f t="shared" si="41"/>
        <v>3.3900387972922085E+19</v>
      </c>
      <c r="S57">
        <f t="shared" si="147"/>
        <v>20</v>
      </c>
      <c r="T57">
        <f t="shared" si="69"/>
        <v>5.6934847613015788E-4</v>
      </c>
      <c r="U57">
        <f t="shared" si="20"/>
        <v>5.6944847613015794E-4</v>
      </c>
      <c r="V57">
        <f t="shared" si="42"/>
        <v>2.6459360420278608E+19</v>
      </c>
      <c r="Y57">
        <f t="shared" si="148"/>
        <v>20</v>
      </c>
      <c r="Z57">
        <f t="shared" si="71"/>
        <v>4.7168799229070429E-4</v>
      </c>
      <c r="AA57">
        <f t="shared" si="21"/>
        <v>4.7178799229070429E-4</v>
      </c>
      <c r="AB57">
        <f t="shared" si="43"/>
        <v>2.6441687216351564E+19</v>
      </c>
      <c r="AE57">
        <f t="shared" si="72"/>
        <v>20</v>
      </c>
      <c r="AF57">
        <f t="shared" si="73"/>
        <v>3.9083532538081536E-4</v>
      </c>
      <c r="AG57">
        <f t="shared" si="22"/>
        <v>3.9093532538081536E-4</v>
      </c>
      <c r="AH57">
        <f t="shared" si="44"/>
        <v>2.6419099715056845E+19</v>
      </c>
      <c r="AK57">
        <f t="shared" si="74"/>
        <v>20</v>
      </c>
      <c r="AL57">
        <f t="shared" si="75"/>
        <v>3.2389777306243841E-4</v>
      </c>
      <c r="AM57">
        <f t="shared" si="23"/>
        <v>3.2399777306243841E-4</v>
      </c>
      <c r="AN57">
        <f t="shared" si="45"/>
        <v>2.639198791573246E+19</v>
      </c>
      <c r="AQ57">
        <f t="shared" si="76"/>
        <v>20</v>
      </c>
      <c r="AR57">
        <f t="shared" si="77"/>
        <v>2.6848048032960658E-4</v>
      </c>
      <c r="AS57">
        <f t="shared" si="24"/>
        <v>2.6858048032960658E-4</v>
      </c>
      <c r="AT57">
        <f t="shared" si="46"/>
        <v>2.6358957432263602E+19</v>
      </c>
      <c r="AW57">
        <f t="shared" si="78"/>
        <v>20</v>
      </c>
      <c r="AX57">
        <f t="shared" si="79"/>
        <v>2.2260075770053086E-4</v>
      </c>
      <c r="AY57">
        <f t="shared" si="25"/>
        <v>2.2270075770053086E-4</v>
      </c>
      <c r="AZ57">
        <f t="shared" si="47"/>
        <v>2.6319086770083598E+19</v>
      </c>
      <c r="BC57">
        <v>20</v>
      </c>
      <c r="BD57">
        <f t="shared" ref="BD57" si="152">BE56</f>
        <v>1.8461714564158507E-4</v>
      </c>
      <c r="BE57">
        <f t="shared" ref="BE57" si="153">$BD$38+BC57*$H$2</f>
        <v>1.8471714564158507E-4</v>
      </c>
      <c r="BF57">
        <f t="shared" ref="BF57" si="154">((8*$H$13*$F$1)/(3.1415))*(((BE57)^4-(BD57)^4)-(((BE57)^2-(BD57)^2)^2/(LN(BE57/BD57))))^-1</f>
        <v>2.627126585350896E+19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C62"/>
  <sheetViews>
    <sheetView workbookViewId="0">
      <selection activeCell="N13" sqref="N13"/>
    </sheetView>
  </sheetViews>
  <sheetFormatPr defaultRowHeight="14.5" x14ac:dyDescent="0.35"/>
  <cols>
    <col min="3" max="3" width="10.6328125" customWidth="1"/>
    <col min="4" max="5" width="11.81640625" bestFit="1" customWidth="1"/>
    <col min="6" max="6" width="9.1796875" customWidth="1"/>
    <col min="8" max="8" width="9.81640625" customWidth="1"/>
    <col min="9" max="9" width="12.81640625" customWidth="1"/>
    <col min="10" max="10" width="12" bestFit="1" customWidth="1"/>
    <col min="11" max="11" width="11.81640625" bestFit="1" customWidth="1"/>
    <col min="12" max="12" width="9.1796875" customWidth="1"/>
    <col min="14" max="14" width="15.08984375" customWidth="1"/>
    <col min="16" max="16" width="9.90625" customWidth="1"/>
    <col min="17" max="17" width="10" customWidth="1"/>
    <col min="20" max="20" width="8" customWidth="1"/>
    <col min="22" max="22" width="12.90625" customWidth="1"/>
    <col min="23" max="23" width="11.81640625" bestFit="1" customWidth="1"/>
    <col min="28" max="28" width="9.81640625" customWidth="1"/>
    <col min="29" max="29" width="11.81640625" bestFit="1" customWidth="1"/>
    <col min="35" max="35" width="11.81640625" bestFit="1" customWidth="1"/>
    <col min="41" max="41" width="11.81640625" bestFit="1" customWidth="1"/>
    <col min="47" max="47" width="11.81640625" bestFit="1" customWidth="1"/>
    <col min="53" max="53" width="11.81640625" bestFit="1" customWidth="1"/>
    <col min="59" max="59" width="11.81640625" bestFit="1" customWidth="1"/>
    <col min="65" max="65" width="11.81640625" bestFit="1" customWidth="1"/>
    <col min="71" max="71" width="11.81640625" bestFit="1" customWidth="1"/>
    <col min="77" max="77" width="11.81640625" bestFit="1" customWidth="1"/>
    <col min="83" max="83" width="11.81640625" bestFit="1" customWidth="1"/>
    <col min="89" max="89" width="11.81640625" bestFit="1" customWidth="1"/>
    <col min="92" max="93" width="11.81640625" bestFit="1" customWidth="1"/>
    <col min="95" max="95" width="11.81640625" bestFit="1" customWidth="1"/>
    <col min="98" max="99" width="11.81640625" bestFit="1" customWidth="1"/>
    <col min="101" max="101" width="11.81640625" bestFit="1" customWidth="1"/>
    <col min="104" max="104" width="11.81640625" bestFit="1" customWidth="1"/>
    <col min="107" max="107" width="11.81640625" bestFit="1" customWidth="1"/>
    <col min="110" max="111" width="11.81640625" bestFit="1" customWidth="1"/>
    <col min="113" max="113" width="11.81640625" bestFit="1" customWidth="1"/>
    <col min="116" max="117" width="11.81640625" bestFit="1" customWidth="1"/>
    <col min="119" max="119" width="11.81640625" bestFit="1" customWidth="1"/>
    <col min="122" max="123" width="11.81640625" bestFit="1" customWidth="1"/>
    <col min="125" max="125" width="11.81640625" bestFit="1" customWidth="1"/>
    <col min="128" max="129" width="11.81640625" bestFit="1" customWidth="1"/>
    <col min="130" max="130" width="10.08984375" customWidth="1"/>
    <col min="131" max="131" width="11.81640625" bestFit="1" customWidth="1"/>
    <col min="134" max="136" width="11.81640625" bestFit="1" customWidth="1"/>
    <col min="137" max="137" width="11.1796875" customWidth="1"/>
    <col min="140" max="141" width="11.81640625" bestFit="1" customWidth="1"/>
    <col min="143" max="143" width="11.81640625" bestFit="1" customWidth="1"/>
    <col min="146" max="147" width="11.81640625" bestFit="1" customWidth="1"/>
    <col min="149" max="149" width="11.81640625" bestFit="1" customWidth="1"/>
    <col min="152" max="153" width="11.81640625" bestFit="1" customWidth="1"/>
    <col min="155" max="155" width="11.81640625" bestFit="1" customWidth="1"/>
    <col min="158" max="160" width="11.81640625" bestFit="1" customWidth="1"/>
    <col min="161" max="161" width="11.08984375" customWidth="1"/>
    <col min="164" max="165" width="11.81640625" bestFit="1" customWidth="1"/>
    <col min="166" max="166" width="9.81640625" bestFit="1" customWidth="1"/>
    <col min="167" max="167" width="9.1796875" customWidth="1"/>
    <col min="170" max="172" width="11.81640625" bestFit="1" customWidth="1"/>
    <col min="173" max="173" width="10.1796875" customWidth="1"/>
    <col min="176" max="178" width="11.81640625" bestFit="1" customWidth="1"/>
    <col min="179" max="179" width="9.08984375" customWidth="1"/>
    <col min="182" max="184" width="11.81640625" bestFit="1" customWidth="1"/>
  </cols>
  <sheetData>
    <row r="1" spans="2:20" x14ac:dyDescent="0.35">
      <c r="B1" t="s">
        <v>28</v>
      </c>
      <c r="C1">
        <v>1.5E-3</v>
      </c>
      <c r="E1" s="1" t="s">
        <v>33</v>
      </c>
      <c r="F1" s="2">
        <f>F2*7*10^-7</f>
        <v>6.9509999999999993E-4</v>
      </c>
      <c r="G1" t="s">
        <v>53</v>
      </c>
      <c r="H1" s="2">
        <f>8.9/10000</f>
        <v>8.9000000000000006E-4</v>
      </c>
      <c r="I1" t="s">
        <v>168</v>
      </c>
      <c r="J1">
        <f>2*((0.5^(29/3.67))*C1)*1000000</f>
        <v>12.543251127085355</v>
      </c>
    </row>
    <row r="2" spans="2:20" ht="15" thickBot="1" x14ac:dyDescent="0.4">
      <c r="B2" t="s">
        <v>26</v>
      </c>
      <c r="C2">
        <f>'Final-Peri'!I9</f>
        <v>31</v>
      </c>
      <c r="E2" s="3" t="s">
        <v>34</v>
      </c>
      <c r="F2" s="4">
        <v>993</v>
      </c>
      <c r="G2" t="s">
        <v>102</v>
      </c>
      <c r="H2">
        <f>100/1000000000</f>
        <v>9.9999999999999995E-8</v>
      </c>
    </row>
    <row r="3" spans="2:20" x14ac:dyDescent="0.35">
      <c r="B3" t="s">
        <v>25</v>
      </c>
      <c r="C3" t="s">
        <v>27</v>
      </c>
      <c r="E3" t="s">
        <v>40</v>
      </c>
      <c r="F3" t="s">
        <v>30</v>
      </c>
      <c r="G3" t="s">
        <v>31</v>
      </c>
      <c r="H3" t="s">
        <v>17</v>
      </c>
      <c r="I3" t="s">
        <v>51</v>
      </c>
      <c r="J3" t="s">
        <v>32</v>
      </c>
      <c r="L3" t="s">
        <v>29</v>
      </c>
      <c r="N3" t="s">
        <v>36</v>
      </c>
      <c r="P3" t="s">
        <v>59</v>
      </c>
      <c r="Q3" t="s">
        <v>55</v>
      </c>
      <c r="R3" t="s">
        <v>60</v>
      </c>
      <c r="T3" t="s">
        <v>30</v>
      </c>
    </row>
    <row r="4" spans="2:20" x14ac:dyDescent="0.35">
      <c r="B4">
        <v>0</v>
      </c>
      <c r="C4">
        <f>('Final-Peri'!G9)/('Final-Peri'!G9+'Final-Peri'!H9)</f>
        <v>0.99793759563568618</v>
      </c>
      <c r="E4">
        <f>(1/((1-(C4^4))-(((1-(C4^2))^2)/(LN(1/C4)))))</f>
        <v>85583070.960964069</v>
      </c>
      <c r="F4">
        <f>('Final-Peri'!G9+('Final-Peri'!E9/1000))</f>
        <v>1.5031000000000001E-3</v>
      </c>
      <c r="G4">
        <f>1/(F4)^4</f>
        <v>195906344403.27194</v>
      </c>
      <c r="H4">
        <v>5.0999999999999997E-2</v>
      </c>
      <c r="I4">
        <f>E4*G4*H4</f>
        <v>8.5507959531318259E+17</v>
      </c>
      <c r="J4">
        <f>(8*$F$1*I4)/($F$2*9.81*3.1415)</f>
        <v>155377632076.25842</v>
      </c>
      <c r="L4">
        <f>J4/(2^B4)</f>
        <v>155377632076.25842</v>
      </c>
      <c r="N4">
        <f>SUM(L4:L26)</f>
        <v>280709211712.31702</v>
      </c>
      <c r="P4">
        <v>1.5E-3</v>
      </c>
      <c r="Q4">
        <f>(8*$H$1*H4)/(1025*9.8*3.1415*P4^4)</f>
        <v>2272.9931576379126</v>
      </c>
      <c r="R4">
        <f>Q4/(2^B4)</f>
        <v>2272.9931576379126</v>
      </c>
      <c r="T4">
        <f>SUM(R4:R26)</f>
        <v>51781.342264274565</v>
      </c>
    </row>
    <row r="5" spans="2:20" x14ac:dyDescent="0.35">
      <c r="B5">
        <v>1</v>
      </c>
      <c r="C5">
        <f>((0.5)^(B5/3)*$C$1)/(((0.5)^(B5/3)*$C$1)+(($C$2-B5)*0.0000001))</f>
        <v>0.99748649154463431</v>
      </c>
      <c r="E5">
        <f>(1/((1-(C5^4))-(((1-(C5^2))^2)/(LN(1/C5)))))</f>
        <v>47289673.55947338</v>
      </c>
      <c r="F5">
        <f t="shared" ref="F5:F23" si="0">((0.5^(B5/3)*$C$1)+($C$2-B5)*0.0000001)</f>
        <v>1.1935507889761496E-3</v>
      </c>
      <c r="G5">
        <f t="shared" ref="G5:G26" si="1">1/(F5)^4</f>
        <v>492761062745.73419</v>
      </c>
      <c r="H5">
        <f>(20*(0.5)^(B5/3.67)*$C$1)</f>
        <v>2.483686248456576E-2</v>
      </c>
      <c r="I5">
        <f t="shared" ref="I5:I26" si="2">E5*G5*H5</f>
        <v>5.787612314494592E+17</v>
      </c>
      <c r="J5">
        <f t="shared" ref="J5:J26" si="3">(8*$F$1*I5)/($F$2*9.81*3.1415)</f>
        <v>105167460635.31047</v>
      </c>
      <c r="L5">
        <f t="shared" ref="L5:L26" si="4">J5/(2^B5)</f>
        <v>52583730317.655235</v>
      </c>
      <c r="P5">
        <f>((0.5)^(B5/3)*$C$1)</f>
        <v>1.1905507889761497E-3</v>
      </c>
      <c r="Q5">
        <f t="shared" ref="Q5:Q26" si="5">(8*$H$1*H5)/(1025*9.8*3.1415*P5^4)</f>
        <v>2789.317891761435</v>
      </c>
      <c r="R5">
        <f t="shared" ref="R5:R26" si="6">Q5/(2^B5)</f>
        <v>1394.6589458807175</v>
      </c>
    </row>
    <row r="6" spans="2:20" x14ac:dyDescent="0.35">
      <c r="B6">
        <f>B5+1</f>
        <v>2</v>
      </c>
      <c r="C6">
        <f t="shared" ref="C6:C34" si="7">((0.5)^(B6/3)*$C$1)/(((0.5)^(B6/3)*$C$1)+(($C$2-B6)*0.0000001))</f>
        <v>0.99694041442562287</v>
      </c>
      <c r="E6">
        <f t="shared" ref="E6:E26" si="8">(1/((1-(C6^4))-(((1-(C6^2))^2)/(LN(1/C6)))))</f>
        <v>26226375.514458127</v>
      </c>
      <c r="F6">
        <f t="shared" si="0"/>
        <v>9.478407874211549E-4</v>
      </c>
      <c r="G6">
        <f t="shared" si="1"/>
        <v>1238963256404.5425</v>
      </c>
      <c r="H6">
        <f t="shared" ref="H6:H34" si="9">(20*(0.5)^(B6/3.67)*$C$1)</f>
        <v>2.0562324602574338E-2</v>
      </c>
      <c r="I6">
        <f t="shared" si="2"/>
        <v>6.6814221547387238E+17</v>
      </c>
      <c r="J6">
        <f t="shared" si="3"/>
        <v>121408996191.15849</v>
      </c>
      <c r="L6">
        <f t="shared" si="4"/>
        <v>30352249047.789623</v>
      </c>
      <c r="N6">
        <f>N4*1000*9.81</f>
        <v>2753757366897830</v>
      </c>
      <c r="O6" t="s">
        <v>80</v>
      </c>
      <c r="P6">
        <f t="shared" ref="P6:P26" si="10">((0.5)^(B6/3)*$C$1)</f>
        <v>9.4494078742115488E-4</v>
      </c>
      <c r="Q6">
        <f t="shared" si="5"/>
        <v>5818.9793786954115</v>
      </c>
      <c r="R6">
        <f t="shared" si="6"/>
        <v>1454.7448446738529</v>
      </c>
    </row>
    <row r="7" spans="2:20" x14ac:dyDescent="0.35">
      <c r="B7">
        <f t="shared" ref="B7:B31" si="11">B6+1</f>
        <v>3</v>
      </c>
      <c r="C7">
        <f t="shared" si="7"/>
        <v>0.99628055260361326</v>
      </c>
      <c r="E7">
        <f t="shared" si="8"/>
        <v>14602738.969970088</v>
      </c>
      <c r="F7">
        <f t="shared" si="0"/>
        <v>7.5279999999999998E-4</v>
      </c>
      <c r="G7">
        <f t="shared" si="1"/>
        <v>3113734354222.7988</v>
      </c>
      <c r="H7">
        <f t="shared" si="9"/>
        <v>1.702345428390474E-2</v>
      </c>
      <c r="I7">
        <f t="shared" si="2"/>
        <v>7.7404029394874419E+17</v>
      </c>
      <c r="J7">
        <f t="shared" si="3"/>
        <v>140651874591.06329</v>
      </c>
      <c r="L7">
        <f t="shared" si="4"/>
        <v>17581484323.882912</v>
      </c>
      <c r="P7">
        <f t="shared" si="10"/>
        <v>7.5000000000000002E-4</v>
      </c>
      <c r="Q7">
        <f t="shared" si="5"/>
        <v>12139.355327585032</v>
      </c>
      <c r="R7">
        <f t="shared" si="6"/>
        <v>1517.419415948129</v>
      </c>
    </row>
    <row r="8" spans="2:20" x14ac:dyDescent="0.35">
      <c r="B8">
        <f t="shared" si="11"/>
        <v>4</v>
      </c>
      <c r="C8">
        <f t="shared" si="7"/>
        <v>0.99548476404733766</v>
      </c>
      <c r="E8">
        <f t="shared" si="8"/>
        <v>8165848.9965722514</v>
      </c>
      <c r="F8">
        <f t="shared" si="0"/>
        <v>5.9797539448807485E-4</v>
      </c>
      <c r="G8">
        <f t="shared" si="1"/>
        <v>7821080284984.96</v>
      </c>
      <c r="H8">
        <f t="shared" si="9"/>
        <v>1.4093639768721128E-2</v>
      </c>
      <c r="I8">
        <f t="shared" si="2"/>
        <v>9.0010102341310234E+17</v>
      </c>
      <c r="J8">
        <f t="shared" si="3"/>
        <v>163558534683.68756</v>
      </c>
      <c r="L8">
        <f t="shared" si="4"/>
        <v>10222408417.730473</v>
      </c>
      <c r="N8" t="s">
        <v>105</v>
      </c>
      <c r="P8">
        <f t="shared" si="10"/>
        <v>5.9527539448807484E-4</v>
      </c>
      <c r="Q8">
        <f t="shared" si="5"/>
        <v>25324.70699396178</v>
      </c>
      <c r="R8">
        <f t="shared" si="6"/>
        <v>1582.7941871226112</v>
      </c>
    </row>
    <row r="9" spans="2:20" x14ac:dyDescent="0.35">
      <c r="B9">
        <f t="shared" si="11"/>
        <v>5</v>
      </c>
      <c r="C9">
        <f t="shared" si="7"/>
        <v>0.99452712685441735</v>
      </c>
      <c r="E9">
        <f t="shared" si="8"/>
        <v>4587804.9726689467</v>
      </c>
      <c r="F9">
        <f t="shared" si="0"/>
        <v>4.7507039371057745E-4</v>
      </c>
      <c r="G9">
        <f t="shared" si="1"/>
        <v>19632162290566.988</v>
      </c>
      <c r="H9">
        <f t="shared" si="9"/>
        <v>1.1668059761424461E-2</v>
      </c>
      <c r="I9">
        <f t="shared" si="2"/>
        <v>1.0509250114433814E+18</v>
      </c>
      <c r="J9">
        <f t="shared" si="3"/>
        <v>190964958891.31879</v>
      </c>
      <c r="L9">
        <f t="shared" si="4"/>
        <v>5967654965.3537121</v>
      </c>
      <c r="N9">
        <f>(E43+K43+Q43+W43+AC43+AI43+AO43+AU43+BA43+BG43+BM43+BS43+BY43+CE43+CQ43+CK43+CW43+DC43+DI43+DO43+DU43+EA43+EG43+EM43+ES43+EY43+FE43+FK43+FQ43+FV43+GC43)</f>
        <v>3.0016438992159834E+19</v>
      </c>
      <c r="O9" t="s">
        <v>80</v>
      </c>
      <c r="P9">
        <f t="shared" si="10"/>
        <v>4.7247039371057744E-4</v>
      </c>
      <c r="Q9">
        <f t="shared" si="5"/>
        <v>52831.535697176383</v>
      </c>
      <c r="R9">
        <f t="shared" si="6"/>
        <v>1650.985490536762</v>
      </c>
    </row>
    <row r="10" spans="2:20" x14ac:dyDescent="0.35">
      <c r="B10">
        <f t="shared" si="11"/>
        <v>6</v>
      </c>
      <c r="C10">
        <f t="shared" si="7"/>
        <v>0.99337748344370858</v>
      </c>
      <c r="E10">
        <f t="shared" si="8"/>
        <v>2590790.127383797</v>
      </c>
      <c r="F10">
        <f t="shared" si="0"/>
        <v>3.7750000000000001E-4</v>
      </c>
      <c r="G10">
        <f t="shared" si="1"/>
        <v>49241602288577.328</v>
      </c>
      <c r="H10">
        <f t="shared" si="9"/>
        <v>9.6599331918731535E-3</v>
      </c>
      <c r="I10">
        <f t="shared" si="2"/>
        <v>1.2323626642318098E+18</v>
      </c>
      <c r="J10">
        <f t="shared" si="3"/>
        <v>223934232177.99445</v>
      </c>
      <c r="L10">
        <f t="shared" si="4"/>
        <v>3498972377.7811632</v>
      </c>
      <c r="P10">
        <f t="shared" si="10"/>
        <v>3.7500000000000001E-4</v>
      </c>
      <c r="Q10">
        <f t="shared" si="5"/>
        <v>110215.33890945023</v>
      </c>
      <c r="R10">
        <f t="shared" si="6"/>
        <v>1722.1146704601599</v>
      </c>
    </row>
    <row r="11" spans="2:20" x14ac:dyDescent="0.35">
      <c r="B11">
        <f t="shared" si="11"/>
        <v>7</v>
      </c>
      <c r="C11">
        <f t="shared" si="7"/>
        <v>0.99200100513353839</v>
      </c>
      <c r="E11">
        <f t="shared" si="8"/>
        <v>1471278.8261678766</v>
      </c>
      <c r="F11">
        <f t="shared" si="0"/>
        <v>3.0003769724403737E-4</v>
      </c>
      <c r="G11">
        <f t="shared" si="1"/>
        <v>123394756535537.2</v>
      </c>
      <c r="H11">
        <f t="shared" si="9"/>
        <v>7.9974144098881976E-3</v>
      </c>
      <c r="I11">
        <f t="shared" si="2"/>
        <v>1.4519153314540928E+18</v>
      </c>
      <c r="J11">
        <f t="shared" si="3"/>
        <v>263829434608.27884</v>
      </c>
      <c r="L11">
        <f t="shared" si="4"/>
        <v>2061167457.8771784</v>
      </c>
      <c r="N11" t="s">
        <v>111</v>
      </c>
      <c r="P11">
        <f t="shared" si="10"/>
        <v>2.9763769724403736E-4</v>
      </c>
      <c r="Q11">
        <f t="shared" si="5"/>
        <v>229927.46227466199</v>
      </c>
      <c r="R11">
        <f t="shared" si="6"/>
        <v>1796.3082990207968</v>
      </c>
    </row>
    <row r="12" spans="2:20" x14ac:dyDescent="0.35">
      <c r="B12">
        <f t="shared" si="11"/>
        <v>8</v>
      </c>
      <c r="C12">
        <f t="shared" si="7"/>
        <v>0.99035781708392778</v>
      </c>
      <c r="E12">
        <f t="shared" si="8"/>
        <v>840685.04722743912</v>
      </c>
      <c r="F12">
        <f t="shared" si="0"/>
        <v>2.3853519685528878E-4</v>
      </c>
      <c r="G12">
        <f t="shared" si="1"/>
        <v>308880235539424.06</v>
      </c>
      <c r="H12">
        <f t="shared" si="9"/>
        <v>6.6210227310159256E-3</v>
      </c>
      <c r="I12">
        <f t="shared" si="2"/>
        <v>1.7192875631427251E+18</v>
      </c>
      <c r="J12">
        <f t="shared" si="3"/>
        <v>312413992666.30219</v>
      </c>
      <c r="L12">
        <f t="shared" si="4"/>
        <v>1220367158.8527429</v>
      </c>
      <c r="N12">
        <f>(E43+K43+Q43+W43+AC43+AI43+AO43+AU43+BA43+BG43+BM43+BS43+BY43+CE43+CQ43+CK43+CW43+DC43+DI43+DO43+DU43+EA43+EG43+EM43+ES43+EY43+FE43+FK43+FQ43+FV43)</f>
        <v>3.0016438967667687E+19</v>
      </c>
      <c r="P12">
        <f t="shared" si="10"/>
        <v>2.3623519685528877E-4</v>
      </c>
      <c r="Q12">
        <f t="shared" si="5"/>
        <v>479666.79076766002</v>
      </c>
      <c r="R12">
        <f t="shared" si="6"/>
        <v>1873.6984014361719</v>
      </c>
    </row>
    <row r="13" spans="2:20" x14ac:dyDescent="0.35">
      <c r="B13">
        <f t="shared" si="11"/>
        <v>9</v>
      </c>
      <c r="C13">
        <f t="shared" si="7"/>
        <v>0.98840274117026883</v>
      </c>
      <c r="E13">
        <f t="shared" si="8"/>
        <v>483637.39263976656</v>
      </c>
      <c r="F13">
        <f t="shared" si="0"/>
        <v>1.897E-4</v>
      </c>
      <c r="G13">
        <f t="shared" si="1"/>
        <v>772201563192712.38</v>
      </c>
      <c r="H13">
        <f t="shared" si="9"/>
        <v>5.4815143692475516E-3</v>
      </c>
      <c r="I13">
        <f t="shared" si="2"/>
        <v>2.047156782114388E+18</v>
      </c>
      <c r="J13">
        <f t="shared" si="3"/>
        <v>371991537439.60559</v>
      </c>
      <c r="L13">
        <f t="shared" si="4"/>
        <v>726545971.56172967</v>
      </c>
      <c r="P13">
        <f t="shared" si="10"/>
        <v>1.875E-4</v>
      </c>
      <c r="Q13">
        <f t="shared" si="5"/>
        <v>1000664.4177653828</v>
      </c>
      <c r="R13">
        <f t="shared" si="6"/>
        <v>1954.4226909480133</v>
      </c>
    </row>
    <row r="14" spans="2:20" x14ac:dyDescent="0.35">
      <c r="B14">
        <f t="shared" si="11"/>
        <v>10</v>
      </c>
      <c r="C14">
        <f t="shared" si="7"/>
        <v>0.98608523707161644</v>
      </c>
      <c r="E14">
        <f t="shared" si="8"/>
        <v>280326.73592761898</v>
      </c>
      <c r="F14">
        <f t="shared" si="0"/>
        <v>1.5091884862201871E-4</v>
      </c>
      <c r="G14">
        <f t="shared" si="1"/>
        <v>1927640609448483</v>
      </c>
      <c r="H14">
        <f t="shared" si="9"/>
        <v>4.538120619872423E-3</v>
      </c>
      <c r="I14">
        <f t="shared" si="2"/>
        <v>2.4522606092643154E+18</v>
      </c>
      <c r="J14">
        <f t="shared" si="3"/>
        <v>445603483921.06927</v>
      </c>
      <c r="L14">
        <f t="shared" si="4"/>
        <v>435159652.26666921</v>
      </c>
      <c r="P14">
        <f t="shared" si="10"/>
        <v>1.4881884862201871E-4</v>
      </c>
      <c r="Q14">
        <f t="shared" si="5"/>
        <v>2087551.8094116999</v>
      </c>
      <c r="R14">
        <f t="shared" si="6"/>
        <v>2038.6248138786132</v>
      </c>
    </row>
    <row r="15" spans="2:20" x14ac:dyDescent="0.35">
      <c r="B15">
        <f t="shared" si="11"/>
        <v>11</v>
      </c>
      <c r="C15">
        <f t="shared" si="7"/>
        <v>0.98334965045771594</v>
      </c>
      <c r="E15">
        <f t="shared" si="8"/>
        <v>163839.97353345584</v>
      </c>
      <c r="F15">
        <f t="shared" si="0"/>
        <v>1.2011759842764438E-4</v>
      </c>
      <c r="G15">
        <f t="shared" si="1"/>
        <v>4803673019696099</v>
      </c>
      <c r="H15">
        <f t="shared" si="9"/>
        <v>3.7570892591381232E-3</v>
      </c>
      <c r="I15">
        <f t="shared" si="2"/>
        <v>2.9569557121080177E+18</v>
      </c>
      <c r="J15">
        <f t="shared" si="3"/>
        <v>537312291417.07385</v>
      </c>
      <c r="L15">
        <f t="shared" si="4"/>
        <v>262359517.29349309</v>
      </c>
      <c r="P15">
        <f t="shared" si="10"/>
        <v>1.1811759842764439E-4</v>
      </c>
      <c r="Q15">
        <f t="shared" si="5"/>
        <v>4354979.0315416316</v>
      </c>
      <c r="R15">
        <f t="shared" si="6"/>
        <v>2126.4546052449373</v>
      </c>
    </row>
    <row r="16" spans="2:20" x14ac:dyDescent="0.35">
      <c r="B16">
        <f t="shared" si="11"/>
        <v>12</v>
      </c>
      <c r="C16">
        <f t="shared" si="7"/>
        <v>0.98013591217982221</v>
      </c>
      <c r="E16">
        <f t="shared" si="8"/>
        <v>96646.796924925293</v>
      </c>
      <c r="F16">
        <f t="shared" si="0"/>
        <v>9.5650000000000007E-5</v>
      </c>
      <c r="G16">
        <f t="shared" si="1"/>
        <v>1.1947034079657912E+16</v>
      </c>
      <c r="H16">
        <f t="shared" si="9"/>
        <v>3.1104769757150886E-3</v>
      </c>
      <c r="I16">
        <f t="shared" si="2"/>
        <v>3.5914891495449073E+18</v>
      </c>
      <c r="J16">
        <f t="shared" si="3"/>
        <v>652614192576.39465</v>
      </c>
      <c r="L16">
        <f t="shared" si="4"/>
        <v>159329636.85947135</v>
      </c>
      <c r="P16">
        <f t="shared" si="10"/>
        <v>9.3750000000000002E-5</v>
      </c>
      <c r="Q16">
        <f t="shared" si="5"/>
        <v>9085207.983658215</v>
      </c>
      <c r="R16">
        <f t="shared" si="6"/>
        <v>2218.0683553853064</v>
      </c>
    </row>
    <row r="17" spans="2:135" x14ac:dyDescent="0.35">
      <c r="B17">
        <f t="shared" si="11"/>
        <v>13</v>
      </c>
      <c r="C17">
        <f t="shared" si="7"/>
        <v>0.97638087393687378</v>
      </c>
      <c r="E17">
        <f t="shared" si="8"/>
        <v>57600.334948544871</v>
      </c>
      <c r="F17">
        <f t="shared" si="0"/>
        <v>7.6209424311009385E-5</v>
      </c>
      <c r="G17">
        <f t="shared" si="1"/>
        <v>2.964594347064428E+16</v>
      </c>
      <c r="H17">
        <f t="shared" si="9"/>
        <v>2.5751496302414546E-3</v>
      </c>
      <c r="I17">
        <f t="shared" si="2"/>
        <v>4.3973674160053053E+18</v>
      </c>
      <c r="J17">
        <f t="shared" si="3"/>
        <v>799051386810.31287</v>
      </c>
      <c r="L17">
        <f t="shared" si="4"/>
        <v>97540452.49149327</v>
      </c>
      <c r="P17">
        <f t="shared" si="10"/>
        <v>7.4409424311009382E-5</v>
      </c>
      <c r="Q17">
        <f t="shared" si="5"/>
        <v>18953249.489494745</v>
      </c>
      <c r="R17">
        <f t="shared" si="6"/>
        <v>2313.629088073089</v>
      </c>
    </row>
    <row r="18" spans="2:135" x14ac:dyDescent="0.35">
      <c r="B18">
        <f t="shared" si="11"/>
        <v>14</v>
      </c>
      <c r="C18">
        <f t="shared" si="7"/>
        <v>0.97202051353883134</v>
      </c>
      <c r="E18">
        <f t="shared" si="8"/>
        <v>34726.001876629292</v>
      </c>
      <c r="F18">
        <f t="shared" si="0"/>
        <v>6.075879921382216E-5</v>
      </c>
      <c r="G18">
        <f t="shared" si="1"/>
        <v>7.3377560815086032E+16</v>
      </c>
      <c r="H18">
        <f t="shared" si="9"/>
        <v>2.1319545747829124E-3</v>
      </c>
      <c r="I18">
        <f t="shared" si="2"/>
        <v>5.4324533102384026E+18</v>
      </c>
      <c r="J18">
        <f t="shared" si="3"/>
        <v>987138198988.97278</v>
      </c>
      <c r="L18">
        <f t="shared" si="4"/>
        <v>60250134.215635546</v>
      </c>
      <c r="P18">
        <f t="shared" si="10"/>
        <v>5.905879921382216E-5</v>
      </c>
      <c r="Q18">
        <f t="shared" si="5"/>
        <v>39539619.440433539</v>
      </c>
      <c r="R18">
        <f t="shared" si="6"/>
        <v>2413.3068506123986</v>
      </c>
    </row>
    <row r="19" spans="2:135" x14ac:dyDescent="0.35">
      <c r="B19">
        <f t="shared" si="11"/>
        <v>15</v>
      </c>
      <c r="C19">
        <f t="shared" si="7"/>
        <v>0.96699329551315116</v>
      </c>
      <c r="E19">
        <f t="shared" si="8"/>
        <v>21206.731172091862</v>
      </c>
      <c r="F19">
        <f t="shared" si="0"/>
        <v>4.8474999999999999E-5</v>
      </c>
      <c r="G19">
        <f t="shared" si="1"/>
        <v>1.8110428624261133E+17</v>
      </c>
      <c r="H19">
        <f t="shared" si="9"/>
        <v>1.7650354199074678E-3</v>
      </c>
      <c r="I19">
        <f t="shared" si="2"/>
        <v>6.7788478302491351E+18</v>
      </c>
      <c r="J19">
        <f t="shared" si="3"/>
        <v>1231793308883.2703</v>
      </c>
      <c r="L19">
        <f t="shared" si="4"/>
        <v>37591348.537697457</v>
      </c>
      <c r="P19">
        <f t="shared" si="10"/>
        <v>4.6875000000000001E-5</v>
      </c>
      <c r="Q19">
        <f t="shared" si="5"/>
        <v>82486198.81043832</v>
      </c>
      <c r="R19">
        <f t="shared" si="6"/>
        <v>2517.2790164318335</v>
      </c>
    </row>
    <row r="20" spans="2:135" x14ac:dyDescent="0.35">
      <c r="B20">
        <f t="shared" si="11"/>
        <v>16</v>
      </c>
      <c r="C20">
        <f t="shared" si="7"/>
        <v>0.96124502892636376</v>
      </c>
      <c r="E20">
        <f t="shared" si="8"/>
        <v>13139.106852662688</v>
      </c>
      <c r="F20">
        <f t="shared" si="0"/>
        <v>3.8704712155504687E-5</v>
      </c>
      <c r="G20">
        <f t="shared" si="1"/>
        <v>4.4559943557796262E+17</v>
      </c>
      <c r="H20">
        <f t="shared" si="9"/>
        <v>1.4612647334876524E-3</v>
      </c>
      <c r="I20">
        <f t="shared" si="2"/>
        <v>8.5553814869708564E+18</v>
      </c>
      <c r="J20">
        <f t="shared" si="3"/>
        <v>1554609564116.3254</v>
      </c>
      <c r="L20">
        <f t="shared" si="4"/>
        <v>23721459.413396079</v>
      </c>
      <c r="P20">
        <f t="shared" si="10"/>
        <v>3.7204712155504684E-5</v>
      </c>
      <c r="Q20">
        <f t="shared" si="5"/>
        <v>172079880.6484558</v>
      </c>
      <c r="R20">
        <f t="shared" si="6"/>
        <v>2625.7306007149627</v>
      </c>
    </row>
    <row r="21" spans="2:135" x14ac:dyDescent="0.35">
      <c r="B21">
        <f t="shared" si="11"/>
        <v>17</v>
      </c>
      <c r="C21">
        <f t="shared" si="7"/>
        <v>0.9547356231354982</v>
      </c>
      <c r="E21">
        <f t="shared" si="8"/>
        <v>8274.0485405454492</v>
      </c>
      <c r="F21">
        <f t="shared" si="0"/>
        <v>3.0929399606911087E-5</v>
      </c>
      <c r="G21">
        <f t="shared" si="1"/>
        <v>1.0927329560445738E+18</v>
      </c>
      <c r="H21">
        <f t="shared" si="9"/>
        <v>1.2097743746392821E-3</v>
      </c>
      <c r="I21">
        <f t="shared" si="2"/>
        <v>1.0937963927069635E+19</v>
      </c>
      <c r="J21">
        <f t="shared" si="3"/>
        <v>1987551736749.3093</v>
      </c>
      <c r="L21">
        <f t="shared" si="4"/>
        <v>15163816.35093162</v>
      </c>
      <c r="P21">
        <f t="shared" si="10"/>
        <v>2.952939960691109E-5</v>
      </c>
      <c r="Q21">
        <f t="shared" si="5"/>
        <v>358987148.77184552</v>
      </c>
      <c r="R21">
        <f t="shared" si="6"/>
        <v>2738.8545896289484</v>
      </c>
    </row>
    <row r="22" spans="2:135" x14ac:dyDescent="0.35">
      <c r="B22">
        <f>B21+1</f>
        <v>18</v>
      </c>
      <c r="C22">
        <f t="shared" si="7"/>
        <v>0.94744820616472958</v>
      </c>
      <c r="E22">
        <f t="shared" si="8"/>
        <v>5306.9087103405227</v>
      </c>
      <c r="F22">
        <f t="shared" si="0"/>
        <v>2.4737500000000002E-5</v>
      </c>
      <c r="G22">
        <f t="shared" si="1"/>
        <v>2.6704027780829317E+18</v>
      </c>
      <c r="H22">
        <f t="shared" si="9"/>
        <v>1.0015666593422463E-3</v>
      </c>
      <c r="I22">
        <f t="shared" si="2"/>
        <v>1.4193785807222768E+19</v>
      </c>
      <c r="J22">
        <f t="shared" si="3"/>
        <v>2579171390607.3579</v>
      </c>
      <c r="L22">
        <f t="shared" si="4"/>
        <v>9838758.051328117</v>
      </c>
      <c r="P22">
        <f t="shared" si="10"/>
        <v>2.34375E-5</v>
      </c>
      <c r="Q22">
        <f t="shared" si="5"/>
        <v>748906685.06803977</v>
      </c>
      <c r="R22">
        <f t="shared" si="6"/>
        <v>2856.8522837373343</v>
      </c>
    </row>
    <row r="23" spans="2:135" x14ac:dyDescent="0.35">
      <c r="B23">
        <f t="shared" si="11"/>
        <v>19</v>
      </c>
      <c r="C23">
        <f t="shared" si="7"/>
        <v>0.93940115028291094</v>
      </c>
      <c r="E23">
        <f t="shared" si="8"/>
        <v>3475.3791212500132</v>
      </c>
      <c r="F23">
        <f t="shared" si="0"/>
        <v>1.9802356077752348E-5</v>
      </c>
      <c r="G23">
        <f t="shared" si="1"/>
        <v>6.5032812692124242E+18</v>
      </c>
      <c r="H23">
        <f t="shared" si="9"/>
        <v>8.2919244624030976E-4</v>
      </c>
      <c r="I23">
        <f t="shared" si="2"/>
        <v>1.8740883572732613E+19</v>
      </c>
      <c r="J23">
        <f t="shared" si="3"/>
        <v>3405430475137.8403</v>
      </c>
      <c r="L23">
        <f t="shared" si="4"/>
        <v>6495343.160892182</v>
      </c>
      <c r="P23">
        <f t="shared" si="10"/>
        <v>1.8602356077752349E-5</v>
      </c>
      <c r="Q23">
        <f t="shared" si="5"/>
        <v>1562343456.7460091</v>
      </c>
      <c r="R23">
        <f t="shared" si="6"/>
        <v>2979.9336562080557</v>
      </c>
    </row>
    <row r="24" spans="2:135" x14ac:dyDescent="0.35">
      <c r="B24">
        <f t="shared" si="11"/>
        <v>20</v>
      </c>
      <c r="C24">
        <f t="shared" si="7"/>
        <v>0.93066367384018156</v>
      </c>
      <c r="E24">
        <f t="shared" si="8"/>
        <v>2330.5841489687332</v>
      </c>
      <c r="F24">
        <f t="shared" ref="F24:F26" si="12">((0.5^(B24/3)*$C$1)+($C$2-B24)*0.0000001)</f>
        <v>1.5864699803455546E-5</v>
      </c>
      <c r="G24">
        <f t="shared" si="1"/>
        <v>1.5786016970038575E+19</v>
      </c>
      <c r="H24">
        <f t="shared" si="9"/>
        <v>6.8648462535037522E-4</v>
      </c>
      <c r="I24">
        <f t="shared" si="2"/>
        <v>2.5256209352295363E+19</v>
      </c>
      <c r="J24">
        <f t="shared" si="3"/>
        <v>4589338847390.6982</v>
      </c>
      <c r="L24">
        <f t="shared" si="4"/>
        <v>4376734.5880419714</v>
      </c>
      <c r="P24">
        <f t="shared" si="10"/>
        <v>1.4764699803455545E-5</v>
      </c>
      <c r="Q24">
        <f t="shared" si="5"/>
        <v>3259307368.3343034</v>
      </c>
      <c r="R24">
        <f t="shared" si="6"/>
        <v>3108.3177264540705</v>
      </c>
    </row>
    <row r="25" spans="2:135" x14ac:dyDescent="0.35">
      <c r="B25">
        <f t="shared" si="11"/>
        <v>21</v>
      </c>
      <c r="C25">
        <f t="shared" si="7"/>
        <v>0.92137592137592128</v>
      </c>
      <c r="E25">
        <f t="shared" si="8"/>
        <v>1606.0671016539306</v>
      </c>
      <c r="F25">
        <f t="shared" si="12"/>
        <v>1.2718750000000001E-5</v>
      </c>
      <c r="G25">
        <f t="shared" si="1"/>
        <v>3.8213980387644613E+19</v>
      </c>
      <c r="H25">
        <f t="shared" si="9"/>
        <v>5.6833747458653091E-4</v>
      </c>
      <c r="I25">
        <f t="shared" si="2"/>
        <v>3.4881267337556234E+19</v>
      </c>
      <c r="J25">
        <f t="shared" si="3"/>
        <v>6338320727608.2549</v>
      </c>
      <c r="L25">
        <f t="shared" si="4"/>
        <v>3022346.8435326838</v>
      </c>
      <c r="P25">
        <f t="shared" si="10"/>
        <v>1.171875E-5</v>
      </c>
      <c r="Q25">
        <f t="shared" si="5"/>
        <v>6799455315.2887583</v>
      </c>
      <c r="R25">
        <f t="shared" si="6"/>
        <v>3242.2329498714248</v>
      </c>
    </row>
    <row r="26" spans="2:135" x14ac:dyDescent="0.35">
      <c r="B26">
        <f t="shared" si="11"/>
        <v>22</v>
      </c>
      <c r="C26">
        <f t="shared" si="7"/>
        <v>0.91177489535324785</v>
      </c>
      <c r="E26">
        <f t="shared" si="8"/>
        <v>1142.3948423230127</v>
      </c>
      <c r="F26">
        <f t="shared" si="12"/>
        <v>1.0201178038876173E-5</v>
      </c>
      <c r="G26">
        <f t="shared" si="1"/>
        <v>9.2341875478642573E+19</v>
      </c>
      <c r="H26">
        <f t="shared" si="9"/>
        <v>4.705239900377017E-4</v>
      </c>
      <c r="I26">
        <f t="shared" si="2"/>
        <v>4.9635990841682158E+19</v>
      </c>
      <c r="J26">
        <f t="shared" si="3"/>
        <v>9019420841067.6641</v>
      </c>
      <c r="L26">
        <f t="shared" si="4"/>
        <v>2150397.5012463722</v>
      </c>
      <c r="P26">
        <f t="shared" si="10"/>
        <v>9.3011780388761727E-6</v>
      </c>
      <c r="Q26">
        <f t="shared" si="5"/>
        <v>14184790619.559149</v>
      </c>
      <c r="R26">
        <f t="shared" si="6"/>
        <v>3381.9176243684647</v>
      </c>
    </row>
    <row r="27" spans="2:135" x14ac:dyDescent="0.35">
      <c r="B27">
        <f t="shared" si="11"/>
        <v>23</v>
      </c>
      <c r="C27">
        <f t="shared" si="7"/>
        <v>0.90222857619043251</v>
      </c>
      <c r="H27">
        <f t="shared" si="9"/>
        <v>3.895446545418532E-4</v>
      </c>
    </row>
    <row r="28" spans="2:135" x14ac:dyDescent="0.35">
      <c r="B28">
        <f t="shared" si="11"/>
        <v>24</v>
      </c>
      <c r="C28">
        <f t="shared" si="7"/>
        <v>0.89328251548356363</v>
      </c>
      <c r="H28">
        <f t="shared" si="9"/>
        <v>3.2250223388178943E-4</v>
      </c>
      <c r="I28" s="44"/>
      <c r="N28" s="44"/>
      <c r="O28" s="44"/>
      <c r="T28" s="44"/>
      <c r="U28" s="44"/>
      <c r="Z28" s="44"/>
      <c r="AA28" s="44"/>
      <c r="AF28" s="44"/>
      <c r="AG28" s="44"/>
      <c r="AL28" s="44"/>
      <c r="AM28" s="44"/>
      <c r="AR28" s="44"/>
      <c r="AS28" s="44"/>
      <c r="AX28" s="44"/>
      <c r="AY28" s="44"/>
      <c r="BD28" s="44"/>
      <c r="BE28" s="44"/>
      <c r="BJ28" s="44"/>
      <c r="BK28" s="44"/>
      <c r="BP28" s="44"/>
      <c r="BQ28" s="44"/>
      <c r="BV28" s="44"/>
      <c r="BW28" s="44"/>
      <c r="CB28" s="44"/>
      <c r="CC28" s="44"/>
      <c r="CH28" s="44"/>
      <c r="CI28" s="44"/>
      <c r="CN28" s="44"/>
      <c r="CO28" s="44"/>
      <c r="CT28" s="44"/>
      <c r="CU28" s="44"/>
      <c r="CZ28" s="44"/>
      <c r="DA28" s="44"/>
      <c r="DF28" s="44"/>
      <c r="DG28" s="44"/>
      <c r="DL28" s="44"/>
      <c r="DM28" s="44"/>
      <c r="DR28" s="44"/>
      <c r="DS28" s="44"/>
      <c r="DX28" s="44"/>
      <c r="DY28" s="44"/>
      <c r="ED28" s="44"/>
      <c r="EE28" s="44"/>
    </row>
    <row r="29" spans="2:135" x14ac:dyDescent="0.35">
      <c r="B29">
        <f t="shared" si="11"/>
        <v>25</v>
      </c>
      <c r="C29">
        <f t="shared" si="7"/>
        <v>0.88572710646772124</v>
      </c>
      <c r="H29">
        <f t="shared" si="9"/>
        <v>2.6699812112957556E-4</v>
      </c>
      <c r="I29" s="44"/>
      <c r="N29" s="44"/>
      <c r="O29" s="44"/>
      <c r="T29" s="44"/>
      <c r="U29" s="44"/>
      <c r="Z29" s="44"/>
      <c r="AA29" s="44"/>
      <c r="AF29" s="44"/>
      <c r="AG29" s="44"/>
      <c r="AL29" s="44"/>
      <c r="AM29" s="44"/>
      <c r="AR29" s="44"/>
      <c r="AS29" s="44"/>
      <c r="AX29" s="44"/>
      <c r="AY29" s="44"/>
      <c r="BD29" s="44"/>
      <c r="BE29" s="44"/>
      <c r="BJ29" s="44"/>
      <c r="BK29" s="44"/>
      <c r="BP29" s="44"/>
      <c r="BQ29" s="44"/>
      <c r="BV29" s="44"/>
      <c r="BW29" s="44"/>
      <c r="CB29" s="44"/>
      <c r="CC29" s="44"/>
      <c r="CH29" s="44"/>
      <c r="CI29" s="44"/>
      <c r="CN29" s="44"/>
      <c r="CO29" s="44"/>
      <c r="CT29" s="44"/>
      <c r="CU29" s="44"/>
      <c r="CZ29" s="44"/>
      <c r="DA29" s="44"/>
      <c r="DF29" s="44"/>
      <c r="DG29" s="44"/>
      <c r="DL29" s="44"/>
      <c r="DM29" s="44"/>
      <c r="DR29" s="44"/>
      <c r="DS29" s="44"/>
      <c r="DX29" s="44"/>
      <c r="DY29" s="44"/>
      <c r="ED29" s="44"/>
      <c r="EE29" s="44"/>
    </row>
    <row r="30" spans="2:135" x14ac:dyDescent="0.35">
      <c r="B30">
        <f t="shared" si="11"/>
        <v>26</v>
      </c>
      <c r="C30">
        <f t="shared" si="7"/>
        <v>0.88070171112829843</v>
      </c>
      <c r="H30">
        <f t="shared" si="9"/>
        <v>2.2104652060442336E-4</v>
      </c>
    </row>
    <row r="31" spans="2:135" x14ac:dyDescent="0.35">
      <c r="B31">
        <f t="shared" si="11"/>
        <v>27</v>
      </c>
      <c r="C31">
        <f t="shared" si="7"/>
        <v>0.87986860628812769</v>
      </c>
      <c r="H31">
        <f t="shared" si="9"/>
        <v>1.8300340116479317E-4</v>
      </c>
    </row>
    <row r="32" spans="2:135" x14ac:dyDescent="0.35">
      <c r="B32">
        <v>28</v>
      </c>
      <c r="C32">
        <f t="shared" si="7"/>
        <v>0.88572710646772124</v>
      </c>
      <c r="H32">
        <f t="shared" si="9"/>
        <v>1.5150767696459297E-4</v>
      </c>
    </row>
    <row r="33" spans="1:185" x14ac:dyDescent="0.35">
      <c r="B33">
        <v>29</v>
      </c>
      <c r="C33">
        <f t="shared" si="7"/>
        <v>0.9022285761904324</v>
      </c>
      <c r="H33">
        <f t="shared" si="9"/>
        <v>1.2543251127085356E-4</v>
      </c>
    </row>
    <row r="34" spans="1:185" x14ac:dyDescent="0.35">
      <c r="B34">
        <v>30</v>
      </c>
      <c r="C34">
        <f t="shared" si="7"/>
        <v>0.93609585621567659</v>
      </c>
      <c r="H34">
        <f t="shared" si="9"/>
        <v>1.0384500111759772E-4</v>
      </c>
    </row>
    <row r="40" spans="1:185" x14ac:dyDescent="0.35">
      <c r="B40" s="44" t="s">
        <v>25</v>
      </c>
      <c r="C40" s="44">
        <v>0</v>
      </c>
      <c r="H40" s="44" t="s">
        <v>25</v>
      </c>
      <c r="I40" s="44">
        <v>1</v>
      </c>
      <c r="N40" s="44" t="s">
        <v>25</v>
      </c>
      <c r="O40" s="44">
        <v>2</v>
      </c>
      <c r="T40" s="44" t="s">
        <v>25</v>
      </c>
      <c r="U40" s="44">
        <v>3</v>
      </c>
      <c r="Z40" s="44" t="s">
        <v>25</v>
      </c>
      <c r="AA40" s="44">
        <v>4</v>
      </c>
      <c r="AF40" s="44" t="s">
        <v>25</v>
      </c>
      <c r="AG40" s="44">
        <v>5</v>
      </c>
      <c r="AL40" s="44" t="s">
        <v>25</v>
      </c>
      <c r="AM40" s="44">
        <v>6</v>
      </c>
      <c r="AR40" s="44" t="s">
        <v>25</v>
      </c>
      <c r="AS40" s="44">
        <v>7</v>
      </c>
      <c r="AX40" s="44" t="s">
        <v>25</v>
      </c>
      <c r="AY40" s="44">
        <v>8</v>
      </c>
      <c r="BD40" s="44" t="s">
        <v>25</v>
      </c>
      <c r="BE40" s="44">
        <v>9</v>
      </c>
      <c r="BJ40" s="44" t="s">
        <v>25</v>
      </c>
      <c r="BK40" s="44">
        <v>10</v>
      </c>
      <c r="BP40" s="44" t="s">
        <v>25</v>
      </c>
      <c r="BQ40" s="44">
        <v>11</v>
      </c>
      <c r="BV40" s="44" t="s">
        <v>25</v>
      </c>
      <c r="BW40" s="44">
        <v>12</v>
      </c>
      <c r="CB40" s="44" t="s">
        <v>25</v>
      </c>
      <c r="CC40" s="44">
        <v>13</v>
      </c>
      <c r="CH40" s="44" t="s">
        <v>25</v>
      </c>
      <c r="CI40" s="44">
        <v>14</v>
      </c>
      <c r="CN40" s="44" t="s">
        <v>25</v>
      </c>
      <c r="CO40" s="44">
        <v>15</v>
      </c>
      <c r="CT40" s="44" t="s">
        <v>25</v>
      </c>
      <c r="CU40" s="44">
        <v>16</v>
      </c>
      <c r="CZ40" s="44" t="s">
        <v>25</v>
      </c>
      <c r="DA40" s="44">
        <v>17</v>
      </c>
      <c r="DF40" s="44" t="s">
        <v>25</v>
      </c>
      <c r="DG40" s="44">
        <v>18</v>
      </c>
      <c r="DL40" s="44" t="s">
        <v>25</v>
      </c>
      <c r="DM40" s="44">
        <v>19</v>
      </c>
      <c r="DR40" s="44" t="s">
        <v>25</v>
      </c>
      <c r="DS40" s="44">
        <v>20</v>
      </c>
      <c r="DX40" s="44" t="s">
        <v>25</v>
      </c>
      <c r="DY40" s="44">
        <v>21</v>
      </c>
      <c r="ED40" s="44" t="s">
        <v>25</v>
      </c>
      <c r="EE40" s="44">
        <v>22</v>
      </c>
      <c r="EJ40" s="44" t="s">
        <v>25</v>
      </c>
      <c r="EK40" s="44">
        <v>23</v>
      </c>
      <c r="EP40" s="44" t="s">
        <v>25</v>
      </c>
      <c r="EQ40" s="44">
        <v>24</v>
      </c>
      <c r="EV40" s="44" t="s">
        <v>25</v>
      </c>
      <c r="EW40" s="44">
        <v>25</v>
      </c>
      <c r="FB40" s="44" t="s">
        <v>25</v>
      </c>
      <c r="FC40" s="44">
        <v>26</v>
      </c>
      <c r="FH40" s="44" t="s">
        <v>25</v>
      </c>
      <c r="FI40" s="44">
        <v>27</v>
      </c>
      <c r="FN40" s="44" t="s">
        <v>25</v>
      </c>
      <c r="FO40" s="44">
        <v>28</v>
      </c>
      <c r="FT40" s="44" t="s">
        <v>25</v>
      </c>
      <c r="FU40" s="44">
        <v>29</v>
      </c>
      <c r="FZ40" s="44" t="s">
        <v>25</v>
      </c>
      <c r="GA40" s="44">
        <v>30</v>
      </c>
    </row>
    <row r="41" spans="1:185" x14ac:dyDescent="0.35">
      <c r="B41" s="44" t="s">
        <v>26</v>
      </c>
      <c r="C41" s="44">
        <v>31</v>
      </c>
      <c r="H41" s="44" t="s">
        <v>26</v>
      </c>
      <c r="I41" s="44">
        <v>30</v>
      </c>
      <c r="N41" s="44" t="s">
        <v>26</v>
      </c>
      <c r="O41" s="44">
        <v>29</v>
      </c>
      <c r="T41" s="44" t="s">
        <v>26</v>
      </c>
      <c r="U41" s="44">
        <v>28</v>
      </c>
      <c r="Z41" s="44" t="s">
        <v>26</v>
      </c>
      <c r="AA41" s="44">
        <v>27</v>
      </c>
      <c r="AF41" s="44" t="s">
        <v>26</v>
      </c>
      <c r="AG41" s="44">
        <v>26</v>
      </c>
      <c r="AL41" s="44" t="s">
        <v>26</v>
      </c>
      <c r="AM41" s="44">
        <v>25</v>
      </c>
      <c r="AR41" s="44" t="s">
        <v>26</v>
      </c>
      <c r="AS41" s="44">
        <v>24</v>
      </c>
      <c r="AX41" s="44" t="s">
        <v>26</v>
      </c>
      <c r="AY41" s="44">
        <v>23</v>
      </c>
      <c r="BD41" s="44" t="s">
        <v>26</v>
      </c>
      <c r="BE41" s="44">
        <v>22</v>
      </c>
      <c r="BJ41" s="44" t="s">
        <v>26</v>
      </c>
      <c r="BK41" s="44">
        <v>21</v>
      </c>
      <c r="BP41" s="44" t="s">
        <v>26</v>
      </c>
      <c r="BQ41" s="44">
        <v>20</v>
      </c>
      <c r="BV41" s="44" t="s">
        <v>26</v>
      </c>
      <c r="BW41" s="44">
        <v>19</v>
      </c>
      <c r="CB41" s="44" t="s">
        <v>26</v>
      </c>
      <c r="CC41" s="44">
        <v>18</v>
      </c>
      <c r="CH41" s="44" t="s">
        <v>26</v>
      </c>
      <c r="CI41" s="44">
        <v>17</v>
      </c>
      <c r="CN41" s="44" t="s">
        <v>26</v>
      </c>
      <c r="CO41" s="44">
        <v>16</v>
      </c>
      <c r="CT41" s="44" t="s">
        <v>26</v>
      </c>
      <c r="CU41" s="44">
        <v>15</v>
      </c>
      <c r="CZ41" s="44" t="s">
        <v>26</v>
      </c>
      <c r="DA41" s="44">
        <v>14</v>
      </c>
      <c r="DF41" s="44" t="s">
        <v>26</v>
      </c>
      <c r="DG41" s="44">
        <v>13</v>
      </c>
      <c r="DL41" s="44" t="s">
        <v>26</v>
      </c>
      <c r="DM41" s="44">
        <v>12</v>
      </c>
      <c r="DR41" s="44" t="s">
        <v>26</v>
      </c>
      <c r="DS41" s="44">
        <v>11</v>
      </c>
      <c r="DX41" s="44" t="s">
        <v>26</v>
      </c>
      <c r="DY41" s="44">
        <v>10</v>
      </c>
      <c r="ED41" s="44" t="s">
        <v>26</v>
      </c>
      <c r="EE41" s="44">
        <v>9</v>
      </c>
      <c r="EJ41" s="44" t="s">
        <v>26</v>
      </c>
      <c r="EK41" s="44">
        <v>8</v>
      </c>
      <c r="EP41" s="44" t="s">
        <v>26</v>
      </c>
      <c r="EQ41" s="44">
        <v>7</v>
      </c>
      <c r="EV41" s="44" t="s">
        <v>26</v>
      </c>
      <c r="EW41" s="44">
        <v>6</v>
      </c>
      <c r="FB41" s="44" t="s">
        <v>26</v>
      </c>
      <c r="FC41" s="44">
        <v>5</v>
      </c>
      <c r="FH41" s="44" t="s">
        <v>26</v>
      </c>
      <c r="FI41" s="44">
        <v>4</v>
      </c>
      <c r="FN41" s="44" t="s">
        <v>26</v>
      </c>
      <c r="FO41" s="44">
        <v>3</v>
      </c>
      <c r="FT41" s="44" t="s">
        <v>26</v>
      </c>
      <c r="FU41" s="44">
        <v>2</v>
      </c>
      <c r="FZ41" s="44" t="s">
        <v>26</v>
      </c>
      <c r="GA41" s="44">
        <v>1</v>
      </c>
    </row>
    <row r="42" spans="1:185" x14ac:dyDescent="0.35">
      <c r="A42" t="s">
        <v>100</v>
      </c>
      <c r="B42" t="s">
        <v>101</v>
      </c>
      <c r="C42" t="s">
        <v>30</v>
      </c>
      <c r="D42" t="s">
        <v>103</v>
      </c>
      <c r="E42" t="s">
        <v>104</v>
      </c>
      <c r="G42" t="s">
        <v>100</v>
      </c>
      <c r="H42" t="s">
        <v>101</v>
      </c>
      <c r="I42" t="s">
        <v>30</v>
      </c>
      <c r="J42" t="s">
        <v>103</v>
      </c>
      <c r="K42" t="s">
        <v>104</v>
      </c>
      <c r="M42" t="s">
        <v>100</v>
      </c>
      <c r="N42" t="s">
        <v>101</v>
      </c>
      <c r="O42" t="s">
        <v>30</v>
      </c>
      <c r="P42" t="s">
        <v>103</v>
      </c>
      <c r="Q42" t="s">
        <v>104</v>
      </c>
      <c r="S42" t="s">
        <v>100</v>
      </c>
      <c r="T42" t="s">
        <v>101</v>
      </c>
      <c r="U42" t="s">
        <v>30</v>
      </c>
      <c r="V42" t="s">
        <v>103</v>
      </c>
      <c r="W42" t="s">
        <v>104</v>
      </c>
      <c r="Y42" t="s">
        <v>100</v>
      </c>
      <c r="Z42" t="s">
        <v>101</v>
      </c>
      <c r="AA42" t="s">
        <v>30</v>
      </c>
      <c r="AB42" t="s">
        <v>103</v>
      </c>
      <c r="AC42" t="s">
        <v>104</v>
      </c>
      <c r="AE42" t="s">
        <v>100</v>
      </c>
      <c r="AF42" t="s">
        <v>101</v>
      </c>
      <c r="AG42" t="s">
        <v>30</v>
      </c>
      <c r="AH42" t="s">
        <v>103</v>
      </c>
      <c r="AI42" t="s">
        <v>104</v>
      </c>
      <c r="AK42" t="s">
        <v>100</v>
      </c>
      <c r="AL42" t="s">
        <v>101</v>
      </c>
      <c r="AM42" t="s">
        <v>30</v>
      </c>
      <c r="AN42" t="s">
        <v>103</v>
      </c>
      <c r="AO42" t="s">
        <v>104</v>
      </c>
      <c r="AQ42" t="s">
        <v>100</v>
      </c>
      <c r="AR42" t="s">
        <v>101</v>
      </c>
      <c r="AS42" t="s">
        <v>30</v>
      </c>
      <c r="AT42" t="s">
        <v>103</v>
      </c>
      <c r="AU42" t="s">
        <v>104</v>
      </c>
      <c r="AW42" t="s">
        <v>100</v>
      </c>
      <c r="AX42" t="s">
        <v>101</v>
      </c>
      <c r="AY42" t="s">
        <v>30</v>
      </c>
      <c r="AZ42" t="s">
        <v>103</v>
      </c>
      <c r="BA42" t="s">
        <v>104</v>
      </c>
      <c r="BC42" t="s">
        <v>100</v>
      </c>
      <c r="BD42" t="s">
        <v>101</v>
      </c>
      <c r="BE42" t="s">
        <v>30</v>
      </c>
      <c r="BF42" t="s">
        <v>103</v>
      </c>
      <c r="BG42" t="s">
        <v>104</v>
      </c>
      <c r="BI42" t="s">
        <v>100</v>
      </c>
      <c r="BJ42" t="s">
        <v>101</v>
      </c>
      <c r="BK42" t="s">
        <v>30</v>
      </c>
      <c r="BL42" t="s">
        <v>103</v>
      </c>
      <c r="BM42" t="s">
        <v>104</v>
      </c>
      <c r="BO42" t="s">
        <v>100</v>
      </c>
      <c r="BP42" t="s">
        <v>101</v>
      </c>
      <c r="BQ42" t="s">
        <v>30</v>
      </c>
      <c r="BR42" t="s">
        <v>103</v>
      </c>
      <c r="BS42" t="s">
        <v>104</v>
      </c>
      <c r="BU42" t="s">
        <v>100</v>
      </c>
      <c r="BV42" t="s">
        <v>101</v>
      </c>
      <c r="BW42" t="s">
        <v>30</v>
      </c>
      <c r="BX42" t="s">
        <v>103</v>
      </c>
      <c r="BY42" t="s">
        <v>104</v>
      </c>
      <c r="CA42" t="s">
        <v>100</v>
      </c>
      <c r="CB42" t="s">
        <v>101</v>
      </c>
      <c r="CC42" t="s">
        <v>30</v>
      </c>
      <c r="CD42" t="s">
        <v>103</v>
      </c>
      <c r="CE42" t="s">
        <v>104</v>
      </c>
      <c r="CG42" t="s">
        <v>100</v>
      </c>
      <c r="CH42" t="s">
        <v>101</v>
      </c>
      <c r="CI42" t="s">
        <v>30</v>
      </c>
      <c r="CJ42" t="s">
        <v>103</v>
      </c>
      <c r="CK42" t="s">
        <v>104</v>
      </c>
      <c r="CM42" t="s">
        <v>100</v>
      </c>
      <c r="CN42" t="s">
        <v>101</v>
      </c>
      <c r="CO42" t="s">
        <v>30</v>
      </c>
      <c r="CP42" t="s">
        <v>103</v>
      </c>
      <c r="CQ42" t="s">
        <v>104</v>
      </c>
      <c r="CS42" t="s">
        <v>100</v>
      </c>
      <c r="CT42" t="s">
        <v>101</v>
      </c>
      <c r="CU42" t="s">
        <v>30</v>
      </c>
      <c r="CV42" t="s">
        <v>103</v>
      </c>
      <c r="CW42" t="s">
        <v>104</v>
      </c>
      <c r="CY42" t="s">
        <v>100</v>
      </c>
      <c r="CZ42" t="s">
        <v>101</v>
      </c>
      <c r="DA42" t="s">
        <v>30</v>
      </c>
      <c r="DB42" t="s">
        <v>103</v>
      </c>
      <c r="DC42" t="s">
        <v>104</v>
      </c>
      <c r="DE42" t="s">
        <v>100</v>
      </c>
      <c r="DF42" t="s">
        <v>101</v>
      </c>
      <c r="DG42" t="s">
        <v>30</v>
      </c>
      <c r="DH42" t="s">
        <v>103</v>
      </c>
      <c r="DI42" t="s">
        <v>104</v>
      </c>
      <c r="DK42" t="s">
        <v>100</v>
      </c>
      <c r="DL42" t="s">
        <v>101</v>
      </c>
      <c r="DM42" t="s">
        <v>30</v>
      </c>
      <c r="DN42" t="s">
        <v>103</v>
      </c>
      <c r="DO42" t="s">
        <v>104</v>
      </c>
      <c r="DQ42" t="s">
        <v>100</v>
      </c>
      <c r="DR42" t="s">
        <v>101</v>
      </c>
      <c r="DS42" t="s">
        <v>30</v>
      </c>
      <c r="DT42" t="s">
        <v>103</v>
      </c>
      <c r="DU42" t="s">
        <v>104</v>
      </c>
      <c r="DW42" t="s">
        <v>100</v>
      </c>
      <c r="DX42" t="s">
        <v>101</v>
      </c>
      <c r="DY42" t="s">
        <v>30</v>
      </c>
      <c r="DZ42" t="s">
        <v>103</v>
      </c>
      <c r="EA42" t="s">
        <v>104</v>
      </c>
      <c r="EC42" t="s">
        <v>100</v>
      </c>
      <c r="ED42" t="s">
        <v>101</v>
      </c>
      <c r="EE42" t="s">
        <v>30</v>
      </c>
      <c r="EF42" t="s">
        <v>103</v>
      </c>
      <c r="EG42" t="s">
        <v>104</v>
      </c>
      <c r="EI42" t="s">
        <v>100</v>
      </c>
      <c r="EJ42" t="s">
        <v>101</v>
      </c>
      <c r="EK42" t="s">
        <v>30</v>
      </c>
      <c r="EL42" t="s">
        <v>103</v>
      </c>
      <c r="EM42" t="s">
        <v>104</v>
      </c>
      <c r="EO42" t="s">
        <v>100</v>
      </c>
      <c r="EP42" t="s">
        <v>101</v>
      </c>
      <c r="EQ42" t="s">
        <v>30</v>
      </c>
      <c r="ER42" t="s">
        <v>103</v>
      </c>
      <c r="ES42" t="s">
        <v>104</v>
      </c>
      <c r="EU42" t="s">
        <v>100</v>
      </c>
      <c r="EV42" t="s">
        <v>101</v>
      </c>
      <c r="EW42" t="s">
        <v>30</v>
      </c>
      <c r="EX42" t="s">
        <v>103</v>
      </c>
      <c r="EY42" t="s">
        <v>104</v>
      </c>
      <c r="FA42" t="s">
        <v>100</v>
      </c>
      <c r="FB42" t="s">
        <v>101</v>
      </c>
      <c r="FC42" t="s">
        <v>30</v>
      </c>
      <c r="FD42" t="s">
        <v>103</v>
      </c>
      <c r="FE42" t="s">
        <v>104</v>
      </c>
      <c r="FG42" t="s">
        <v>100</v>
      </c>
      <c r="FH42" t="s">
        <v>101</v>
      </c>
      <c r="FI42" t="s">
        <v>30</v>
      </c>
      <c r="FJ42" t="s">
        <v>103</v>
      </c>
      <c r="FK42" t="s">
        <v>104</v>
      </c>
      <c r="FM42" t="s">
        <v>100</v>
      </c>
      <c r="FN42" t="s">
        <v>101</v>
      </c>
      <c r="FO42" t="s">
        <v>30</v>
      </c>
      <c r="FP42" t="s">
        <v>103</v>
      </c>
      <c r="FQ42" t="s">
        <v>104</v>
      </c>
      <c r="FS42" t="s">
        <v>100</v>
      </c>
      <c r="FT42" t="s">
        <v>101</v>
      </c>
      <c r="FU42" t="s">
        <v>30</v>
      </c>
      <c r="FV42" t="s">
        <v>103</v>
      </c>
      <c r="FW42" t="s">
        <v>104</v>
      </c>
      <c r="FY42" t="s">
        <v>100</v>
      </c>
      <c r="FZ42" t="s">
        <v>101</v>
      </c>
      <c r="GA42" t="s">
        <v>30</v>
      </c>
      <c r="GB42" t="s">
        <v>103</v>
      </c>
      <c r="GC42" t="s">
        <v>104</v>
      </c>
    </row>
    <row r="43" spans="1:185" x14ac:dyDescent="0.35">
      <c r="A43">
        <v>1</v>
      </c>
      <c r="B43">
        <f>C1</f>
        <v>1.5E-3</v>
      </c>
      <c r="C43">
        <f>$B$43+A43*$H$2</f>
        <v>1.5001000000000001E-3</v>
      </c>
      <c r="D43">
        <f>((8*$F$1*$H$4)/(3.1415))*(((C43)^4-(B43)^4)-(((C43)^2-(B43)^2)^2/(LN(C43/B43))))^-1</f>
        <v>4.5139401923650085E+19</v>
      </c>
      <c r="E43">
        <f>((1/D43)+(1/D44)+(1/D45)+(1/D46)+(1/D47)+(1/D48)+(1/D49)+(1/D50)+(1/D51)+(1/D52)+(1/D53)+(1/D54)+(1/D55)+(1/D56)+(1/D57)+(1/D58)+(1/D59)+(1/D60)+(1/D61)+(1/D62))^-1</f>
        <v>2.2554208468089398E+18</v>
      </c>
      <c r="G43">
        <v>1</v>
      </c>
      <c r="H43">
        <f>C1*(0.5)^(I40/3.67)</f>
        <v>1.2418431242282881E-3</v>
      </c>
      <c r="I43">
        <f>$H$43+G43*$H$2</f>
        <v>1.2419431242282882E-3</v>
      </c>
      <c r="J43">
        <f>((8*$F$1*$H$5)/(3.1415))*(((I43)^4-(H43)^4)-(((I43)^2-(H43)^2)^2/(LN(I43/H43))))^-1</f>
        <v>2.6548273279519478E+19</v>
      </c>
      <c r="K43">
        <f>(1/(2^I40))*((1/J43)+(1/J44)+(1/J45)+(1/J46)+(1/J47)+(1/J48)+(1/J49)+(1/J50)+(1/J51)+(1/J52)+(1/J53)+(1/J54)+(1/J55)+(1/J56)+(1/J57)+(1/J58)+(1/J59)+(1/J60)+(1/J61)+(1/J62))^-1</f>
        <v>6.6325236730522509E+17</v>
      </c>
      <c r="M43">
        <v>1</v>
      </c>
      <c r="N43">
        <f>C1*(0.5)^(O40/3.67)</f>
        <v>1.0281162301287168E-3</v>
      </c>
      <c r="O43">
        <f>$N$43+M43*$H$2</f>
        <v>1.0282162301287168E-3</v>
      </c>
      <c r="P43">
        <f>((8*$H$1*$H$6)/(3.1415))*(((O43)^4-(N43)^4)-(((O43)^2-(N43)^2)^2/(LN(O43/N43))))^-1</f>
        <v>3.3995565563294294E+19</v>
      </c>
      <c r="Q43">
        <f>(1/(2^O40))*((1/P43)+(1/P44)+(1/P45)+(1/P46)+(1/P47)+(1/P48)+(1/P49)+(1/P50)+(1/P51)+(1/P52)+(1/P53)+(1/P54)+(1/P55)+(1/P56)+(1/P57)+(1/P58)+(1/P59)+(1/P60)+(1/P61)+(1/P62))^-1</f>
        <v>4.2457343713369779E+17</v>
      </c>
      <c r="S43">
        <v>1</v>
      </c>
      <c r="T43">
        <f>C1*(0.5)^(U40/3.67)</f>
        <v>8.5117271419523689E-4</v>
      </c>
      <c r="U43">
        <f>$T$43+S43*$H$2</f>
        <v>8.5127271419523684E-4</v>
      </c>
      <c r="V43">
        <f>((8*$F$1*$H$7)/(3.1415))*(((U43)^4-(T43)^4)-(((U43)^2-(T43)^2)^2/(LN(U43/T43))))^-1</f>
        <v>2.6544173429071708E+19</v>
      </c>
      <c r="W43">
        <f>(1/(2^U40))*((1/V43)+(1/V44)+(1/V45)+(1/V46)+(1/V47)+(1/V48)+(1/V49)+(1/V50)+(1/V51)+(1/V52)+(1/V53)+(1/V54)+(1/V55)+(1/V56)+(1/V57)+(1/V58)+(1/V59)+(1/V60)+(1/V61)+(1/V62))^-1</f>
        <v>1.6574945958207757E+17</v>
      </c>
      <c r="Y43">
        <v>1</v>
      </c>
      <c r="Z43">
        <f>C1*(0.5)^(AA40/3.67)</f>
        <v>7.0468198843605639E-4</v>
      </c>
      <c r="AA43">
        <f>$Z$43+Y43*$H$2</f>
        <v>7.0478198843605634E-4</v>
      </c>
      <c r="AB43">
        <f>((8*$F$1*$H$8)/(3.1415))*(((AA43)^4-(Z43)^4)-(((AA43)^2-(Z43)^2)^2/(LN(AA43/Z43))))^-1</f>
        <v>2.654712612765286E+19</v>
      </c>
      <c r="AC43">
        <f>(1/(2^AA40))*((1/AB43)+(1/AB44)+(1/AB45)+(1/AB46)+(1/AB47)+(1/AB48)+(1/AB49)+(1/AB50)+(1/AB51)+(1/AB52)+(1/AB53)+(1/AB54)+(1/AB55)+(1/AB56)+(1/AB57)+(1/AB58)+(1/AB59)+(1/AB60)+(1/AB61)+(1/AB62))^-1</f>
        <v>8.2853010338603632E+16</v>
      </c>
      <c r="AE43">
        <v>1</v>
      </c>
      <c r="AF43">
        <f>C1*(0.5)^(AG40/3.67)</f>
        <v>5.8340298807122305E-4</v>
      </c>
      <c r="AG43">
        <f>$AF$43+AE43*$H$2</f>
        <v>5.83502988071223E-4</v>
      </c>
      <c r="AH43">
        <f>((8*$F$1*$H$9)/(3.1415))*(((AG43)^4-(AF43)^4)-(((AG43)^2-(AF43)^2)^2/(LN(AG43/AF43))))^-1</f>
        <v>2.6550480510543897E+19</v>
      </c>
      <c r="AI43">
        <f>(1/(2^AG40))*((1/AH43)+(1/AH44)+(1/AH45)+(1/AH46)+(1/AH47)+(1/AH48)+(1/AH49)+(1/AH50)+(1/AH51)+(1/AH52)+(1/AH53)+(1/AH54)+(1/AH55)+(1/AH56)+(1/AH57)+(1/AH58)+(1/AH59)+(1/AH60)+(1/AH61)+(1/AH62))^-1</f>
        <v>4.1416593334205064E+16</v>
      </c>
      <c r="AK43">
        <v>1</v>
      </c>
      <c r="AL43">
        <f>C1*(0.5)^(AM40/3.67)</f>
        <v>4.8299665959365766E-4</v>
      </c>
      <c r="AM43">
        <f>$AL$43+AK43*$H$2</f>
        <v>4.8309665959365766E-4</v>
      </c>
      <c r="AN43">
        <f>((8*$F$1*$H$10)/(3.1415))*(((AM43)^4-(AL43)^4)-(((AM43)^2-(AL43)^2)^2/(LN(AM43/AL43))))^-1</f>
        <v>2.6548788664980955E+19</v>
      </c>
      <c r="AO43">
        <f>(1/(2^AM40))*((1/AN43)+(1/AN44)+(1/AN45)+(1/AN46)+(1/AN47)+(1/AN48)+(1/AN49)+(1/AN50)+(1/AN51)+(1/AN52)+(1/AN53)+(1/AN54)+(1/AN55)+(1/AN56)+(1/AN57)+(1/AN58)+(1/AN59)+(1/AN60)+(1/AN61)+(1/AN62))^-1</f>
        <v>2.070064604684494E+16</v>
      </c>
      <c r="AQ43">
        <v>1</v>
      </c>
      <c r="AR43">
        <f>C1*(0.5)^(AS40/3.67)</f>
        <v>3.9987072049440988E-4</v>
      </c>
      <c r="AS43">
        <f>$AR$43+AQ43*$H$2</f>
        <v>3.9997072049440988E-4</v>
      </c>
      <c r="AT43">
        <f>((8*$F$1*$H$11)/(3.1415))*(((AS43)^4-(AR43)^4)-(((AS43)^2-(AR43)^2)^2/(LN(AS43/AR43))))^-1</f>
        <v>2.6547488101360562E+19</v>
      </c>
      <c r="AU43">
        <f>(1/(2^AS40))*((1/AT43)+(1/AT44)+(1/AT45)+(1/AT46)+(1/AT47)+(1/AT48)+(1/AT49)+(1/AT50)+(1/AT51)+(1/AT52)+(1/AT53)+(1/AT54)+(1/AT55)+(1/AT56)+(1/AT57)+(1/AT58)+(1/AT59)+(1/AT60)+(1/AT61)+(1/AT62))^-1</f>
        <v>1.0345924190038462E+16</v>
      </c>
      <c r="AW43">
        <v>1</v>
      </c>
      <c r="AX43">
        <f>C1*(0.5)^(AY40/3.67)</f>
        <v>3.3105113655079629E-4</v>
      </c>
      <c r="AY43">
        <f>$AX$43+AW43*$H$2</f>
        <v>3.3115113655079629E-4</v>
      </c>
      <c r="AZ43">
        <f>((8*$F$1*$H$12)/(3.1415))*(((AY43)^4-(AX43)^4)-(((AY43)^2-(AX43)^2)^2/(LN(AY43/AX43))))^-1</f>
        <v>2.6547957531837633E+19</v>
      </c>
      <c r="BA43">
        <f>(1/(2^AY40))*((1/AZ43)+(1/AZ44)+(1/AZ45)+(1/AZ46)+(1/AZ47)+(1/AZ48)+(1/AZ49)+(1/AZ50)+(1/AZ51)+(1/AZ52)+(1/AZ53)+(1/AZ54)+(1/AZ55)+(1/AZ56)+(1/AZ57)+(1/AZ58)+(1/AZ59)+(1/AZ60)+(1/AZ61)+(1/AZ62))^-1</f>
        <v>5170262467016163</v>
      </c>
      <c r="BC43">
        <v>1</v>
      </c>
      <c r="BD43">
        <f>C1*(0.5)^(BE40/3.67)</f>
        <v>2.7407571846237757E-4</v>
      </c>
      <c r="BE43">
        <f>$BD$43+BC43*$H$2</f>
        <v>2.7417571846237757E-4</v>
      </c>
      <c r="BF43">
        <f>((8*$H$13*$F$1)/(3.1415))*(((BE43)^4-(BD43)^4)-(((BE43)^2-(BD43)^2)^2/(LN(BE43/BD43))))^-1</f>
        <v>2.6546855526969238E+19</v>
      </c>
      <c r="BG43">
        <f>(1/(2^BE40))*((1/BF43)+(1/BF44)+(1/BF45)+(1/BF46)+(1/BF47)+(1/BF48)+(1/BF49)+(1/BF50)+(1/BF51)+(1/BF52)+(1/BF53)+(1/BF54)+(1/BF55)+(1/BF56)+(1/BF57)+(1/BF58)+(1/BF59)+(1/BF60)+(1/BF61)+(1/BF62))^-1</f>
        <v>2583506208926976</v>
      </c>
      <c r="BI43">
        <v>1</v>
      </c>
      <c r="BJ43">
        <f>C1*(0.5)^(BK40/3.67)</f>
        <v>2.2690603099362113E-4</v>
      </c>
      <c r="BK43">
        <f>$BJ$43+BI43*$H$2</f>
        <v>2.2700603099362114E-4</v>
      </c>
      <c r="BL43">
        <f>((8*$F$1*$H$14)/(3.1415))*(((BK43)^4-(BJ43)^4)-(((BK43)^2-(BJ43)^2)^2/(LN(BK43/BJ43))))^-1</f>
        <v>2.6545698959631184E+19</v>
      </c>
      <c r="BM43">
        <f>(1/(2^BK40))*((1/BL43)+(1/BL44)+(1/BL45)+(1/BL46)+(1/BL47)+(1/BL48)+(1/BL49)+(1/BL50)+(1/BL51)+(1/BL52)+(1/BL53)+(1/BL54)+(1/BL55)+(1/BL56)+(1/BL57)+(1/BL58)+(1/BL59)+(1/BL60)+(1/BL61)+(1/BL62))^-1</f>
        <v>1290778231461474.5</v>
      </c>
      <c r="BO43">
        <v>1</v>
      </c>
      <c r="BP43">
        <f>C1*(0.5)^(BQ40/3.67)</f>
        <v>1.8785446295690618E-4</v>
      </c>
      <c r="BQ43">
        <f>$BP$43+BO43*$H$2</f>
        <v>1.8795446295690618E-4</v>
      </c>
      <c r="BR43">
        <f>((8*$F$1*$H$15)/(3.1415))*(((BQ43)^4-(BP43)^4)-(((BQ43)^2-(BP43)^2)^2/(LN(BQ43/BP43))))^-1</f>
        <v>2.6544574165011599E+19</v>
      </c>
      <c r="BS43">
        <f>(1/(2^BQ40))*((1/BR43)+(1/BR44)+(1/BR45)+(1/BR46)+(1/BR47)+(1/BR48)+(1/BR49)+(1/BR50)+(1/BR51)+(1/BR52)+(1/BR53)+(1/BR54)+(1/BR55)+(1/BR56)+(1/BR57)+(1/BR58)+(1/BR59)+(1/BR60)+(1/BR61)+(1/BR62))^-1</f>
        <v>724319778596940.38</v>
      </c>
      <c r="BU43">
        <v>1</v>
      </c>
      <c r="BV43">
        <f>C1*(0.5)^(BW40/3.67)</f>
        <v>1.5552384878575443E-4</v>
      </c>
      <c r="BW43">
        <f>$BV$43+BU43*$H$2</f>
        <v>1.5562384878575443E-4</v>
      </c>
      <c r="BX43">
        <f>((8*$F$1*$H$16)/(3.1415))*(((BW43)^4-(BV43)^4)-(((BW43)^2-(BV43)^2)^2/(LN(BW43/BV43))))^-1</f>
        <v>2.6543148549288653E+19</v>
      </c>
      <c r="BY43">
        <f>(1/(2^BW40))*((1/BX43)+(1/BX44)+(1/BX45)+(1/BX46)+(1/BX47)+(1/BX48)+(1/BX49)+(1/BX50)+(1/BX51)+(1/BX52)+(1/BX53)+(1/BX54)+(1/BX55)+(1/BX56)+(1/BX57)+(1/BX58)+(1/BX59)+(1/BX60)+(1/BX61))^-1</f>
        <v>339104144432722.19</v>
      </c>
      <c r="CA43">
        <v>1</v>
      </c>
      <c r="CB43">
        <f>C1*(0.5)^(CC40/3.67)</f>
        <v>1.2875748151207274E-4</v>
      </c>
      <c r="CC43">
        <f>$CB$43+CA43*$H$2</f>
        <v>1.2885748151207274E-4</v>
      </c>
      <c r="CD43">
        <f>((8*$H$1*$H$17)/(3.1415))*(((CC43)^4-(CB43)^4)-(((CC43)^2-(CB43)^2)^2/(LN(CC43/CB43))))^-1</f>
        <v>3.3983330767294497E+19</v>
      </c>
      <c r="CE43">
        <f>(1/(2^CC40))*((1/CD43)+(1/CD44)+(1/CD45)+(1/CD46)+(1/CD47)+(1/CD48)+(1/CD49)+(1/CD50)+(1/CD51)+(1/CD52)+(1/CD53)+(1/CD54)+(1/CD55)+(1/CD56)+(1/CD57)+(1/CD58)+(1/CD59)+(1/CD60))^-1</f>
        <v>228953151779137.81</v>
      </c>
      <c r="CG43">
        <v>1</v>
      </c>
      <c r="CH43">
        <f>C1*(0.5^(CI40/3.67))</f>
        <v>1.0659772873914562E-4</v>
      </c>
      <c r="CI43">
        <f>$CH$43+CG43*$H$2</f>
        <v>1.0669772873914562E-4</v>
      </c>
      <c r="CJ43">
        <f>((8*$H$1*$H$18)/(3.1415))*(((CI43)^4-(CH43)^4)-(((CI43)^2-(CH43)^2)^2/(LN(CI43/CH43))))^-1</f>
        <v>3.3980567103593103E+19</v>
      </c>
      <c r="CK43">
        <f>(1/(2^CI40))*((1/CJ43)+(1/CJ44)+(1/CJ45)+(1/CJ46)+(1/CJ47)+(1/CJ48)+(1/CJ49)+(1/CJ50)+(1/CJ51)+(1/CJ52)+(1/CJ53)+(1/CJ54)+(1/CJ55)+(1/CJ56)+(1/CJ57)+(1/CJ58)+(1/CJ59))^-1</f>
        <v>121092161803059.64</v>
      </c>
      <c r="CM43">
        <v>1</v>
      </c>
      <c r="CN43">
        <f>C1*(0.5^(CO40/3.67))</f>
        <v>8.8251770995373399E-5</v>
      </c>
      <c r="CO43">
        <f>$CN$43+CM43*$H$2</f>
        <v>8.8351770995373402E-5</v>
      </c>
      <c r="CP43">
        <f>((8*$H$1*$H$19)/(3.1415))*(((CO43)^4-(CN43)^4)-(((CO43)^2-(CN43)^2)^2/(LN(CO43/CN43))))^-1</f>
        <v>3.3977243516169413E+19</v>
      </c>
      <c r="CQ43">
        <f>(1/(2^CO40))*((1/CP43)+(1/CP44)+(1/CP45)+(1/CP46)+(1/CP47)+(1/CP48)+(1/CP49)+(1/CP50)+(1/CP51)+(1/CP52)+(1/CP53)+(1/CP54)+(1/CP55)+(1/CP56)+(1/CP57)+(1/CP58))^-1</f>
        <v>64260651237498.875</v>
      </c>
      <c r="CS43">
        <v>1</v>
      </c>
      <c r="CT43">
        <f>C1*(0.5)^(CU40/3.67)</f>
        <v>7.3063236674382636E-5</v>
      </c>
      <c r="CU43">
        <f>$CT$43+CS43*$H$2</f>
        <v>7.3163236674382638E-5</v>
      </c>
      <c r="CV43">
        <f>((8*$H$1*$H$20)/(3.1415))*(((CU43)^4-(CT43)^4)-(((CU43)^2-(CT43)^2)^2/(LN(CU43/CT43))))^-1</f>
        <v>3.3973249771840143E+19</v>
      </c>
      <c r="CW43">
        <f>(1/(2^CU40))*((1/CV43)+(1/CV44)+(1/CV45)+(1/CV46)+(1/CV47)+(1/CV48)+(1/CV49)+(1/CV50)+(1/CV51)+(1/CV52)+(1/CV53)+(1/CV54)+(1/CV55)+(1/CV56)+(1/CV57))^-1</f>
        <v>34231634531687.707</v>
      </c>
      <c r="CY43">
        <v>1</v>
      </c>
      <c r="CZ43">
        <f>C1*(0.5)^(DA40/3.67)</f>
        <v>6.0488718731964109E-5</v>
      </c>
      <c r="DA43">
        <f>$CZ$43+CY43*$H$2</f>
        <v>6.0588718731964112E-5</v>
      </c>
      <c r="DB43">
        <f>((8*$H$1*$H$21)/(3.1415))*(((DA43)^4-(CZ43)^4)-(((DA43)^2-(CZ43)^2)^2/(LN(DA43/CZ43))))^-1</f>
        <v>3.3968419539294597E+19</v>
      </c>
      <c r="DC43">
        <f>(1/(2^DA40))*((1/DB43)+(1/DB44)+(1/DB45)+(1/DB46)+(1/DB47)+(1/DB48)+(1/DB49)+(1/DB50)+(1/DB51)+(1/DB52)+(1/DB53)+(1/DB54)+(1/DB55)+(1/DB56))^-1</f>
        <v>18314675590579.5</v>
      </c>
      <c r="DE43">
        <v>1</v>
      </c>
      <c r="DF43">
        <f>C1*(0.5^(DG40/3.67))</f>
        <v>5.0078332967112314E-5</v>
      </c>
      <c r="DG43">
        <f>$DF$43+DE43*$H$2</f>
        <v>5.0178332967112317E-5</v>
      </c>
      <c r="DH43">
        <f>((8*$H$1*$H$22)/(3.1415))*(((DG43)^4-(DF43)^4)-(((DG43)^2-(DF43)^2)^2/(LN(DG43/DF43))))^-1</f>
        <v>3.3962587860350648E+19</v>
      </c>
      <c r="DI43">
        <f>(1/(2^DG40))*((1/DH43)+(1/DH44)+(1/DH45)+(1/DH46)+(1/DH47)+(1/DH48)+(1/DH49)+(1/DH50)+(1/DH51)+(1/DH52)+(1/DH53)+(1/DH54)+(1/DH55))^-1</f>
        <v>9848047961165.7793</v>
      </c>
      <c r="DK43">
        <v>1</v>
      </c>
      <c r="DL43">
        <f>C1*(0.5^(DM40/3.67))</f>
        <v>4.1459622312015488E-5</v>
      </c>
      <c r="DM43">
        <f>$DL$43+DK43*$H$2</f>
        <v>4.155962231201549E-5</v>
      </c>
      <c r="DN43">
        <f>((8*$H$1*$H$23)/(3.1415))*(((DM43)^4-(DL43)^4)-(((DM43)^2-(DL43)^2)^2/(LN(DM43/DL43))))^-1</f>
        <v>3.3955545815264702E+19</v>
      </c>
      <c r="DO43">
        <f>(1/(2^DM40))*((1/DN43)+(1/DN44)+(1/DN45)+(1/DN46)+(1/DN47)+(1/DN48)+(1/DN49)+(1/DN50)+(1/DN51)+(1/DN52)+(1/DN53)+(1/DN54))^-1</f>
        <v>5326512609468.2051</v>
      </c>
      <c r="DQ43">
        <v>1</v>
      </c>
      <c r="DR43">
        <f>C1*(0.5)^(DS40/3.67)</f>
        <v>3.4324231267518759E-5</v>
      </c>
      <c r="DS43">
        <f>$DR$43+DQ43*$H$2</f>
        <v>3.4424231267518761E-5</v>
      </c>
      <c r="DT43">
        <f>((8*$H$1*$H$24)/(3.1415))*(((DS43)^4-(DR43)^4)-(((DS43)^2-(DR43)^2)^2/(LN(DS43/DR43))))^-1</f>
        <v>3.3947042898671993E+19</v>
      </c>
      <c r="DU43">
        <f>(1/(2^DS40))*((1/DT43)+(1/DT44)+(1/DT45)+(1/DT46)+(1/DT47)+(1/DT48)+(1/DT49)+(1/DT50)+(1/DT51)+(1/DT52)+(1/DT53))^-1</f>
        <v>2900933062359.8218</v>
      </c>
      <c r="DW43">
        <v>1</v>
      </c>
      <c r="DX43">
        <f>C1*(0.5)^(DY40/3.67)</f>
        <v>2.841687372932655E-5</v>
      </c>
      <c r="DY43">
        <f>$DX$43+DW43*$H$2</f>
        <v>2.8516873729326549E-5</v>
      </c>
      <c r="DZ43">
        <f>((8*$F$1*$H$25)/(3.1415))*(((DY43)^4-(DX43)^4)-(((DY43)^2-(DX43)^2)^2/(LN(DY43/DX43))))^-1</f>
        <v>2.6505005694093263E+19</v>
      </c>
      <c r="EA43">
        <f>(1/(2^DY40))*((1/DZ43)+(1/DZ44)+(1/DZ45)+(1/DZ46)+(1/DZ47)+(1/DZ48)+(1/DZ49)+(1/DZ50)+(1/DZ51)+(1/DZ52))^-1</f>
        <v>1244189217867.123</v>
      </c>
      <c r="EC43">
        <v>1</v>
      </c>
      <c r="ED43">
        <f>C1*(0.5)^(EE40/3.67)</f>
        <v>2.3526199501885086E-5</v>
      </c>
      <c r="EE43">
        <f>$ED$43+EC43*$H$2</f>
        <v>2.3626199501885085E-5</v>
      </c>
      <c r="EF43">
        <f>((8*$F$1*$H$26)/(3.1415))*(((EE43)^4-(ED43)^4)-(((EE43)^2-(ED43)^2)^2/(LN(EE43/ED43))))^-1</f>
        <v>2.6495329154026529E+19</v>
      </c>
      <c r="EG43">
        <f>(1/(2^EE40))*((1/EF43)+(1/EF44)+(1/EF45)+(1/EF46)+(1/EF47)+(1/EF48)+(1/EF49)+(1/EF50)+(1/EF51))^-1</f>
        <v>690176809080.98682</v>
      </c>
      <c r="EI43">
        <v>1</v>
      </c>
      <c r="EJ43">
        <f>C1*(0.5)^(EK40/3.67)</f>
        <v>1.947723272709266E-5</v>
      </c>
      <c r="EK43">
        <f>$EJ$43+EI43*$H$2</f>
        <v>1.9577232727092659E-5</v>
      </c>
      <c r="EL43">
        <f>((8*$F$1*$H$27)/(3.1415))*(((EK43)^4-(EJ43)^4)-(((EK43)^2-(EJ43)^2)^2/(LN(EK43/EJ43))))^-1</f>
        <v>2.64836495041384E+19</v>
      </c>
      <c r="EM43">
        <f>(1/(2^EK40))*((1/EL43)+(1/EL44)+(1/EL45)+(1/EL46)+(1/EL47)+(1/EL48)+(1/EL49)+(1/EL50))^-1</f>
        <v>387688332353.0509</v>
      </c>
      <c r="EO43">
        <v>1</v>
      </c>
      <c r="EP43">
        <f>C1*(0.5)^(EQ40/3.67)</f>
        <v>1.6125111694089472E-5</v>
      </c>
      <c r="EQ43">
        <f>$EP$43+EO43*$H$2</f>
        <v>1.6225111694089471E-5</v>
      </c>
      <c r="ER43">
        <f>((8*$F$1*$H$28)/(3.1415))*(((EQ43)^4-(EP43)^4)-(((EQ43)^2-(EP43)^2)^2/(LN(EQ43/EP43))))^-1</f>
        <v>2.6469554809853379E+19</v>
      </c>
      <c r="ES43">
        <f>(1/(2^EQ40))*((1/ER43)+(1/ER44)+(1/ER45)+(1/ER46)+(1/ER47)+(1/ER48)+(1/ER49))^-1</f>
        <v>221282786664.19379</v>
      </c>
      <c r="EU43">
        <v>1</v>
      </c>
      <c r="EV43">
        <f>C1*(0.5)^(EW40/3.67)</f>
        <v>1.334990605647878E-5</v>
      </c>
      <c r="EW43">
        <f>$EV$43+EU43*$H$2</f>
        <v>1.3449906056478781E-5</v>
      </c>
      <c r="EX43">
        <f>((8*$F$1*$H$29)/(3.1415))*(((EW43)^4-(EV43)^4)-(((EW43)^2-(EV43)^2)^2/(LN(EW43/EV43))))^-1</f>
        <v>2.6452548711849075E+19</v>
      </c>
      <c r="EY43">
        <f>(1/(2^EW40))*((1/EX43)+(1/EX44)+(1/EX45)+(1/EX46)+(1/EX47)+(1/EX48))^-1</f>
        <v>128984785887.98361</v>
      </c>
      <c r="FA43">
        <v>1</v>
      </c>
      <c r="FB43">
        <f>C1*(0.5)^(FC40/3.67)</f>
        <v>1.1052326030221167E-5</v>
      </c>
      <c r="FC43">
        <f>$FB$43+FA43*$H$2</f>
        <v>1.1152326030221168E-5</v>
      </c>
      <c r="FD43">
        <f>((8*$F$1*$H$30)/(3.1415))*(((FC43)^4-(FB43)^4)-(((FC43)^2-(FB43)^2)^2/(LN(FC43/FB43))))^-1</f>
        <v>2.6432034610443502E+19</v>
      </c>
      <c r="FE43">
        <f>(1/(2^FC40))*((1/FD43)+(1/FD44)+(1/FD45)+(1/FD46)+(1/FD47))^-1</f>
        <v>77379669230.230316</v>
      </c>
      <c r="FG43">
        <v>1</v>
      </c>
      <c r="FH43">
        <f>C1*(0.5)^(FI40/3.67)</f>
        <v>9.1501700582396583E-6</v>
      </c>
      <c r="FI43">
        <f>$FH$43+FG43*$H$2</f>
        <v>9.2501700582396591E-6</v>
      </c>
      <c r="FJ43">
        <f>((8*$F$1*$H$31)/(3.1415))*(((FI43)^4-(FH43)^4)-(((FI43)^2-(FH43)^2)^2/(LN(FI43/FH43))))^-1</f>
        <v>2.640729553820699E+19</v>
      </c>
      <c r="FK43">
        <f>(1/(2^FI40))*((1/FJ43)+(1/FJ44)+(1/FJ45)+(1/FJ46))^-1</f>
        <v>48398335302.485847</v>
      </c>
      <c r="FM43">
        <v>1</v>
      </c>
      <c r="FN43">
        <f>C1*(0.5)^(FO40/3.67)</f>
        <v>7.5753838482296478E-6</v>
      </c>
      <c r="FO43">
        <f>$FN$43+FM43*$H$2</f>
        <v>7.6753838482296485E-6</v>
      </c>
      <c r="FP43">
        <f>((8*$F$1*$H$32)/(3.1415))*(((FO43)^4-(FN43)^4)-(((FO43)^2-(FN43)^2)^2/(LN(FO43/FN43))))^-1</f>
        <v>2.6377471295223779E+19</v>
      </c>
      <c r="FQ43">
        <f>(1/(2^FO40))*((1/FP43)+(1/FP44)+(1/FP45))^-1</f>
        <v>32330595248.396309</v>
      </c>
      <c r="FS43">
        <v>1</v>
      </c>
      <c r="FT43">
        <f>C1*(0.5)^(FU40/3.67)</f>
        <v>6.2716255635426778E-6</v>
      </c>
      <c r="FU43">
        <f>$FT$43+FS43*$H$2</f>
        <v>6.3716255635426777E-6</v>
      </c>
      <c r="FV43">
        <f>((8*$F$1*$H$33)/(3.1415))*(((FU43)^4-(FT43)^4)-(((FU43)^2-(FT43)^2)^2/(LN(FU43/FT43))))^-1</f>
        <v>2.6341530953898512E+19</v>
      </c>
      <c r="FW43">
        <f>(1/(2^FU40))*((1/FV43)+1/(FV44))^-1</f>
        <v>24339950637.31218</v>
      </c>
      <c r="FY43">
        <v>1</v>
      </c>
      <c r="FZ43">
        <f>C1*(0.5)^(GA40/3.67)</f>
        <v>5.192250055879886E-6</v>
      </c>
      <c r="GA43">
        <f>$FZ$43+FY43*$H$2</f>
        <v>5.2922500558798859E-6</v>
      </c>
      <c r="GB43">
        <f>((8*$F$1*$H$34)/(3.1415))*(((GA43)^4-(FZ43)^4)-(((GA43)^2-(FZ43)^2)^2/(LN(GA43/FZ43))))^-1</f>
        <v>2.6298241132754555E+19</v>
      </c>
      <c r="GC43">
        <f>(1/(2^GA40))*((1/GB43))^-1</f>
        <v>24492145639.61565</v>
      </c>
    </row>
    <row r="44" spans="1:185" x14ac:dyDescent="0.35">
      <c r="A44">
        <f>A43+1</f>
        <v>2</v>
      </c>
      <c r="B44">
        <f>C43</f>
        <v>1.5001000000000001E-3</v>
      </c>
      <c r="C44">
        <f t="shared" ref="C44:C62" si="13">$B$43+A44*$H$2</f>
        <v>1.5001999999999999E-3</v>
      </c>
      <c r="D44">
        <f t="shared" ref="D44:D62" si="14">((8*$F$1*$H$4)/(3.1415))*(((C44)^4-(B44)^4)-(((C44)^2-(B44)^2)^2/(LN(C44/B44))))^-1</f>
        <v>4.5101544689031758E+19</v>
      </c>
      <c r="G44">
        <f>G43+1</f>
        <v>2</v>
      </c>
      <c r="H44">
        <f>I43</f>
        <v>1.2419431242282882E-3</v>
      </c>
      <c r="I44">
        <f t="shared" ref="I44:I62" si="15">$H$43+G44*$H$2</f>
        <v>1.242043124228288E-3</v>
      </c>
      <c r="J44">
        <f t="shared" ref="J44:J62" si="16">((8*$F$1*$H$5)/(3.1415))*(((I44)^4-(H44)^4)-(((I44)^2-(H44)^2)^2/(LN(I44/H44))))^-1</f>
        <v>2.6547048190287548E+19</v>
      </c>
      <c r="M44">
        <f>M43+1</f>
        <v>2</v>
      </c>
      <c r="N44">
        <f>O43</f>
        <v>1.0282162301287168E-3</v>
      </c>
      <c r="O44">
        <f t="shared" ref="O44:O62" si="17">$N$43+M44*$H$2</f>
        <v>1.0283162301287167E-3</v>
      </c>
      <c r="P44">
        <f t="shared" ref="P44:P62" si="18">((8*$H$1*$H$6)/(3.1415))*(((O44)^4-(N44)^4)-(((O44)^2-(N44)^2)^2/(LN(O44/N44))))^-1</f>
        <v>3.400423406995338E+19</v>
      </c>
      <c r="S44">
        <f>S43+1</f>
        <v>2</v>
      </c>
      <c r="T44">
        <f>U43</f>
        <v>8.5127271419523684E-4</v>
      </c>
      <c r="U44">
        <f t="shared" ref="U44:U62" si="19">$T$43+S44*$H$2</f>
        <v>8.5137271419523689E-4</v>
      </c>
      <c r="V44">
        <f t="shared" ref="V44:V62" si="20">((8*$F$1*$H$7)/(3.1415))*(((U44)^4-(T44)^4)-(((U44)^2-(T44)^2)^2/(LN(U44/T44))))^-1</f>
        <v>2.6545638776099721E+19</v>
      </c>
      <c r="Y44">
        <f>Y43+1</f>
        <v>2</v>
      </c>
      <c r="Z44">
        <f>AA43</f>
        <v>7.0478198843605634E-4</v>
      </c>
      <c r="AA44">
        <f t="shared" ref="AA44:AA62" si="21">$Z$43+Y44*$H$2</f>
        <v>7.048819884360564E-4</v>
      </c>
      <c r="AB44">
        <f t="shared" ref="AB44:AB62" si="22">((8*$F$1*$H$8)/(3.1415))*(((AA44)^4-(Z44)^4)-(((AA44)^2-(Z44)^2)^2/(LN(AA44/Z44))))^-1</f>
        <v>2.6544727924269646E+19</v>
      </c>
      <c r="AE44">
        <f>AE43+1</f>
        <v>2</v>
      </c>
      <c r="AF44">
        <f>AG43</f>
        <v>5.83502988071223E-4</v>
      </c>
      <c r="AG44">
        <f t="shared" ref="AG44:AG62" si="23">$AF$43+AE44*$H$2</f>
        <v>5.8360298807122305E-4</v>
      </c>
      <c r="AH44">
        <f t="shared" ref="AH44:AH62" si="24">((8*$F$1*$H$9)/(3.1415))*(((AG44)^4-(AF44)^4)-(((AG44)^2-(AF44)^2)^2/(LN(AG44/AF44))))^-1</f>
        <v>2.6544828006803853E+19</v>
      </c>
      <c r="AK44">
        <f>AK43+1</f>
        <v>2</v>
      </c>
      <c r="AL44">
        <f>AM43</f>
        <v>4.8309665959365766E-4</v>
      </c>
      <c r="AM44">
        <f t="shared" ref="AM44:AM62" si="25">$AL$43+AK44*$H$2</f>
        <v>4.8319665959365766E-4</v>
      </c>
      <c r="AN44">
        <f t="shared" ref="AN44:AN62" si="26">((8*$F$1*$H$10)/(3.1415))*(((AM44)^4-(AL44)^4)-(((AM44)^2-(AL44)^2)^2/(LN(AM44/AL44))))^-1</f>
        <v>2.6543198377584407E+19</v>
      </c>
      <c r="AQ44">
        <f>AQ43+1</f>
        <v>2</v>
      </c>
      <c r="AR44">
        <f>AS43</f>
        <v>3.9997072049440988E-4</v>
      </c>
      <c r="AS44">
        <f t="shared" ref="AS44:AS62" si="27">$AR$43+AQ44*$H$2</f>
        <v>4.0007072049440988E-4</v>
      </c>
      <c r="AT44">
        <f t="shared" ref="AT44:AT62" si="28">((8*$F$1*$H$11)/(3.1415))*(((AS44)^4-(AR44)^4)-(((AS44)^2-(AR44)^2)^2/(LN(AS44/AR44))))^-1</f>
        <v>2.6542088046194037E+19</v>
      </c>
      <c r="AW44">
        <f>AW43+1</f>
        <v>2</v>
      </c>
      <c r="AX44">
        <f>AY43</f>
        <v>3.3115113655079629E-4</v>
      </c>
      <c r="AY44">
        <f t="shared" ref="AY44:AY62" si="29">$AX$43+AW44*$H$2</f>
        <v>3.312511365507963E-4</v>
      </c>
      <c r="AZ44">
        <f t="shared" ref="AZ44:AZ62" si="30">((8*$F$1*$H$12)/(3.1415))*(((AY44)^4-(AX44)^4)-(((AY44)^2-(AX44)^2)^2/(LN(AY44/AX44))))^-1</f>
        <v>2.6539644192125125E+19</v>
      </c>
      <c r="BC44">
        <f>BC43+1</f>
        <v>2</v>
      </c>
      <c r="BD44">
        <f>BE43</f>
        <v>2.7417571846237757E-4</v>
      </c>
      <c r="BE44">
        <f t="shared" ref="BE44:BE62" si="31">$BD$43+BC44*$H$2</f>
        <v>2.7427571846237758E-4</v>
      </c>
      <c r="BF44">
        <f t="shared" ref="BF44:BF62" si="32">((8*$H$13*$F$1)/(3.1415))*(((BE44)^4-(BD44)^4)-(((BE44)^2-(BD44)^2)^2/(LN(BE44/BD44))))^-1</f>
        <v>2.653714457660117E+19</v>
      </c>
      <c r="BI44">
        <f>BI43+1</f>
        <v>2</v>
      </c>
      <c r="BJ44">
        <f>BK43</f>
        <v>2.2700603099362114E-4</v>
      </c>
      <c r="BK44">
        <f t="shared" ref="BK44:BK62" si="33">$BJ$43+BI44*$H$2</f>
        <v>2.2710603099362114E-4</v>
      </c>
      <c r="BL44">
        <f t="shared" ref="BL44:BL62" si="34">((8*$F$1*$H$14)/(3.1415))*(((BK44)^4-(BJ44)^4)-(((BK44)^2-(BJ44)^2)^2/(LN(BK44/BJ44))))^-1</f>
        <v>2.6534111226800656E+19</v>
      </c>
      <c r="BO44">
        <f>BO43+1</f>
        <v>2</v>
      </c>
      <c r="BP44">
        <f>BQ43</f>
        <v>1.8795446295690618E-4</v>
      </c>
      <c r="BQ44">
        <f t="shared" ref="BQ44:BQ61" si="35">$BP$43+BO44*$H$2</f>
        <v>1.8805446295690618E-4</v>
      </c>
      <c r="BR44">
        <f t="shared" ref="BR44:BR52" si="36">((8*$F$1*$H$15)/(3.1415))*(((BQ44)^4-(BP44)^4)-(((BQ44)^2-(BP44)^2)^2/(LN(BQ44/BP44))))^-1</f>
        <v>2.6530473033349968E+19</v>
      </c>
      <c r="BU44">
        <f>BU43+1</f>
        <v>2</v>
      </c>
      <c r="BV44">
        <f>BW43</f>
        <v>1.5562384878575443E-4</v>
      </c>
      <c r="BW44">
        <f t="shared" ref="BW44:BW60" si="37">$BV$43+BU44*$H$2</f>
        <v>1.5572384878575444E-4</v>
      </c>
      <c r="BX44">
        <f t="shared" ref="BX44:BX51" si="38">((8*$F$1*$H$16)/(3.1415))*(((BW44)^4-(BV44)^4)-(((BW44)^2-(BV44)^2)^2/(LN(BW44/BV44))))^-1</f>
        <v>2.6526024897753272E+19</v>
      </c>
      <c r="CA44">
        <f>CA43+1</f>
        <v>2</v>
      </c>
      <c r="CB44">
        <f>CC43</f>
        <v>1.2885748151207274E-4</v>
      </c>
      <c r="CC44">
        <f t="shared" ref="CC44:CC57" si="39">$CB$43+CA44*$H$2</f>
        <v>1.2895748151207275E-4</v>
      </c>
      <c r="CD44">
        <f t="shared" ref="CD44:CD57" si="40">((8*$H$1*$H$17)/(3.1415))*(((CC44)^4-(CB44)^4)-(((CC44)^2-(CB44)^2)^2/(LN(CC44/CB44))))^-1</f>
        <v>3.3956930510571151E+19</v>
      </c>
      <c r="CG44">
        <f>CG43+1</f>
        <v>2</v>
      </c>
      <c r="CH44">
        <f>CI43</f>
        <v>1.0669772873914562E-4</v>
      </c>
      <c r="CI44">
        <f t="shared" ref="CI44:CI56" si="41">$CH$43+CG44*$H$2</f>
        <v>1.0679772873914562E-4</v>
      </c>
      <c r="CJ44">
        <f t="shared" ref="CJ44:CJ56" si="42">((8*$H$1*$H$18)/(3.1415))*(((CI44)^4-(CH44)^4)-(((CI44)^2-(CH44)^2)^2/(LN(CI44/CH44))))^-1</f>
        <v>3.3948712123391353E+19</v>
      </c>
      <c r="CM44">
        <f>CM43+1</f>
        <v>2</v>
      </c>
      <c r="CN44">
        <f>CO43</f>
        <v>8.8351770995373402E-5</v>
      </c>
      <c r="CO44">
        <f t="shared" ref="CO44:CO55" si="43">$CN$43+CM44*$H$2</f>
        <v>8.8451770995373404E-5</v>
      </c>
      <c r="CP44">
        <f t="shared" ref="CP44:CP55" si="44">((8*$H$1*$H$19)/(3.1415))*(((CO44)^4-(CN44)^4)-(((CO44)^2-(CN44)^2)^2/(LN(CO44/CN44))))^-1</f>
        <v>3.3938809424496923E+19</v>
      </c>
      <c r="CS44">
        <f>CS43+1</f>
        <v>2</v>
      </c>
      <c r="CT44">
        <f>CU43</f>
        <v>7.3163236674382638E-5</v>
      </c>
      <c r="CU44">
        <f t="shared" ref="CU44:CU54" si="45">$CT$43+CS44*$H$2</f>
        <v>7.326323667438264E-5</v>
      </c>
      <c r="CV44">
        <f t="shared" ref="CV44:CV54" si="46">((8*$H$1*$H$20)/(3.1415))*(((CU44)^4-(CT44)^4)-(((CU44)^2-(CT44)^2)^2/(LN(CU44/CT44))))^-1</f>
        <v>3.3926844769557623E+19</v>
      </c>
      <c r="CY44">
        <f>CY43+1</f>
        <v>2</v>
      </c>
      <c r="CZ44">
        <f>DA43</f>
        <v>6.0588718731964112E-5</v>
      </c>
      <c r="DA44">
        <f t="shared" ref="DA44:DA53" si="47">$CZ$43+CY44*$H$2</f>
        <v>6.0688718731964107E-5</v>
      </c>
      <c r="DB44">
        <f t="shared" ref="DB44:DB53" si="48">((8*$H$1*$H$21)/(3.1415))*(((DA44)^4-(CZ44)^4)-(((DA44)^2-(CZ44)^2)^2/(LN(DA44/CZ44))))^-1</f>
        <v>3.3912399915025015E+19</v>
      </c>
      <c r="DE44">
        <f>DE43+1</f>
        <v>2</v>
      </c>
      <c r="DF44">
        <f>DG43</f>
        <v>5.0178332967112317E-5</v>
      </c>
      <c r="DG44">
        <f t="shared" ref="DG44:DG52" si="49">$DF$43+DE44*$H$2</f>
        <v>5.0278332967112312E-5</v>
      </c>
      <c r="DH44">
        <f t="shared" ref="DH44:DH52" si="50">((8*$H$1*$H$22)/(3.1415))*(((DG44)^4-(DF44)^4)-(((DG44)^2-(DF44)^2)^2/(LN(DG44/DF44))))^-1</f>
        <v>3.3894969655362789E+19</v>
      </c>
      <c r="DK44">
        <f>DK43+1</f>
        <v>2</v>
      </c>
      <c r="DL44">
        <f>DM43</f>
        <v>4.155962231201549E-5</v>
      </c>
      <c r="DM44">
        <f t="shared" ref="DM44:DM50" si="51">$DL$43+DK44*$H$2</f>
        <v>4.1659622312015486E-5</v>
      </c>
      <c r="DN44">
        <f t="shared" ref="DN44:DN51" si="52">((8*$H$1*$H$23)/(3.1415))*(((DM44)^4-(DL44)^4)-(((DM44)^2-(DL44)^2)^2/(LN(DM44/DL44))))^-1</f>
        <v>3.3873939524461584E+19</v>
      </c>
      <c r="DQ44">
        <f>DQ43+1</f>
        <v>2</v>
      </c>
      <c r="DR44">
        <f>DS43</f>
        <v>3.4424231267518761E-5</v>
      </c>
      <c r="DS44">
        <f t="shared" ref="DS44:DS50" si="53">$DR$43+DQ44*$H$2</f>
        <v>3.4524231267518757E-5</v>
      </c>
      <c r="DT44">
        <f>((8*$H$1*$H$24)/(3.1415))*(((DS44)^4-(DR44)^4)-(((DS44)^2-(DR44)^2)^2/(LN(DS44/DR44))))^-1</f>
        <v>3.3848572731233505E+19</v>
      </c>
      <c r="DW44">
        <v>2</v>
      </c>
      <c r="DX44">
        <f>DY43</f>
        <v>2.8516873729326549E-5</v>
      </c>
      <c r="DY44">
        <f t="shared" ref="DY44:DY49" si="54">$DX$43+DW44*$H$2</f>
        <v>2.8616873729326552E-5</v>
      </c>
      <c r="DZ44">
        <f t="shared" ref="DZ44:DZ49" si="55">((8*$F$1*$H$25)/(3.1415))*(((DY44)^4-(DX44)^4)-(((DY44)^2-(DX44)^2)^2/(LN(DY44/DX44))))^-1</f>
        <v>2.6412223453098893E+19</v>
      </c>
      <c r="EC44">
        <v>2</v>
      </c>
      <c r="ED44">
        <f>EE43</f>
        <v>2.3626199501885085E-5</v>
      </c>
      <c r="EE44">
        <f t="shared" ref="EE44:EE48" si="56">$ED$43+EC44*$H$2</f>
        <v>2.3726199501885087E-5</v>
      </c>
      <c r="EF44">
        <f t="shared" ref="EF44:EF48" si="57">((8*$F$1*$H$26)/(3.1415))*(((EE44)^4-(ED44)^4)-(((EE44)^2-(ED44)^2)^2/(LN(EE44/ED44))))^-1</f>
        <v>2.6383422066207814E+19</v>
      </c>
      <c r="EI44">
        <v>2</v>
      </c>
      <c r="EJ44">
        <f>EK43</f>
        <v>1.9577232727092659E-5</v>
      </c>
      <c r="EK44">
        <f t="shared" ref="EK44:EK47" si="58">$EJ$43+EI44*$H$2</f>
        <v>1.9677232727092661E-5</v>
      </c>
      <c r="EL44">
        <f t="shared" ref="EL44:EL47" si="59">((8*$F$1*$H$27)/(3.1415))*(((EK44)^4-(EJ44)^4)-(((EK44)^2-(EJ44)^2)^2/(LN(EK44/EJ44))))^-1</f>
        <v>2.6348716434680599E+19</v>
      </c>
      <c r="EO44">
        <v>2</v>
      </c>
      <c r="EP44">
        <f>EQ43</f>
        <v>1.6225111694089471E-5</v>
      </c>
      <c r="EQ44">
        <f t="shared" ref="EQ44:EQ46" si="60">$EP$43+EO44*$H$2</f>
        <v>1.6325111694089474E-5</v>
      </c>
      <c r="ER44">
        <f>((8*$F$1*$H$28)/(3.1415))*(((EQ44)^4-(EP44)^4)-(((EQ44)^2-(EP44)^2)^2/(LN(EQ44/EP44))))^-1</f>
        <v>2.630691680961237E+19</v>
      </c>
      <c r="EU44">
        <v>2</v>
      </c>
      <c r="EV44">
        <f>EW43</f>
        <v>1.3449906056478781E-5</v>
      </c>
      <c r="EW44">
        <f t="shared" ref="EW44:EW45" si="61">$EV$43+EU44*$H$2</f>
        <v>1.354990605647878E-5</v>
      </c>
      <c r="EX44">
        <f t="shared" ref="EX44:EX45" si="62">((8*$F$1*$H$29)/(3.1415))*(((EW44)^4-(EV44)^4)-(((EW44)^2-(EV44)^2)^2/(LN(EW44/EV44))))^-1</f>
        <v>2.6256602950889042E+19</v>
      </c>
      <c r="FA44">
        <v>2</v>
      </c>
      <c r="FB44">
        <f>FC43</f>
        <v>1.1152326030221168E-5</v>
      </c>
      <c r="FC44">
        <f>$FB$43+FA44*$H$2</f>
        <v>1.1252326030221167E-5</v>
      </c>
      <c r="FD44">
        <f>((8*$F$1*$H$30)/(3.1415))*(((FC44)^4-(FB44)^4)-(((FC44)^2-(FB44)^2)^2/(LN(FC44/FB44))))^-1</f>
        <v>2.6196083944238252E+19</v>
      </c>
      <c r="FG44">
        <v>2</v>
      </c>
      <c r="FH44">
        <f>FI43</f>
        <v>9.2501700582396591E-6</v>
      </c>
      <c r="FI44">
        <f>$FH$43+FG44*$H$2</f>
        <v>9.3501700582396581E-6</v>
      </c>
      <c r="FJ44">
        <f t="shared" ref="FJ44:FJ45" si="63">((8*$F$1*$H$31)/(3.1415))*(((FI44)^4-(FH44)^4)-(((FI44)^2-(FH44)^2)^2/(LN(FI44/FH44))))^-1</f>
        <v>2.612335242350934E+19</v>
      </c>
      <c r="FM44">
        <v>2</v>
      </c>
      <c r="FN44">
        <f>FO43</f>
        <v>7.6753838482296485E-6</v>
      </c>
      <c r="FO44">
        <f>$FN$43+FM44*$H$2</f>
        <v>7.7753838482296476E-6</v>
      </c>
      <c r="FP44">
        <f>((8*$F$1*$H$32)/(3.1415))*(((FO44)^4-(FN44)^4)-(((FO44)^2-(FN44)^2)^2/(LN(FO44/FN44))))^-1</f>
        <v>2.6036034244450279E+19</v>
      </c>
      <c r="FS44">
        <v>2</v>
      </c>
      <c r="FT44">
        <f>FU43</f>
        <v>6.3716255635426777E-6</v>
      </c>
      <c r="FU44">
        <f>$FT$43+FS44*$H$2</f>
        <v>6.4716255635426776E-6</v>
      </c>
      <c r="FV44">
        <f>((8*$F$1*$H$33)/(3.1415))*(((FU44)^4-(FT44)^4)-(((FU44)^2-(FT44)^2)^2/(LN(FU44/FT44))))^-1</f>
        <v>2.5931333941732631E+19</v>
      </c>
    </row>
    <row r="45" spans="1:185" x14ac:dyDescent="0.35">
      <c r="A45">
        <f t="shared" ref="A45:A61" si="64">A44+1</f>
        <v>3</v>
      </c>
      <c r="B45">
        <f t="shared" ref="B45:B62" si="65">C44</f>
        <v>1.5001999999999999E-3</v>
      </c>
      <c r="C45">
        <f t="shared" si="13"/>
        <v>1.5003E-3</v>
      </c>
      <c r="D45">
        <f t="shared" si="14"/>
        <v>4.5177064159924077E+19</v>
      </c>
      <c r="G45">
        <f t="shared" ref="G45:G59" si="66">G44+1</f>
        <v>3</v>
      </c>
      <c r="H45">
        <f t="shared" ref="H45:H62" si="67">I44</f>
        <v>1.242043124228288E-3</v>
      </c>
      <c r="I45">
        <f t="shared" si="15"/>
        <v>1.2421431242282881E-3</v>
      </c>
      <c r="J45">
        <f t="shared" si="16"/>
        <v>2.6535790568856982E+19</v>
      </c>
      <c r="M45">
        <f t="shared" ref="M45:M59" si="68">M44+1</f>
        <v>3</v>
      </c>
      <c r="N45">
        <f t="shared" ref="N45:N62" si="69">O44</f>
        <v>1.0283162301287167E-3</v>
      </c>
      <c r="O45">
        <f t="shared" si="17"/>
        <v>1.0284162301287167E-3</v>
      </c>
      <c r="P45">
        <f t="shared" si="18"/>
        <v>3.400576570464555E+19</v>
      </c>
      <c r="S45">
        <f t="shared" ref="S45:S59" si="70">S44+1</f>
        <v>3</v>
      </c>
      <c r="T45">
        <f t="shared" ref="T45:T62" si="71">U44</f>
        <v>8.5137271419523689E-4</v>
      </c>
      <c r="U45">
        <f t="shared" si="19"/>
        <v>8.5147271419523684E-4</v>
      </c>
      <c r="V45">
        <f t="shared" si="20"/>
        <v>2.6544427057420075E+19</v>
      </c>
      <c r="Y45">
        <f t="shared" ref="Y45:Y59" si="72">Y44+1</f>
        <v>3</v>
      </c>
      <c r="Z45">
        <f t="shared" ref="Z45:Z62" si="73">AA44</f>
        <v>7.048819884360564E-4</v>
      </c>
      <c r="AA45">
        <f t="shared" si="21"/>
        <v>7.0498198843605634E-4</v>
      </c>
      <c r="AB45">
        <f t="shared" si="22"/>
        <v>2.6545298885773119E+19</v>
      </c>
      <c r="AE45">
        <f t="shared" ref="AE45:AE62" si="74">AE44+1</f>
        <v>3</v>
      </c>
      <c r="AF45">
        <f t="shared" ref="AF45:AF62" si="75">AG44</f>
        <v>5.8360298807122305E-4</v>
      </c>
      <c r="AG45">
        <f t="shared" si="23"/>
        <v>5.83702988071223E-4</v>
      </c>
      <c r="AH45">
        <f t="shared" si="24"/>
        <v>2.6541027096027877E+19</v>
      </c>
      <c r="AK45">
        <f t="shared" ref="AK45:AK62" si="76">AK44+1</f>
        <v>3</v>
      </c>
      <c r="AL45">
        <f t="shared" ref="AL45:AL62" si="77">AM44</f>
        <v>4.8319665959365766E-4</v>
      </c>
      <c r="AM45">
        <f t="shared" si="25"/>
        <v>4.8329665959365766E-4</v>
      </c>
      <c r="AN45">
        <f t="shared" si="26"/>
        <v>2.6538246806341493E+19</v>
      </c>
      <c r="AQ45">
        <f t="shared" ref="AQ45:AQ62" si="78">AQ44+1</f>
        <v>3</v>
      </c>
      <c r="AR45">
        <f t="shared" ref="AR45:AR62" si="79">AS44</f>
        <v>4.0007072049440988E-4</v>
      </c>
      <c r="AS45">
        <f t="shared" si="27"/>
        <v>4.0017072049440989E-4</v>
      </c>
      <c r="AT45">
        <f t="shared" si="28"/>
        <v>2.6535870282804851E+19</v>
      </c>
      <c r="AW45">
        <f t="shared" ref="AW45:AW62" si="80">AW44+1</f>
        <v>3</v>
      </c>
      <c r="AX45">
        <f t="shared" ref="AX45:AX62" si="81">AY44</f>
        <v>3.312511365507963E-4</v>
      </c>
      <c r="AY45">
        <f t="shared" si="29"/>
        <v>3.313511365507963E-4</v>
      </c>
      <c r="AZ45">
        <f t="shared" si="30"/>
        <v>2.6531386768639402E+19</v>
      </c>
      <c r="BC45">
        <f t="shared" ref="BC45:BC62" si="82">BC44+1</f>
        <v>3</v>
      </c>
      <c r="BD45">
        <f t="shared" ref="BD45:BD62" si="83">BE44</f>
        <v>2.7427571846237758E-4</v>
      </c>
      <c r="BE45">
        <f t="shared" si="31"/>
        <v>2.7437571846237758E-4</v>
      </c>
      <c r="BF45">
        <f t="shared" si="32"/>
        <v>2.6527253224782819E+19</v>
      </c>
      <c r="BI45">
        <f t="shared" ref="BI45:BI62" si="84">BI44+1</f>
        <v>3</v>
      </c>
      <c r="BJ45">
        <f t="shared" ref="BJ45:BJ62" si="85">BK44</f>
        <v>2.2710603099362114E-4</v>
      </c>
      <c r="BK45">
        <f t="shared" si="33"/>
        <v>2.2720603099362114E-4</v>
      </c>
      <c r="BL45">
        <f t="shared" si="34"/>
        <v>2.6522341950148039E+19</v>
      </c>
      <c r="BO45">
        <f t="shared" ref="BO45:BO61" si="86">BO44+1</f>
        <v>3</v>
      </c>
      <c r="BP45">
        <f t="shared" ref="BP45:BP61" si="87">BQ44</f>
        <v>1.8805446295690618E-4</v>
      </c>
      <c r="BQ45">
        <f t="shared" si="35"/>
        <v>1.8815446295690618E-4</v>
      </c>
      <c r="BR45">
        <f t="shared" si="36"/>
        <v>2.6516411594792399E+19</v>
      </c>
      <c r="BU45">
        <f t="shared" ref="BU45:BU60" si="88">BU44+1</f>
        <v>3</v>
      </c>
      <c r="BV45">
        <f t="shared" ref="BV45:BV60" si="89">BW44</f>
        <v>1.5572384878575444E-4</v>
      </c>
      <c r="BW45">
        <f t="shared" si="37"/>
        <v>1.5582384878575444E-4</v>
      </c>
      <c r="BX45">
        <f t="shared" si="38"/>
        <v>2.650901014572827E+19</v>
      </c>
      <c r="CA45">
        <f t="shared" ref="CA45:CA59" si="90">CA44+1</f>
        <v>3</v>
      </c>
      <c r="CB45">
        <f t="shared" ref="CB45:CB57" si="91">CC44</f>
        <v>1.2895748151207275E-4</v>
      </c>
      <c r="CC45">
        <f t="shared" si="39"/>
        <v>1.2905748151207275E-4</v>
      </c>
      <c r="CD45">
        <f t="shared" si="40"/>
        <v>3.3930607350771466E+19</v>
      </c>
      <c r="CG45">
        <f t="shared" ref="CG45:CG58" si="92">CG44+1</f>
        <v>3</v>
      </c>
      <c r="CH45">
        <f t="shared" ref="CH45:CH56" si="93">CI44</f>
        <v>1.0679772873914562E-4</v>
      </c>
      <c r="CI45">
        <f t="shared" si="41"/>
        <v>1.0689772873914561E-4</v>
      </c>
      <c r="CJ45">
        <f t="shared" si="42"/>
        <v>3.3916942099014492E+19</v>
      </c>
      <c r="CM45">
        <f t="shared" ref="CM45:CM57" si="94">CM44+1</f>
        <v>3</v>
      </c>
      <c r="CN45">
        <f t="shared" ref="CN45:CN55" si="95">CO44</f>
        <v>8.8451770995373404E-5</v>
      </c>
      <c r="CO45">
        <f t="shared" si="43"/>
        <v>8.8551770995373393E-5</v>
      </c>
      <c r="CP45">
        <f t="shared" si="44"/>
        <v>3.3900458271132819E+19</v>
      </c>
      <c r="CS45">
        <f t="shared" ref="CS45:CS56" si="96">CS44+1</f>
        <v>3</v>
      </c>
      <c r="CT45">
        <f t="shared" ref="CT45:CT54" si="97">CU44</f>
        <v>7.326323667438264E-5</v>
      </c>
      <c r="CU45">
        <f t="shared" si="45"/>
        <v>7.3363236674382629E-5</v>
      </c>
      <c r="CV45">
        <f t="shared" si="46"/>
        <v>3.3880567626065138E+19</v>
      </c>
      <c r="CY45">
        <f t="shared" ref="CY45:CY55" si="98">CY44+1</f>
        <v>3</v>
      </c>
      <c r="CZ45">
        <f t="shared" ref="CZ45:CZ53" si="99">DA44</f>
        <v>6.0688718731964107E-5</v>
      </c>
      <c r="DA45">
        <f t="shared" si="47"/>
        <v>6.078871873196411E-5</v>
      </c>
      <c r="DB45">
        <f t="shared" si="48"/>
        <v>3.3856565940630712E+19</v>
      </c>
      <c r="DE45">
        <f t="shared" ref="DE45:DE54" si="100">DE44+1</f>
        <v>3</v>
      </c>
      <c r="DF45">
        <f t="shared" ref="DF45:DF52" si="101">DG44</f>
        <v>5.0278332967112312E-5</v>
      </c>
      <c r="DG45">
        <f t="shared" si="49"/>
        <v>5.0378332967112315E-5</v>
      </c>
      <c r="DH45">
        <f t="shared" si="50"/>
        <v>3.3827620663429194E+19</v>
      </c>
      <c r="DK45">
        <f t="shared" ref="DK45:DK53" si="102">DK44+1</f>
        <v>3</v>
      </c>
      <c r="DL45">
        <f t="shared" ref="DL45:DL51" si="103">DM44</f>
        <v>4.1659622312015486E-5</v>
      </c>
      <c r="DM45">
        <f t="shared" si="51"/>
        <v>4.1759622312015488E-5</v>
      </c>
      <c r="DN45">
        <f t="shared" si="52"/>
        <v>3.3792725969079411E+19</v>
      </c>
      <c r="DQ45">
        <f t="shared" ref="DQ45:DQ52" si="104">DQ44+1</f>
        <v>3</v>
      </c>
      <c r="DR45">
        <f t="shared" ref="DR45:DR50" si="105">DS44</f>
        <v>3.4524231267518757E-5</v>
      </c>
      <c r="DS45">
        <f t="shared" si="53"/>
        <v>3.4624231267518759E-5</v>
      </c>
      <c r="DT45">
        <f t="shared" ref="DT45:DT50" si="106">((8*$H$1*$H$24)/(3.1415))*(((DS45)^4-(DR45)^4)-(((DS45)^2-(DR45)^2)^2/(LN(DS45/DR45))))^-1</f>
        <v>3.3750671471214244E+19</v>
      </c>
      <c r="DW45">
        <v>3</v>
      </c>
      <c r="DX45">
        <f t="shared" ref="DX45:DX49" si="107">DY44</f>
        <v>2.8616873729326552E-5</v>
      </c>
      <c r="DY45">
        <f t="shared" si="54"/>
        <v>2.8716873729326551E-5</v>
      </c>
      <c r="DZ45">
        <f t="shared" si="55"/>
        <v>2.6320088534225826E+19</v>
      </c>
      <c r="EC45">
        <v>3</v>
      </c>
      <c r="ED45">
        <f t="shared" ref="ED45:ED48" si="108">EE44</f>
        <v>2.3726199501885087E-5</v>
      </c>
      <c r="EE45">
        <f t="shared" si="56"/>
        <v>2.3826199501885086E-5</v>
      </c>
      <c r="EF45">
        <f t="shared" si="57"/>
        <v>2.6272456580369392E+19</v>
      </c>
      <c r="EI45">
        <v>3</v>
      </c>
      <c r="EJ45">
        <f t="shared" ref="EJ45:EJ47" si="109">EK44</f>
        <v>1.9677232727092661E-5</v>
      </c>
      <c r="EK45">
        <f t="shared" si="58"/>
        <v>1.977723272709266E-5</v>
      </c>
      <c r="EL45">
        <f t="shared" si="59"/>
        <v>2.6215151342532706E+19</v>
      </c>
      <c r="EO45">
        <v>3</v>
      </c>
      <c r="EP45">
        <f t="shared" ref="EP45:EP46" si="110">EQ44</f>
        <v>1.6325111694089474E-5</v>
      </c>
      <c r="EQ45">
        <f t="shared" si="60"/>
        <v>1.6425111694089473E-5</v>
      </c>
      <c r="ER45">
        <f t="shared" ref="ER45:ER46" si="111">((8*$F$1*$H$28)/(3.1415))*(((EQ45)^4-(EP45)^4)-(((EQ45)^2-(EP45)^2)^2/(LN(EQ45/EP45))))^-1</f>
        <v>2.6146265184463159E+19</v>
      </c>
      <c r="EU45">
        <v>3</v>
      </c>
      <c r="EV45">
        <f>EW44</f>
        <v>1.354990605647878E-5</v>
      </c>
      <c r="EW45">
        <f t="shared" si="61"/>
        <v>1.3649906056478781E-5</v>
      </c>
      <c r="EX45">
        <f t="shared" si="62"/>
        <v>2.6063538689442312E+19</v>
      </c>
      <c r="FA45">
        <v>3</v>
      </c>
      <c r="FB45">
        <f t="shared" ref="FB45:FB46" si="112">FC44</f>
        <v>1.1252326030221167E-5</v>
      </c>
      <c r="FC45">
        <f t="shared" ref="FC45:FC46" si="113">$FB$43+FA45*$H$2</f>
        <v>1.1352326030221167E-5</v>
      </c>
      <c r="FD45">
        <f t="shared" ref="FD45:FD46" si="114">((8*$F$1*$H$30)/(3.1415))*(((FC45)^4-(FB45)^4)-(((FC45)^2-(FB45)^2)^2/(LN(FC45/FB45))))^-1</f>
        <v>2.5964308488238539E+19</v>
      </c>
      <c r="FG45">
        <v>3</v>
      </c>
      <c r="FH45">
        <f>FI44</f>
        <v>9.3501700582396581E-6</v>
      </c>
      <c r="FI45">
        <f>$FH$43+FG45*$H$2</f>
        <v>9.4501700582396588E-6</v>
      </c>
      <c r="FJ45">
        <f t="shared" si="63"/>
        <v>2.5845450494636691E+19</v>
      </c>
      <c r="FM45">
        <v>3</v>
      </c>
      <c r="FN45">
        <f>FO44</f>
        <v>7.7753838482296476E-6</v>
      </c>
      <c r="FO45">
        <f>$FN$43+FM45*$H$2</f>
        <v>7.8753838482296483E-6</v>
      </c>
      <c r="FP45">
        <f>((8*$F$1*$H$32)/(3.1415))*(((FO45)^4-(FN45)^4)-(((FO45)^2-(FN45)^2)^2/(LN(FO45/FN45))))^-1</f>
        <v>2.5703323514361958E+19</v>
      </c>
    </row>
    <row r="46" spans="1:185" x14ac:dyDescent="0.35">
      <c r="A46">
        <f t="shared" si="64"/>
        <v>4</v>
      </c>
      <c r="B46">
        <f t="shared" si="65"/>
        <v>1.5003E-3</v>
      </c>
      <c r="C46">
        <f t="shared" si="13"/>
        <v>1.5004E-3</v>
      </c>
      <c r="D46">
        <f t="shared" si="14"/>
        <v>4.5180747327825199E+19</v>
      </c>
      <c r="G46">
        <f t="shared" si="66"/>
        <v>4</v>
      </c>
      <c r="H46">
        <f t="shared" si="67"/>
        <v>1.2421431242282881E-3</v>
      </c>
      <c r="I46">
        <f t="shared" si="15"/>
        <v>1.2422431242282881E-3</v>
      </c>
      <c r="J46">
        <f t="shared" si="16"/>
        <v>2.6529286832908505E+19</v>
      </c>
      <c r="M46">
        <f t="shared" si="68"/>
        <v>4</v>
      </c>
      <c r="N46">
        <f t="shared" si="69"/>
        <v>1.0284162301287167E-3</v>
      </c>
      <c r="O46">
        <f t="shared" si="17"/>
        <v>1.0285162301287168E-3</v>
      </c>
      <c r="P46">
        <f t="shared" si="18"/>
        <v>3.3982805662089265E+19</v>
      </c>
      <c r="S46">
        <f t="shared" si="70"/>
        <v>4</v>
      </c>
      <c r="T46">
        <f t="shared" si="71"/>
        <v>8.5147271419523684E-4</v>
      </c>
      <c r="U46">
        <f t="shared" si="19"/>
        <v>8.515727141952369E-4</v>
      </c>
      <c r="V46">
        <f t="shared" si="20"/>
        <v>2.6547857280390529E+19</v>
      </c>
      <c r="Y46">
        <f t="shared" si="72"/>
        <v>4</v>
      </c>
      <c r="Z46">
        <f t="shared" si="73"/>
        <v>7.0498198843605634E-4</v>
      </c>
      <c r="AA46">
        <f t="shared" si="21"/>
        <v>7.050819884360564E-4</v>
      </c>
      <c r="AB46">
        <f t="shared" si="22"/>
        <v>2.6535837324424511E+19</v>
      </c>
      <c r="AE46">
        <f t="shared" si="74"/>
        <v>4</v>
      </c>
      <c r="AF46">
        <f t="shared" si="75"/>
        <v>5.83702988071223E-4</v>
      </c>
      <c r="AG46">
        <f t="shared" si="23"/>
        <v>5.8380298807122306E-4</v>
      </c>
      <c r="AH46">
        <f t="shared" si="24"/>
        <v>2.6535642514367504E+19</v>
      </c>
      <c r="AK46">
        <f t="shared" si="76"/>
        <v>4</v>
      </c>
      <c r="AL46">
        <f t="shared" si="77"/>
        <v>4.8329665959365766E-4</v>
      </c>
      <c r="AM46">
        <f t="shared" si="25"/>
        <v>4.8339665959365766E-4</v>
      </c>
      <c r="AN46">
        <f t="shared" si="26"/>
        <v>2.6532053533121503E+19</v>
      </c>
      <c r="AQ46">
        <f t="shared" si="78"/>
        <v>4</v>
      </c>
      <c r="AR46">
        <f t="shared" si="79"/>
        <v>4.0017072049440989E-4</v>
      </c>
      <c r="AS46">
        <f t="shared" si="27"/>
        <v>4.0027072049440989E-4</v>
      </c>
      <c r="AT46">
        <f t="shared" si="28"/>
        <v>2.652871263979076E+19</v>
      </c>
      <c r="AW46">
        <f t="shared" si="80"/>
        <v>4</v>
      </c>
      <c r="AX46">
        <f t="shared" si="81"/>
        <v>3.313511365507963E-4</v>
      </c>
      <c r="AY46">
        <f t="shared" si="29"/>
        <v>3.314511365507963E-4</v>
      </c>
      <c r="AZ46">
        <f t="shared" si="30"/>
        <v>2.652396961617211E+19</v>
      </c>
      <c r="BC46">
        <f t="shared" si="82"/>
        <v>4</v>
      </c>
      <c r="BD46">
        <f t="shared" si="83"/>
        <v>2.7437571846237758E-4</v>
      </c>
      <c r="BE46">
        <f t="shared" si="31"/>
        <v>2.7447571846237758E-4</v>
      </c>
      <c r="BF46">
        <f t="shared" si="32"/>
        <v>2.6517795785084531E+19</v>
      </c>
      <c r="BI46">
        <f t="shared" si="84"/>
        <v>4</v>
      </c>
      <c r="BJ46">
        <f t="shared" si="85"/>
        <v>2.2720603099362114E-4</v>
      </c>
      <c r="BK46">
        <f t="shared" si="33"/>
        <v>2.2730603099362114E-4</v>
      </c>
      <c r="BL46">
        <f t="shared" si="34"/>
        <v>2.6510756127537734E+19</v>
      </c>
      <c r="BO46">
        <f t="shared" si="86"/>
        <v>4</v>
      </c>
      <c r="BP46">
        <f t="shared" si="87"/>
        <v>1.8815446295690618E-4</v>
      </c>
      <c r="BQ46">
        <f t="shared" si="35"/>
        <v>1.8825446295690619E-4</v>
      </c>
      <c r="BR46">
        <f t="shared" si="36"/>
        <v>2.65021720661098E+19</v>
      </c>
      <c r="BU46">
        <f t="shared" si="88"/>
        <v>4</v>
      </c>
      <c r="BV46">
        <f t="shared" si="89"/>
        <v>1.5582384878575444E-4</v>
      </c>
      <c r="BW46">
        <f t="shared" si="37"/>
        <v>1.5592384878575444E-4</v>
      </c>
      <c r="BX46">
        <f t="shared" si="38"/>
        <v>2.6492067607765475E+19</v>
      </c>
      <c r="CA46">
        <f t="shared" si="90"/>
        <v>4</v>
      </c>
      <c r="CB46">
        <f t="shared" si="91"/>
        <v>1.2905748151207275E-4</v>
      </c>
      <c r="CC46">
        <f t="shared" si="39"/>
        <v>1.2915748151207275E-4</v>
      </c>
      <c r="CD46">
        <f t="shared" si="40"/>
        <v>3.3904332215401026E+19</v>
      </c>
      <c r="CG46">
        <f t="shared" si="92"/>
        <v>4</v>
      </c>
      <c r="CH46">
        <f t="shared" si="93"/>
        <v>1.0689772873914561E-4</v>
      </c>
      <c r="CI46">
        <f t="shared" si="41"/>
        <v>1.0699772873914561E-4</v>
      </c>
      <c r="CJ46">
        <f t="shared" si="42"/>
        <v>3.388525079450975E+19</v>
      </c>
      <c r="CM46">
        <f t="shared" si="94"/>
        <v>4</v>
      </c>
      <c r="CN46">
        <f t="shared" si="95"/>
        <v>8.8551770995373393E-5</v>
      </c>
      <c r="CO46">
        <f t="shared" si="43"/>
        <v>8.8651770995373395E-5</v>
      </c>
      <c r="CP46">
        <f t="shared" si="44"/>
        <v>3.3862196758067094E+19</v>
      </c>
      <c r="CS46">
        <f t="shared" si="96"/>
        <v>4</v>
      </c>
      <c r="CT46">
        <f t="shared" si="97"/>
        <v>7.3363236674382629E-5</v>
      </c>
      <c r="CU46">
        <f t="shared" si="45"/>
        <v>7.3463236674382632E-5</v>
      </c>
      <c r="CV46">
        <f t="shared" si="46"/>
        <v>3.3834423131082416E+19</v>
      </c>
      <c r="CY46">
        <f t="shared" si="98"/>
        <v>4</v>
      </c>
      <c r="CZ46">
        <f t="shared" si="99"/>
        <v>6.078871873196411E-5</v>
      </c>
      <c r="DA46">
        <f t="shared" si="47"/>
        <v>6.0888718731964112E-5</v>
      </c>
      <c r="DB46">
        <f t="shared" si="48"/>
        <v>3.3800916760010043E+19</v>
      </c>
      <c r="DE46">
        <f t="shared" si="100"/>
        <v>4</v>
      </c>
      <c r="DF46">
        <f t="shared" si="101"/>
        <v>5.0378332967112315E-5</v>
      </c>
      <c r="DG46">
        <f t="shared" si="49"/>
        <v>5.0478332967112317E-5</v>
      </c>
      <c r="DH46">
        <f t="shared" si="50"/>
        <v>3.3760542226390647E+19</v>
      </c>
      <c r="DK46">
        <f t="shared" si="102"/>
        <v>4</v>
      </c>
      <c r="DL46">
        <f t="shared" si="103"/>
        <v>4.1759622312015488E-5</v>
      </c>
      <c r="DM46">
        <f t="shared" si="51"/>
        <v>4.1859622312015491E-5</v>
      </c>
      <c r="DN46">
        <f t="shared" si="52"/>
        <v>3.3711901272648073E+19</v>
      </c>
      <c r="DQ46">
        <f t="shared" si="104"/>
        <v>4</v>
      </c>
      <c r="DR46">
        <f t="shared" si="105"/>
        <v>3.4624231267518759E-5</v>
      </c>
      <c r="DS46">
        <f t="shared" si="53"/>
        <v>3.4724231267518761E-5</v>
      </c>
      <c r="DT46">
        <f t="shared" si="106"/>
        <v>3.3653334649425183E+19</v>
      </c>
      <c r="DW46">
        <v>4</v>
      </c>
      <c r="DX46">
        <f t="shared" si="107"/>
        <v>2.8716873729326551E-5</v>
      </c>
      <c r="DY46">
        <f t="shared" si="54"/>
        <v>2.881687372932655E-5</v>
      </c>
      <c r="DZ46">
        <f t="shared" si="55"/>
        <v>2.622859406938384E+19</v>
      </c>
      <c r="EC46">
        <v>4</v>
      </c>
      <c r="ED46">
        <f t="shared" si="108"/>
        <v>2.3826199501885086E-5</v>
      </c>
      <c r="EE46">
        <f>$ED$43+EC46*$H$2</f>
        <v>2.3926199501885085E-5</v>
      </c>
      <c r="EF46">
        <f t="shared" si="57"/>
        <v>2.616242050787731E+19</v>
      </c>
      <c r="EI46">
        <v>4</v>
      </c>
      <c r="EJ46">
        <f t="shared" si="109"/>
        <v>1.977723272709266E-5</v>
      </c>
      <c r="EK46">
        <f t="shared" si="58"/>
        <v>1.9877232727092659E-5</v>
      </c>
      <c r="EL46">
        <f t="shared" si="59"/>
        <v>2.6082933629597385E+19</v>
      </c>
      <c r="EO46">
        <v>4</v>
      </c>
      <c r="EP46">
        <f t="shared" si="110"/>
        <v>1.6425111694089473E-5</v>
      </c>
      <c r="EQ46">
        <f t="shared" si="60"/>
        <v>1.6525111694089472E-5</v>
      </c>
      <c r="ER46">
        <f t="shared" si="111"/>
        <v>2.5987563769145893E+19</v>
      </c>
      <c r="EU46">
        <v>4</v>
      </c>
      <c r="EV46">
        <f t="shared" ref="EV46:EV47" si="115">EW45</f>
        <v>1.3649906056478781E-5</v>
      </c>
      <c r="EW46">
        <f t="shared" ref="EW46:EW47" si="116">$EV$43+EU46*$H$2</f>
        <v>1.374990605647878E-5</v>
      </c>
      <c r="EX46">
        <f t="shared" ref="EX46:EX47" si="117">((8*$F$1*$H$29)/(3.1415))*(((EW46)^4-(EV46)^4)-(((EW46)^2-(EV46)^2)^2/(LN(EW46/EV46))))^-1</f>
        <v>2.5873292920235745E+19</v>
      </c>
      <c r="FA46">
        <v>4</v>
      </c>
      <c r="FB46">
        <f t="shared" si="112"/>
        <v>1.1352326030221167E-5</v>
      </c>
      <c r="FC46">
        <f t="shared" si="113"/>
        <v>1.1452326030221166E-5</v>
      </c>
      <c r="FD46">
        <f t="shared" si="114"/>
        <v>2.5736598450908778E+19</v>
      </c>
      <c r="FG46">
        <v>4</v>
      </c>
      <c r="FH46">
        <f>FI45</f>
        <v>9.4501700582396588E-6</v>
      </c>
      <c r="FI46">
        <f>$FH$43+FG46*$H$2</f>
        <v>9.5501700582396579E-6</v>
      </c>
      <c r="FJ46">
        <f t="shared" ref="FJ46" si="118">((8*$F$1*$H$31)/(3.1415))*(((FI46)^4-(FH46)^4)-(((FI46)^2-(FH46)^2)^2/(LN(FI46/FH46))))^-1</f>
        <v>2.5573398995211944E+19</v>
      </c>
    </row>
    <row r="47" spans="1:185" x14ac:dyDescent="0.35">
      <c r="A47">
        <f t="shared" si="64"/>
        <v>5</v>
      </c>
      <c r="B47">
        <f t="shared" si="65"/>
        <v>1.5004E-3</v>
      </c>
      <c r="C47">
        <f t="shared" si="13"/>
        <v>1.5005000000000001E-3</v>
      </c>
      <c r="D47">
        <f t="shared" si="14"/>
        <v>4.5057935610988028E+19</v>
      </c>
      <c r="G47">
        <f t="shared" si="66"/>
        <v>5</v>
      </c>
      <c r="H47">
        <f t="shared" si="67"/>
        <v>1.2422431242282881E-3</v>
      </c>
      <c r="I47">
        <f t="shared" si="15"/>
        <v>1.2423431242282882E-3</v>
      </c>
      <c r="J47">
        <f t="shared" si="16"/>
        <v>2.655152861429545E+19</v>
      </c>
      <c r="M47">
        <f t="shared" si="68"/>
        <v>5</v>
      </c>
      <c r="N47">
        <f t="shared" si="69"/>
        <v>1.0285162301287168E-3</v>
      </c>
      <c r="O47">
        <f t="shared" si="17"/>
        <v>1.0286162301287169E-3</v>
      </c>
      <c r="P47">
        <f t="shared" si="18"/>
        <v>3.3973325053098332E+19</v>
      </c>
      <c r="S47">
        <f t="shared" si="70"/>
        <v>5</v>
      </c>
      <c r="T47">
        <f t="shared" si="71"/>
        <v>8.515727141952369E-4</v>
      </c>
      <c r="U47">
        <f t="shared" si="19"/>
        <v>8.5167271419523685E-4</v>
      </c>
      <c r="V47">
        <f t="shared" si="20"/>
        <v>2.6542024699732021E+19</v>
      </c>
      <c r="Y47">
        <f t="shared" si="72"/>
        <v>5</v>
      </c>
      <c r="Z47">
        <f t="shared" si="73"/>
        <v>7.050819884360564E-4</v>
      </c>
      <c r="AA47">
        <f t="shared" si="21"/>
        <v>7.0518198843605635E-4</v>
      </c>
      <c r="AB47">
        <f t="shared" si="22"/>
        <v>2.6534638492427604E+19</v>
      </c>
      <c r="AE47">
        <f t="shared" si="74"/>
        <v>5</v>
      </c>
      <c r="AF47">
        <f t="shared" si="75"/>
        <v>5.8380298807122306E-4</v>
      </c>
      <c r="AG47">
        <f t="shared" si="23"/>
        <v>5.8390298807122301E-4</v>
      </c>
      <c r="AH47">
        <f t="shared" si="24"/>
        <v>2.6533494923492622E+19</v>
      </c>
      <c r="AK47">
        <f t="shared" si="76"/>
        <v>5</v>
      </c>
      <c r="AL47">
        <f t="shared" si="77"/>
        <v>4.8339665959365766E-4</v>
      </c>
      <c r="AM47">
        <f t="shared" si="25"/>
        <v>4.8349665959365767E-4</v>
      </c>
      <c r="AN47">
        <f t="shared" si="26"/>
        <v>2.6526352867222688E+19</v>
      </c>
      <c r="AQ47">
        <f t="shared" si="78"/>
        <v>5</v>
      </c>
      <c r="AR47">
        <f t="shared" si="79"/>
        <v>4.0027072049440989E-4</v>
      </c>
      <c r="AS47">
        <f t="shared" si="27"/>
        <v>4.0037072049440989E-4</v>
      </c>
      <c r="AT47">
        <f t="shared" si="28"/>
        <v>2.6521714266482799E+19</v>
      </c>
      <c r="AW47">
        <f t="shared" si="80"/>
        <v>5</v>
      </c>
      <c r="AX47">
        <f t="shared" si="81"/>
        <v>3.314511365507963E-4</v>
      </c>
      <c r="AY47">
        <f t="shared" si="29"/>
        <v>3.315511365507963E-4</v>
      </c>
      <c r="AZ47">
        <f t="shared" si="30"/>
        <v>2.6515805498940289E+19</v>
      </c>
      <c r="BC47">
        <f t="shared" si="82"/>
        <v>5</v>
      </c>
      <c r="BD47">
        <f t="shared" si="83"/>
        <v>2.7447571846237758E-4</v>
      </c>
      <c r="BE47">
        <f t="shared" si="31"/>
        <v>2.7457571846237758E-4</v>
      </c>
      <c r="BF47">
        <f t="shared" si="32"/>
        <v>2.6508164659279536E+19</v>
      </c>
      <c r="BI47">
        <f t="shared" si="84"/>
        <v>5</v>
      </c>
      <c r="BJ47">
        <f t="shared" si="85"/>
        <v>2.2730603099362114E-4</v>
      </c>
      <c r="BK47">
        <f t="shared" si="33"/>
        <v>2.2740603099362115E-4</v>
      </c>
      <c r="BL47">
        <f t="shared" si="34"/>
        <v>2.6499098130380173E+19</v>
      </c>
      <c r="BO47">
        <f t="shared" si="86"/>
        <v>5</v>
      </c>
      <c r="BP47">
        <f t="shared" si="87"/>
        <v>1.8825446295690619E-4</v>
      </c>
      <c r="BQ47">
        <f t="shared" si="35"/>
        <v>1.8835446295690619E-4</v>
      </c>
      <c r="BR47">
        <f t="shared" si="36"/>
        <v>2.6488133857516405E+19</v>
      </c>
      <c r="BU47">
        <f t="shared" si="88"/>
        <v>5</v>
      </c>
      <c r="BV47">
        <f t="shared" si="89"/>
        <v>1.5592384878575444E-4</v>
      </c>
      <c r="BW47">
        <f t="shared" si="37"/>
        <v>1.5602384878575444E-4</v>
      </c>
      <c r="BX47">
        <f t="shared" si="38"/>
        <v>2.6475004066131423E+19</v>
      </c>
      <c r="CA47">
        <f t="shared" si="90"/>
        <v>5</v>
      </c>
      <c r="CB47">
        <f t="shared" si="91"/>
        <v>1.2915748151207275E-4</v>
      </c>
      <c r="CC47">
        <f t="shared" si="39"/>
        <v>1.2925748151207275E-4</v>
      </c>
      <c r="CD47">
        <f t="shared" si="40"/>
        <v>3.3878109558819312E+19</v>
      </c>
      <c r="CG47">
        <f t="shared" si="92"/>
        <v>5</v>
      </c>
      <c r="CH47">
        <f t="shared" si="93"/>
        <v>1.0699772873914561E-4</v>
      </c>
      <c r="CI47">
        <f t="shared" si="41"/>
        <v>1.0709772873914561E-4</v>
      </c>
      <c r="CJ47">
        <f t="shared" si="42"/>
        <v>3.3853579715659198E+19</v>
      </c>
      <c r="CM47">
        <f t="shared" si="94"/>
        <v>5</v>
      </c>
      <c r="CN47">
        <f t="shared" si="95"/>
        <v>8.8651770995373395E-5</v>
      </c>
      <c r="CO47">
        <f t="shared" si="43"/>
        <v>8.8751770995373398E-5</v>
      </c>
      <c r="CP47">
        <f t="shared" si="44"/>
        <v>3.3824038080151319E+19</v>
      </c>
      <c r="CS47">
        <f t="shared" si="96"/>
        <v>5</v>
      </c>
      <c r="CT47">
        <f t="shared" si="97"/>
        <v>7.3463236674382632E-5</v>
      </c>
      <c r="CU47">
        <f t="shared" si="45"/>
        <v>7.3563236674382634E-5</v>
      </c>
      <c r="CV47">
        <f t="shared" si="46"/>
        <v>3.3788392525580415E+19</v>
      </c>
      <c r="CY47">
        <f t="shared" si="98"/>
        <v>5</v>
      </c>
      <c r="CZ47">
        <f t="shared" si="99"/>
        <v>6.0888718731964112E-5</v>
      </c>
      <c r="DA47">
        <f t="shared" si="47"/>
        <v>6.0988718731964108E-5</v>
      </c>
      <c r="DB47">
        <f t="shared" si="48"/>
        <v>3.3745448637732938E+19</v>
      </c>
      <c r="DE47">
        <f t="shared" si="100"/>
        <v>5</v>
      </c>
      <c r="DF47">
        <f t="shared" si="101"/>
        <v>5.0478332967112317E-5</v>
      </c>
      <c r="DG47">
        <f t="shared" si="49"/>
        <v>5.0578332967112313E-5</v>
      </c>
      <c r="DH47">
        <f t="shared" si="50"/>
        <v>3.3693726080426086E+19</v>
      </c>
      <c r="DK47">
        <f t="shared" si="102"/>
        <v>5</v>
      </c>
      <c r="DL47">
        <f t="shared" si="103"/>
        <v>4.1859622312015491E-5</v>
      </c>
      <c r="DM47">
        <f t="shared" si="51"/>
        <v>4.1959622312015486E-5</v>
      </c>
      <c r="DN47">
        <f t="shared" si="52"/>
        <v>3.3631461355835593E+19</v>
      </c>
      <c r="DQ47">
        <f t="shared" si="104"/>
        <v>5</v>
      </c>
      <c r="DR47">
        <f t="shared" si="105"/>
        <v>3.4724231267518761E-5</v>
      </c>
      <c r="DS47">
        <f t="shared" si="53"/>
        <v>3.4824231267518757E-5</v>
      </c>
      <c r="DT47">
        <f t="shared" si="106"/>
        <v>3.3556558552891245E+19</v>
      </c>
      <c r="DW47">
        <v>5</v>
      </c>
      <c r="DX47">
        <f t="shared" si="107"/>
        <v>2.881687372932655E-5</v>
      </c>
      <c r="DY47">
        <f t="shared" si="54"/>
        <v>2.8916873729326549E-5</v>
      </c>
      <c r="DZ47">
        <f t="shared" si="55"/>
        <v>2.6137733605048234E+19</v>
      </c>
      <c r="EC47">
        <v>5</v>
      </c>
      <c r="ED47">
        <f t="shared" si="108"/>
        <v>2.3926199501885085E-5</v>
      </c>
      <c r="EE47">
        <f>$ED$43+EC47*$H$2</f>
        <v>2.4026199501885084E-5</v>
      </c>
      <c r="EF47">
        <f t="shared" si="57"/>
        <v>2.6053302115857318E+19</v>
      </c>
      <c r="EI47">
        <v>5</v>
      </c>
      <c r="EJ47">
        <f t="shared" si="109"/>
        <v>1.9877232727092659E-5</v>
      </c>
      <c r="EK47">
        <f t="shared" si="58"/>
        <v>1.9977232727092658E-5</v>
      </c>
      <c r="EL47">
        <f t="shared" si="59"/>
        <v>2.5952042804285157E+19</v>
      </c>
      <c r="EO47">
        <v>5</v>
      </c>
      <c r="EP47">
        <f t="shared" ref="EP47:EP48" si="119">EQ46</f>
        <v>1.6525111694089472E-5</v>
      </c>
      <c r="EQ47">
        <f t="shared" ref="EQ47:EQ48" si="120">$EP$43+EO47*$H$2</f>
        <v>1.6625111694089471E-5</v>
      </c>
      <c r="ER47">
        <f t="shared" ref="ER47:ER48" si="121">((8*$F$1*$H$28)/(3.1415))*(((EQ47)^4-(EP47)^4)-(((EQ47)^2-(EP47)^2)^2/(LN(EQ47/EP47))))^-1</f>
        <v>2.5830777247514767E+19</v>
      </c>
      <c r="EU47">
        <v>5</v>
      </c>
      <c r="EV47">
        <f t="shared" si="115"/>
        <v>1.374990605647878E-5</v>
      </c>
      <c r="EW47">
        <f t="shared" si="116"/>
        <v>1.384990605647878E-5</v>
      </c>
      <c r="EX47">
        <f t="shared" si="117"/>
        <v>2.5685804332329378E+19</v>
      </c>
      <c r="FA47">
        <v>5</v>
      </c>
      <c r="FB47">
        <f t="shared" ref="FB47" si="122">FC46</f>
        <v>1.1452326030221166E-5</v>
      </c>
      <c r="FC47">
        <f t="shared" ref="FC47" si="123">$FB$43+FA47*$H$2</f>
        <v>1.1552326030221167E-5</v>
      </c>
      <c r="FD47">
        <f t="shared" ref="FD47" si="124">((8*$F$1*$H$30)/(3.1415))*(((FC47)^4-(FB47)^4)-(((FC47)^2-(FB47)^2)^2/(LN(FC47/FB47))))^-1</f>
        <v>2.5512847773483221E+19</v>
      </c>
    </row>
    <row r="48" spans="1:185" x14ac:dyDescent="0.35">
      <c r="A48">
        <f t="shared" si="64"/>
        <v>6</v>
      </c>
      <c r="B48">
        <f t="shared" si="65"/>
        <v>1.5005000000000001E-3</v>
      </c>
      <c r="C48">
        <f t="shared" si="13"/>
        <v>1.5005999999999999E-3</v>
      </c>
      <c r="D48">
        <f t="shared" si="14"/>
        <v>4.5089776178268348E+19</v>
      </c>
      <c r="G48">
        <f t="shared" si="66"/>
        <v>6</v>
      </c>
      <c r="H48">
        <f t="shared" si="67"/>
        <v>1.2423431242282882E-3</v>
      </c>
      <c r="I48">
        <f t="shared" si="15"/>
        <v>1.242443124228288E-3</v>
      </c>
      <c r="J48">
        <f t="shared" si="16"/>
        <v>2.6533200692545548E+19</v>
      </c>
      <c r="M48">
        <f t="shared" si="68"/>
        <v>6</v>
      </c>
      <c r="N48">
        <f t="shared" si="69"/>
        <v>1.0286162301287169E-3</v>
      </c>
      <c r="O48">
        <f t="shared" si="17"/>
        <v>1.0287162301287167E-3</v>
      </c>
      <c r="P48">
        <f t="shared" si="18"/>
        <v>3.3966990089842246E+19</v>
      </c>
      <c r="S48">
        <f t="shared" si="70"/>
        <v>6</v>
      </c>
      <c r="T48">
        <f t="shared" si="71"/>
        <v>8.5167271419523685E-4</v>
      </c>
      <c r="U48">
        <f t="shared" si="19"/>
        <v>8.517727141952369E-4</v>
      </c>
      <c r="V48">
        <f t="shared" si="20"/>
        <v>2.6536664767764308E+19</v>
      </c>
      <c r="Y48">
        <f t="shared" si="72"/>
        <v>6</v>
      </c>
      <c r="Z48">
        <f t="shared" si="73"/>
        <v>7.0518198843605635E-4</v>
      </c>
      <c r="AA48">
        <f t="shared" si="21"/>
        <v>7.052819884360564E-4</v>
      </c>
      <c r="AB48">
        <f t="shared" si="22"/>
        <v>2.6530698347661812E+19</v>
      </c>
      <c r="AE48">
        <f t="shared" si="74"/>
        <v>6</v>
      </c>
      <c r="AF48">
        <f t="shared" si="75"/>
        <v>5.8390298807122301E-4</v>
      </c>
      <c r="AG48">
        <f t="shared" si="23"/>
        <v>5.8400298807122306E-4</v>
      </c>
      <c r="AH48">
        <f t="shared" si="24"/>
        <v>2.6527390201930658E+19</v>
      </c>
      <c r="AK48">
        <f t="shared" si="76"/>
        <v>6</v>
      </c>
      <c r="AL48">
        <f t="shared" si="77"/>
        <v>4.8349665959365767E-4</v>
      </c>
      <c r="AM48">
        <f t="shared" si="25"/>
        <v>4.8359665959365767E-4</v>
      </c>
      <c r="AN48">
        <f t="shared" si="26"/>
        <v>2.6521466141231198E+19</v>
      </c>
      <c r="AQ48">
        <f t="shared" si="78"/>
        <v>6</v>
      </c>
      <c r="AR48">
        <f t="shared" si="79"/>
        <v>4.0037072049440989E-4</v>
      </c>
      <c r="AS48">
        <f t="shared" si="27"/>
        <v>4.0047072049440989E-4</v>
      </c>
      <c r="AT48">
        <f t="shared" si="28"/>
        <v>2.651559664500326E+19</v>
      </c>
      <c r="AW48">
        <f t="shared" si="80"/>
        <v>6</v>
      </c>
      <c r="AX48">
        <f t="shared" si="81"/>
        <v>3.315511365507963E-4</v>
      </c>
      <c r="AY48">
        <f t="shared" si="29"/>
        <v>3.316511365507963E-4</v>
      </c>
      <c r="AZ48">
        <f t="shared" si="30"/>
        <v>2.650785757357865E+19</v>
      </c>
      <c r="BC48">
        <f t="shared" si="82"/>
        <v>6</v>
      </c>
      <c r="BD48">
        <f t="shared" si="83"/>
        <v>2.7457571846237758E-4</v>
      </c>
      <c r="BE48">
        <f t="shared" si="31"/>
        <v>2.7467571846237759E-4</v>
      </c>
      <c r="BF48">
        <f t="shared" si="32"/>
        <v>2.6498669309638525E+19</v>
      </c>
      <c r="BI48">
        <f t="shared" si="84"/>
        <v>6</v>
      </c>
      <c r="BJ48">
        <f t="shared" si="85"/>
        <v>2.2740603099362115E-4</v>
      </c>
      <c r="BK48">
        <f t="shared" si="33"/>
        <v>2.2750603099362112E-4</v>
      </c>
      <c r="BL48">
        <f t="shared" si="34"/>
        <v>2.6487509119909929E+19</v>
      </c>
      <c r="BO48">
        <f t="shared" si="86"/>
        <v>6</v>
      </c>
      <c r="BP48">
        <f t="shared" si="87"/>
        <v>1.8835446295690619E-4</v>
      </c>
      <c r="BQ48">
        <f t="shared" si="35"/>
        <v>1.8845446295690616E-4</v>
      </c>
      <c r="BR48">
        <f t="shared" si="36"/>
        <v>2.6474170917099278E+19</v>
      </c>
      <c r="BU48">
        <f t="shared" si="88"/>
        <v>6</v>
      </c>
      <c r="BV48">
        <f t="shared" si="89"/>
        <v>1.5602384878575444E-4</v>
      </c>
      <c r="BW48">
        <f t="shared" si="37"/>
        <v>1.5612384878575442E-4</v>
      </c>
      <c r="BX48">
        <f t="shared" si="38"/>
        <v>2.6458087495593521E+19</v>
      </c>
      <c r="CA48">
        <f t="shared" si="90"/>
        <v>6</v>
      </c>
      <c r="CB48">
        <f t="shared" si="91"/>
        <v>1.2925748151207275E-4</v>
      </c>
      <c r="CC48">
        <f t="shared" si="39"/>
        <v>1.2935748151207273E-4</v>
      </c>
      <c r="CD48">
        <f t="shared" si="40"/>
        <v>3.385188651814074E+19</v>
      </c>
      <c r="CG48">
        <f t="shared" si="92"/>
        <v>6</v>
      </c>
      <c r="CH48">
        <f t="shared" si="93"/>
        <v>1.0709772873914561E-4</v>
      </c>
      <c r="CI48">
        <f t="shared" si="41"/>
        <v>1.0719772873914562E-4</v>
      </c>
      <c r="CJ48">
        <f t="shared" si="42"/>
        <v>3.3821983150228455E+19</v>
      </c>
      <c r="CM48">
        <f t="shared" si="94"/>
        <v>6</v>
      </c>
      <c r="CN48">
        <f t="shared" si="95"/>
        <v>8.8751770995373398E-5</v>
      </c>
      <c r="CO48">
        <f t="shared" si="43"/>
        <v>8.88517709953734E-5</v>
      </c>
      <c r="CP48">
        <f t="shared" si="44"/>
        <v>3.3785936577701257E+19</v>
      </c>
      <c r="CS48">
        <f t="shared" si="96"/>
        <v>6</v>
      </c>
      <c r="CT48">
        <f t="shared" si="97"/>
        <v>7.3563236674382634E-5</v>
      </c>
      <c r="CU48">
        <f t="shared" si="45"/>
        <v>7.3663236674382637E-5</v>
      </c>
      <c r="CV48">
        <f t="shared" si="46"/>
        <v>3.3742490778367332E+19</v>
      </c>
      <c r="CY48">
        <f t="shared" si="98"/>
        <v>6</v>
      </c>
      <c r="CZ48">
        <f t="shared" si="99"/>
        <v>6.0988718731964108E-5</v>
      </c>
      <c r="DA48">
        <f t="shared" si="47"/>
        <v>6.1088718731964103E-5</v>
      </c>
      <c r="DB48">
        <f t="shared" si="48"/>
        <v>3.3690162998741623E+19</v>
      </c>
      <c r="DE48">
        <f t="shared" si="100"/>
        <v>6</v>
      </c>
      <c r="DF48">
        <f t="shared" si="101"/>
        <v>5.0578332967112313E-5</v>
      </c>
      <c r="DG48">
        <f t="shared" si="49"/>
        <v>5.0678332967112315E-5</v>
      </c>
      <c r="DH48">
        <f t="shared" si="50"/>
        <v>3.3627174959663759E+19</v>
      </c>
      <c r="DK48">
        <f t="shared" si="102"/>
        <v>6</v>
      </c>
      <c r="DL48">
        <f t="shared" si="103"/>
        <v>4.1959622312015486E-5</v>
      </c>
      <c r="DM48">
        <f t="shared" si="51"/>
        <v>4.2059622312015489E-5</v>
      </c>
      <c r="DN48">
        <f t="shared" si="52"/>
        <v>3.3551405964968399E+19</v>
      </c>
      <c r="DQ48">
        <f t="shared" si="104"/>
        <v>6</v>
      </c>
      <c r="DR48">
        <f t="shared" si="105"/>
        <v>3.4824231267518757E-5</v>
      </c>
      <c r="DS48">
        <f t="shared" si="53"/>
        <v>3.492423126751876E-5</v>
      </c>
      <c r="DT48">
        <f t="shared" si="106"/>
        <v>3.3460337061871014E+19</v>
      </c>
      <c r="DW48">
        <v>6</v>
      </c>
      <c r="DX48">
        <f>DY47</f>
        <v>2.8916873729326549E-5</v>
      </c>
      <c r="DY48">
        <f t="shared" si="54"/>
        <v>2.9016873729326551E-5</v>
      </c>
      <c r="DZ48">
        <f t="shared" si="55"/>
        <v>2.604750029811021E+19</v>
      </c>
      <c r="EC48">
        <v>6</v>
      </c>
      <c r="ED48">
        <f t="shared" si="108"/>
        <v>2.4026199501885084E-5</v>
      </c>
      <c r="EE48">
        <f t="shared" si="56"/>
        <v>2.4126199501885087E-5</v>
      </c>
      <c r="EF48">
        <f t="shared" si="57"/>
        <v>2.5945090403150688E+19</v>
      </c>
      <c r="EI48">
        <v>6</v>
      </c>
      <c r="EJ48">
        <f t="shared" ref="EJ48:EJ49" si="125">EK47</f>
        <v>1.9977232727092658E-5</v>
      </c>
      <c r="EK48">
        <f t="shared" ref="EK48:EK49" si="126">$EJ$43+EI48*$H$2</f>
        <v>2.0077232727092661E-5</v>
      </c>
      <c r="EL48">
        <f t="shared" ref="EL48:EL49" si="127">((8*$F$1*$H$27)/(3.1415))*(((EK48)^4-(EJ48)^4)-(((EK48)^2-(EJ48)^2)^2/(LN(EK48/EJ48))))^-1</f>
        <v>2.5822459119777014E+19</v>
      </c>
      <c r="EO48">
        <v>6</v>
      </c>
      <c r="EP48">
        <f t="shared" si="119"/>
        <v>1.6625111694089471E-5</v>
      </c>
      <c r="EQ48">
        <f t="shared" si="120"/>
        <v>1.6725111694089473E-5</v>
      </c>
      <c r="ER48">
        <f t="shared" si="121"/>
        <v>2.5675871346501734E+19</v>
      </c>
      <c r="EU48">
        <v>6</v>
      </c>
      <c r="EV48">
        <f t="shared" ref="EV48" si="128">EW47</f>
        <v>1.384990605647878E-5</v>
      </c>
      <c r="EW48">
        <f t="shared" ref="EW48" si="129">$EV$43+EU48*$H$2</f>
        <v>1.3949906056478779E-5</v>
      </c>
      <c r="EX48">
        <f t="shared" ref="EX48" si="130">((8*$F$1*$H$29)/(3.1415))*(((EW48)^4-(EV48)^4)-(((EW48)^2-(EV48)^2)^2/(LN(EW48/EV48))))^-1</f>
        <v>2.5501013463840702E+19</v>
      </c>
    </row>
    <row r="49" spans="1:148" x14ac:dyDescent="0.35">
      <c r="A49">
        <f t="shared" si="64"/>
        <v>7</v>
      </c>
      <c r="B49">
        <f t="shared" si="65"/>
        <v>1.5005999999999999E-3</v>
      </c>
      <c r="C49">
        <f t="shared" si="13"/>
        <v>1.5007E-3</v>
      </c>
      <c r="D49">
        <f t="shared" si="14"/>
        <v>4.5154363069384303E+19</v>
      </c>
      <c r="G49">
        <f t="shared" si="66"/>
        <v>7</v>
      </c>
      <c r="H49">
        <f t="shared" si="67"/>
        <v>1.242443124228288E-3</v>
      </c>
      <c r="I49">
        <f t="shared" si="15"/>
        <v>1.2425431242282881E-3</v>
      </c>
      <c r="J49">
        <f t="shared" si="16"/>
        <v>2.6539870649446662E+19</v>
      </c>
      <c r="M49">
        <f t="shared" si="68"/>
        <v>7</v>
      </c>
      <c r="N49">
        <f t="shared" si="69"/>
        <v>1.0287162301287167E-3</v>
      </c>
      <c r="O49">
        <f t="shared" si="17"/>
        <v>1.0288162301287168E-3</v>
      </c>
      <c r="P49">
        <f t="shared" si="18"/>
        <v>3.3971688894866747E+19</v>
      </c>
      <c r="S49">
        <f t="shared" si="70"/>
        <v>7</v>
      </c>
      <c r="T49">
        <f t="shared" si="71"/>
        <v>8.517727141952369E-4</v>
      </c>
      <c r="U49">
        <f t="shared" si="19"/>
        <v>8.5187271419523685E-4</v>
      </c>
      <c r="V49">
        <f t="shared" si="20"/>
        <v>2.6528750410860929E+19</v>
      </c>
      <c r="Y49">
        <f t="shared" si="72"/>
        <v>7</v>
      </c>
      <c r="Z49">
        <f t="shared" si="73"/>
        <v>7.052819884360564E-4</v>
      </c>
      <c r="AA49">
        <f t="shared" si="21"/>
        <v>7.0538198843605635E-4</v>
      </c>
      <c r="AB49">
        <f t="shared" si="22"/>
        <v>2.6528088924258578E+19</v>
      </c>
      <c r="AE49">
        <f t="shared" si="74"/>
        <v>7</v>
      </c>
      <c r="AF49">
        <f t="shared" si="75"/>
        <v>5.8400298807122306E-4</v>
      </c>
      <c r="AG49">
        <f t="shared" si="23"/>
        <v>5.8410298807122301E-4</v>
      </c>
      <c r="AH49">
        <f t="shared" si="24"/>
        <v>2.6522687874049618E+19</v>
      </c>
      <c r="AK49">
        <f t="shared" si="76"/>
        <v>7</v>
      </c>
      <c r="AL49">
        <f t="shared" si="77"/>
        <v>4.8359665959365767E-4</v>
      </c>
      <c r="AM49">
        <f t="shared" si="25"/>
        <v>4.8369665959365767E-4</v>
      </c>
      <c r="AN49">
        <f t="shared" si="26"/>
        <v>2.6516257847741034E+19</v>
      </c>
      <c r="AQ49">
        <f t="shared" si="78"/>
        <v>7</v>
      </c>
      <c r="AR49">
        <f t="shared" si="79"/>
        <v>4.0047072049440989E-4</v>
      </c>
      <c r="AS49">
        <f t="shared" si="27"/>
        <v>4.005707204944099E-4</v>
      </c>
      <c r="AT49">
        <f t="shared" si="28"/>
        <v>2.6508470888948982E+19</v>
      </c>
      <c r="AW49">
        <f t="shared" si="80"/>
        <v>7</v>
      </c>
      <c r="AX49">
        <f t="shared" si="81"/>
        <v>3.316511365507963E-4</v>
      </c>
      <c r="AY49">
        <f t="shared" si="29"/>
        <v>3.3175113655079631E-4</v>
      </c>
      <c r="AZ49">
        <f t="shared" si="30"/>
        <v>2.6499337795503792E+19</v>
      </c>
      <c r="BC49">
        <f t="shared" si="82"/>
        <v>7</v>
      </c>
      <c r="BD49">
        <f t="shared" si="83"/>
        <v>2.7467571846237759E-4</v>
      </c>
      <c r="BE49">
        <f t="shared" si="31"/>
        <v>2.7477571846237759E-4</v>
      </c>
      <c r="BF49">
        <f t="shared" si="32"/>
        <v>2.6488718705605153E+19</v>
      </c>
      <c r="BI49">
        <f t="shared" si="84"/>
        <v>7</v>
      </c>
      <c r="BJ49">
        <f t="shared" si="85"/>
        <v>2.2750603099362112E-4</v>
      </c>
      <c r="BK49">
        <f t="shared" si="33"/>
        <v>2.2760603099362112E-4</v>
      </c>
      <c r="BL49">
        <f t="shared" si="34"/>
        <v>2.6475843051882349E+19</v>
      </c>
      <c r="BO49">
        <f t="shared" si="86"/>
        <v>7</v>
      </c>
      <c r="BP49">
        <f t="shared" si="87"/>
        <v>1.8845446295690616E-4</v>
      </c>
      <c r="BQ49">
        <f t="shared" si="35"/>
        <v>1.8855446295690617E-4</v>
      </c>
      <c r="BR49">
        <f t="shared" si="36"/>
        <v>2.6460066527278146E+19</v>
      </c>
      <c r="BU49">
        <f t="shared" si="88"/>
        <v>7</v>
      </c>
      <c r="BV49">
        <f t="shared" si="89"/>
        <v>1.5612384878575442E-4</v>
      </c>
      <c r="BW49">
        <f t="shared" si="37"/>
        <v>1.5622384878575442E-4</v>
      </c>
      <c r="BX49">
        <f t="shared" si="38"/>
        <v>2.6441124592386462E+19</v>
      </c>
      <c r="CA49">
        <f t="shared" si="90"/>
        <v>7</v>
      </c>
      <c r="CB49">
        <f t="shared" si="91"/>
        <v>1.2935748151207273E-4</v>
      </c>
      <c r="CC49">
        <f t="shared" si="39"/>
        <v>1.2945748151207273E-4</v>
      </c>
      <c r="CD49">
        <f t="shared" si="40"/>
        <v>3.3825770511470313E+19</v>
      </c>
      <c r="CG49">
        <f t="shared" si="92"/>
        <v>7</v>
      </c>
      <c r="CH49">
        <f t="shared" si="93"/>
        <v>1.0719772873914562E-4</v>
      </c>
      <c r="CI49">
        <f t="shared" si="41"/>
        <v>1.0729772873914562E-4</v>
      </c>
      <c r="CJ49">
        <f t="shared" si="42"/>
        <v>3.3790448126682112E+19</v>
      </c>
      <c r="CM49">
        <f t="shared" si="94"/>
        <v>7</v>
      </c>
      <c r="CN49">
        <f t="shared" si="95"/>
        <v>8.88517709953734E-5</v>
      </c>
      <c r="CO49">
        <f t="shared" si="43"/>
        <v>8.8951770995373403E-5</v>
      </c>
      <c r="CP49">
        <f t="shared" si="44"/>
        <v>3.3747939488955994E+19</v>
      </c>
      <c r="CS49">
        <f t="shared" si="96"/>
        <v>7</v>
      </c>
      <c r="CT49">
        <f t="shared" si="97"/>
        <v>7.3663236674382637E-5</v>
      </c>
      <c r="CU49">
        <f t="shared" si="45"/>
        <v>7.3763236674382639E-5</v>
      </c>
      <c r="CV49">
        <f t="shared" si="46"/>
        <v>3.3696718331778544E+19</v>
      </c>
      <c r="CY49">
        <f t="shared" si="98"/>
        <v>7</v>
      </c>
      <c r="CZ49">
        <f t="shared" si="99"/>
        <v>6.1088718731964103E-5</v>
      </c>
      <c r="DA49">
        <f t="shared" si="47"/>
        <v>6.1188718731964106E-5</v>
      </c>
      <c r="DB49">
        <f t="shared" si="48"/>
        <v>3.3635059371134239E+19</v>
      </c>
      <c r="DE49">
        <f t="shared" si="100"/>
        <v>7</v>
      </c>
      <c r="DF49">
        <f t="shared" si="101"/>
        <v>5.0678332967112315E-5</v>
      </c>
      <c r="DG49">
        <f t="shared" si="49"/>
        <v>5.0778332967112311E-5</v>
      </c>
      <c r="DH49">
        <f t="shared" si="50"/>
        <v>3.3560887941438263E+19</v>
      </c>
      <c r="DK49">
        <f t="shared" si="102"/>
        <v>7</v>
      </c>
      <c r="DL49">
        <f t="shared" si="103"/>
        <v>4.2059622312015489E-5</v>
      </c>
      <c r="DM49">
        <f t="shared" si="51"/>
        <v>4.2159622312015485E-5</v>
      </c>
      <c r="DN49">
        <f t="shared" si="52"/>
        <v>3.3471729339144417E+19</v>
      </c>
      <c r="DQ49">
        <f t="shared" si="104"/>
        <v>7</v>
      </c>
      <c r="DR49">
        <f t="shared" si="105"/>
        <v>3.492423126751876E-5</v>
      </c>
      <c r="DS49">
        <f t="shared" si="53"/>
        <v>3.5024231267518755E-5</v>
      </c>
      <c r="DT49">
        <f t="shared" si="106"/>
        <v>3.3364664720575357E+19</v>
      </c>
      <c r="DW49">
        <v>7</v>
      </c>
      <c r="DX49">
        <f t="shared" si="107"/>
        <v>2.9016873729326551E-5</v>
      </c>
      <c r="DY49">
        <f t="shared" si="54"/>
        <v>2.911687372932655E-5</v>
      </c>
      <c r="DZ49">
        <f t="shared" si="55"/>
        <v>2.5957888041350382E+19</v>
      </c>
      <c r="EC49">
        <v>7</v>
      </c>
      <c r="ED49">
        <f t="shared" ref="ED49:ED50" si="131">EE48</f>
        <v>2.4126199501885087E-5</v>
      </c>
      <c r="EE49">
        <f t="shared" ref="EE49:EE50" si="132">$ED$43+EC49*$H$2</f>
        <v>2.4226199501885086E-5</v>
      </c>
      <c r="EF49">
        <f t="shared" ref="EF49:EF50" si="133">((8*$F$1*$H$26)/(3.1415))*(((EE49)^4-(ED49)^4)-(((EE49)^2-(ED49)^2)^2/(LN(EE49/ED49))))^-1</f>
        <v>2.5837773634726797E+19</v>
      </c>
      <c r="EI49">
        <v>7</v>
      </c>
      <c r="EJ49">
        <f t="shared" si="125"/>
        <v>2.0077232727092661E-5</v>
      </c>
      <c r="EK49">
        <f t="shared" si="126"/>
        <v>2.017723272709266E-5</v>
      </c>
      <c r="EL49">
        <f t="shared" si="127"/>
        <v>2.5694163130537665E+19</v>
      </c>
      <c r="EO49">
        <v>7</v>
      </c>
      <c r="EP49">
        <f t="shared" ref="EP49" si="134">EQ48</f>
        <v>1.6725111694089473E-5</v>
      </c>
      <c r="EQ49">
        <f t="shared" ref="EQ49" si="135">$EP$43+EO49*$H$2</f>
        <v>1.6825111694089472E-5</v>
      </c>
      <c r="ER49">
        <f t="shared" ref="ER49" si="136">((8*$F$1*$H$28)/(3.1415))*(((EQ49)^4-(EP49)^4)-(((EQ49)^2-(EP49)^2)^2/(LN(EQ49/EP49))))^-1</f>
        <v>2.5522812172110078E+19</v>
      </c>
    </row>
    <row r="50" spans="1:148" x14ac:dyDescent="0.35">
      <c r="A50">
        <f t="shared" si="64"/>
        <v>8</v>
      </c>
      <c r="B50">
        <f t="shared" si="65"/>
        <v>1.5007E-3</v>
      </c>
      <c r="C50">
        <f t="shared" si="13"/>
        <v>1.5008000000000001E-3</v>
      </c>
      <c r="D50">
        <f t="shared" si="14"/>
        <v>4.5095039928340505E+19</v>
      </c>
      <c r="G50">
        <f t="shared" si="66"/>
        <v>8</v>
      </c>
      <c r="H50">
        <f t="shared" si="67"/>
        <v>1.2425431242282881E-3</v>
      </c>
      <c r="I50">
        <f t="shared" si="15"/>
        <v>1.2426431242282881E-3</v>
      </c>
      <c r="J50">
        <f t="shared" si="16"/>
        <v>2.6536472864310845E+19</v>
      </c>
      <c r="M50">
        <f t="shared" si="68"/>
        <v>8</v>
      </c>
      <c r="N50">
        <f t="shared" si="69"/>
        <v>1.0288162301287168E-3</v>
      </c>
      <c r="O50">
        <f t="shared" si="17"/>
        <v>1.0289162301287168E-3</v>
      </c>
      <c r="P50">
        <f t="shared" si="18"/>
        <v>3.3980198639039898E+19</v>
      </c>
      <c r="S50">
        <f t="shared" si="70"/>
        <v>8</v>
      </c>
      <c r="T50">
        <f t="shared" si="71"/>
        <v>8.5187271419523685E-4</v>
      </c>
      <c r="U50">
        <f t="shared" si="19"/>
        <v>8.5197271419523691E-4</v>
      </c>
      <c r="V50">
        <f t="shared" si="20"/>
        <v>2.6532981718034477E+19</v>
      </c>
      <c r="Y50">
        <f t="shared" si="72"/>
        <v>8</v>
      </c>
      <c r="Z50">
        <f t="shared" si="73"/>
        <v>7.0538198843605635E-4</v>
      </c>
      <c r="AA50">
        <f t="shared" si="21"/>
        <v>7.0548198843605641E-4</v>
      </c>
      <c r="AB50">
        <f t="shared" si="22"/>
        <v>2.6520649461723648E+19</v>
      </c>
      <c r="AE50">
        <f t="shared" si="74"/>
        <v>8</v>
      </c>
      <c r="AF50">
        <f t="shared" si="75"/>
        <v>5.8410298807122301E-4</v>
      </c>
      <c r="AG50">
        <f t="shared" si="23"/>
        <v>5.8420298807122307E-4</v>
      </c>
      <c r="AH50">
        <f t="shared" si="24"/>
        <v>2.6519260957327372E+19</v>
      </c>
      <c r="AK50">
        <f t="shared" si="76"/>
        <v>8</v>
      </c>
      <c r="AL50">
        <f t="shared" si="77"/>
        <v>4.8369665959365767E-4</v>
      </c>
      <c r="AM50">
        <f t="shared" si="25"/>
        <v>4.8379665959365767E-4</v>
      </c>
      <c r="AN50">
        <f t="shared" si="26"/>
        <v>2.6510471508606591E+19</v>
      </c>
      <c r="AQ50">
        <f t="shared" si="78"/>
        <v>8</v>
      </c>
      <c r="AR50">
        <f t="shared" si="79"/>
        <v>4.005707204944099E-4</v>
      </c>
      <c r="AS50">
        <f t="shared" si="27"/>
        <v>4.006707204944099E-4</v>
      </c>
      <c r="AT50">
        <f t="shared" si="28"/>
        <v>2.6501945660294234E+19</v>
      </c>
      <c r="AW50">
        <f t="shared" si="80"/>
        <v>8</v>
      </c>
      <c r="AX50">
        <f t="shared" si="81"/>
        <v>3.3175113655079631E-4</v>
      </c>
      <c r="AY50">
        <f t="shared" si="29"/>
        <v>3.3185113655079631E-4</v>
      </c>
      <c r="AZ50">
        <f t="shared" si="30"/>
        <v>2.649136984544186E+19</v>
      </c>
      <c r="BC50">
        <f t="shared" si="82"/>
        <v>8</v>
      </c>
      <c r="BD50">
        <f t="shared" si="83"/>
        <v>2.7477571846237759E-4</v>
      </c>
      <c r="BE50">
        <f t="shared" si="31"/>
        <v>2.7487571846237759E-4</v>
      </c>
      <c r="BF50">
        <f t="shared" si="32"/>
        <v>2.6479279253852447E+19</v>
      </c>
      <c r="BI50">
        <f t="shared" si="84"/>
        <v>8</v>
      </c>
      <c r="BJ50">
        <f t="shared" si="85"/>
        <v>2.2760603099362112E-4</v>
      </c>
      <c r="BK50">
        <f t="shared" si="33"/>
        <v>2.2770603099362113E-4</v>
      </c>
      <c r="BL50">
        <f t="shared" si="34"/>
        <v>2.6464224196316778E+19</v>
      </c>
      <c r="BO50">
        <f t="shared" si="86"/>
        <v>8</v>
      </c>
      <c r="BP50">
        <f t="shared" si="87"/>
        <v>1.8855446295690617E-4</v>
      </c>
      <c r="BQ50">
        <f t="shared" si="35"/>
        <v>1.8865446295690617E-4</v>
      </c>
      <c r="BR50">
        <f t="shared" si="36"/>
        <v>2.6446058214207787E+19</v>
      </c>
      <c r="BU50">
        <f t="shared" si="88"/>
        <v>8</v>
      </c>
      <c r="BV50">
        <f t="shared" si="89"/>
        <v>1.5622384878575442E-4</v>
      </c>
      <c r="BW50">
        <f t="shared" si="37"/>
        <v>1.5632384878575442E-4</v>
      </c>
      <c r="BX50">
        <f t="shared" si="38"/>
        <v>2.6424243509004415E+19</v>
      </c>
      <c r="CA50">
        <f t="shared" si="90"/>
        <v>8</v>
      </c>
      <c r="CB50">
        <f t="shared" si="91"/>
        <v>1.2945748151207273E-4</v>
      </c>
      <c r="CC50">
        <f t="shared" si="39"/>
        <v>1.2955748151207273E-4</v>
      </c>
      <c r="CD50">
        <f t="shared" si="40"/>
        <v>3.379961863826935E+19</v>
      </c>
      <c r="CG50">
        <f t="shared" si="92"/>
        <v>8</v>
      </c>
      <c r="CH50">
        <f t="shared" si="93"/>
        <v>1.0729772873914562E-4</v>
      </c>
      <c r="CI50">
        <f t="shared" si="41"/>
        <v>1.0739772873914562E-4</v>
      </c>
      <c r="CJ50">
        <f t="shared" si="42"/>
        <v>3.3758983414511682E+19</v>
      </c>
      <c r="CM50">
        <f t="shared" si="94"/>
        <v>8</v>
      </c>
      <c r="CN50">
        <f t="shared" si="95"/>
        <v>8.8951770995373403E-5</v>
      </c>
      <c r="CO50">
        <f t="shared" si="43"/>
        <v>8.9051770995373405E-5</v>
      </c>
      <c r="CP50">
        <f t="shared" si="44"/>
        <v>3.3710022490994668E+19</v>
      </c>
      <c r="CS50">
        <f t="shared" si="96"/>
        <v>8</v>
      </c>
      <c r="CT50">
        <f t="shared" si="97"/>
        <v>7.3763236674382639E-5</v>
      </c>
      <c r="CU50">
        <f t="shared" si="45"/>
        <v>7.3863236674382641E-5</v>
      </c>
      <c r="CV50">
        <f t="shared" si="46"/>
        <v>3.365106573455111E+19</v>
      </c>
      <c r="CY50">
        <f t="shared" si="98"/>
        <v>8</v>
      </c>
      <c r="CZ50">
        <f t="shared" si="99"/>
        <v>6.1188718731964106E-5</v>
      </c>
      <c r="DA50">
        <f t="shared" si="47"/>
        <v>6.1288718731964108E-5</v>
      </c>
      <c r="DB50">
        <f t="shared" si="48"/>
        <v>3.3580138243702591E+19</v>
      </c>
      <c r="DE50">
        <f t="shared" si="100"/>
        <v>8</v>
      </c>
      <c r="DF50">
        <f t="shared" si="101"/>
        <v>5.0778332967112311E-5</v>
      </c>
      <c r="DG50">
        <f t="shared" si="49"/>
        <v>5.0878332967112313E-5</v>
      </c>
      <c r="DH50">
        <f t="shared" si="50"/>
        <v>3.3494857692111503E+19</v>
      </c>
      <c r="DK50">
        <f t="shared" si="102"/>
        <v>8</v>
      </c>
      <c r="DL50">
        <f t="shared" si="103"/>
        <v>4.2159622312015485E-5</v>
      </c>
      <c r="DM50">
        <f t="shared" si="51"/>
        <v>4.2259622312015487E-5</v>
      </c>
      <c r="DN50">
        <f t="shared" si="52"/>
        <v>3.3392430389338264E+19</v>
      </c>
      <c r="DQ50">
        <f t="shared" si="104"/>
        <v>8</v>
      </c>
      <c r="DR50">
        <f t="shared" si="105"/>
        <v>3.5024231267518755E-5</v>
      </c>
      <c r="DS50">
        <f t="shared" si="53"/>
        <v>3.5124231267518758E-5</v>
      </c>
      <c r="DT50">
        <f t="shared" si="106"/>
        <v>3.3269539581537018E+19</v>
      </c>
      <c r="DW50">
        <v>8</v>
      </c>
      <c r="DX50">
        <f t="shared" ref="DX50:DX51" si="137">DY49</f>
        <v>2.911687372932655E-5</v>
      </c>
      <c r="DY50">
        <f t="shared" ref="DY50:DY51" si="138">$DX$43+DW50*$H$2</f>
        <v>2.9216873729326549E-5</v>
      </c>
      <c r="DZ50">
        <f t="shared" ref="DZ50:DZ51" si="139">((8*$F$1*$H$25)/(3.1415))*(((DY50)^4-(DX50)^4)-(((DY50)^2-(DX50)^2)^2/(LN(DY50/DX50))))^-1</f>
        <v>2.5868890645166207E+19</v>
      </c>
      <c r="EC50">
        <v>8</v>
      </c>
      <c r="ED50">
        <f t="shared" si="131"/>
        <v>2.4226199501885086E-5</v>
      </c>
      <c r="EE50">
        <f t="shared" si="132"/>
        <v>2.4326199501885085E-5</v>
      </c>
      <c r="EF50">
        <f t="shared" si="133"/>
        <v>2.5731341266644132E+19</v>
      </c>
      <c r="EI50">
        <v>8</v>
      </c>
      <c r="EJ50">
        <f t="shared" ref="EJ50" si="140">EK49</f>
        <v>2.017723272709266E-5</v>
      </c>
      <c r="EK50">
        <f t="shared" ref="EK50" si="141">$EJ$43+EI50*$H$2</f>
        <v>2.0277232727092659E-5</v>
      </c>
      <c r="EL50">
        <f t="shared" ref="EL50" si="142">((8*$F$1*$H$27)/(3.1415))*(((EK50)^4-(EJ50)^4)-(((EK50)^2-(EJ50)^2)^2/(LN(EK50/EJ50))))^-1</f>
        <v>2.5567135704583475E+19</v>
      </c>
    </row>
    <row r="51" spans="1:148" x14ac:dyDescent="0.35">
      <c r="A51">
        <f t="shared" si="64"/>
        <v>9</v>
      </c>
      <c r="B51">
        <f t="shared" si="65"/>
        <v>1.5008000000000001E-3</v>
      </c>
      <c r="C51">
        <f t="shared" si="13"/>
        <v>1.5009000000000001E-3</v>
      </c>
      <c r="D51">
        <f t="shared" si="14"/>
        <v>4.506306327888547E+19</v>
      </c>
      <c r="G51">
        <f t="shared" si="66"/>
        <v>9</v>
      </c>
      <c r="H51">
        <f t="shared" si="67"/>
        <v>1.2426431242282881E-3</v>
      </c>
      <c r="I51">
        <f t="shared" si="15"/>
        <v>1.2427431242282882E-3</v>
      </c>
      <c r="J51">
        <f t="shared" si="16"/>
        <v>2.655168357485328E+19</v>
      </c>
      <c r="M51">
        <f t="shared" si="68"/>
        <v>9</v>
      </c>
      <c r="N51">
        <f t="shared" si="69"/>
        <v>1.0289162301287168E-3</v>
      </c>
      <c r="O51">
        <f t="shared" si="17"/>
        <v>1.0290162301287169E-3</v>
      </c>
      <c r="P51">
        <f t="shared" si="18"/>
        <v>3.3986178037800325E+19</v>
      </c>
      <c r="S51">
        <f t="shared" si="70"/>
        <v>9</v>
      </c>
      <c r="T51">
        <f t="shared" si="71"/>
        <v>8.5197271419523691E-4</v>
      </c>
      <c r="U51">
        <f t="shared" si="19"/>
        <v>8.5207271419523686E-4</v>
      </c>
      <c r="V51">
        <f t="shared" si="20"/>
        <v>2.6524549231532089E+19</v>
      </c>
      <c r="Y51">
        <f t="shared" si="72"/>
        <v>9</v>
      </c>
      <c r="Z51">
        <f t="shared" si="73"/>
        <v>7.0548198843605641E-4</v>
      </c>
      <c r="AA51">
        <f t="shared" si="21"/>
        <v>7.0558198843605636E-4</v>
      </c>
      <c r="AB51">
        <f t="shared" si="22"/>
        <v>2.651896971218688E+19</v>
      </c>
      <c r="AE51">
        <f t="shared" si="74"/>
        <v>9</v>
      </c>
      <c r="AF51">
        <f t="shared" si="75"/>
        <v>5.8420298807122307E-4</v>
      </c>
      <c r="AG51">
        <f t="shared" si="23"/>
        <v>5.8430298807122302E-4</v>
      </c>
      <c r="AH51">
        <f t="shared" si="24"/>
        <v>2.6512543597378032E+19</v>
      </c>
      <c r="AK51">
        <f t="shared" si="76"/>
        <v>9</v>
      </c>
      <c r="AL51">
        <f t="shared" si="77"/>
        <v>4.8379665959365767E-4</v>
      </c>
      <c r="AM51">
        <f t="shared" si="25"/>
        <v>4.8389665959365768E-4</v>
      </c>
      <c r="AN51">
        <f t="shared" si="26"/>
        <v>2.6505392618288808E+19</v>
      </c>
      <c r="AQ51">
        <f t="shared" si="78"/>
        <v>9</v>
      </c>
      <c r="AR51">
        <f t="shared" si="79"/>
        <v>4.006707204944099E-4</v>
      </c>
      <c r="AS51">
        <f t="shared" si="27"/>
        <v>4.007707204944099E-4</v>
      </c>
      <c r="AT51">
        <f t="shared" si="28"/>
        <v>2.6495973160238404E+19</v>
      </c>
      <c r="AW51">
        <f t="shared" si="80"/>
        <v>9</v>
      </c>
      <c r="AX51">
        <f t="shared" si="81"/>
        <v>3.3185113655079631E-4</v>
      </c>
      <c r="AY51">
        <f t="shared" si="29"/>
        <v>3.3195113655079631E-4</v>
      </c>
      <c r="AZ51">
        <f t="shared" si="30"/>
        <v>2.6483702297070752E+19</v>
      </c>
      <c r="BC51">
        <f t="shared" si="82"/>
        <v>9</v>
      </c>
      <c r="BD51">
        <f t="shared" si="83"/>
        <v>2.7487571846237759E-4</v>
      </c>
      <c r="BE51">
        <f t="shared" si="31"/>
        <v>2.7497571846237759E-4</v>
      </c>
      <c r="BF51">
        <f t="shared" si="32"/>
        <v>2.6469509752649798E+19</v>
      </c>
      <c r="BI51">
        <f t="shared" si="84"/>
        <v>9</v>
      </c>
      <c r="BJ51">
        <f t="shared" si="85"/>
        <v>2.2770603099362113E-4</v>
      </c>
      <c r="BK51">
        <f t="shared" si="33"/>
        <v>2.2780603099362113E-4</v>
      </c>
      <c r="BL51">
        <f t="shared" si="34"/>
        <v>2.6452451595101135E+19</v>
      </c>
      <c r="BO51">
        <f t="shared" si="86"/>
        <v>9</v>
      </c>
      <c r="BP51">
        <f t="shared" si="87"/>
        <v>1.8865446295690617E-4</v>
      </c>
      <c r="BQ51">
        <f t="shared" si="35"/>
        <v>1.8875446295690617E-4</v>
      </c>
      <c r="BR51">
        <f t="shared" si="36"/>
        <v>2.6431990957940376E+19</v>
      </c>
      <c r="BU51">
        <f t="shared" si="88"/>
        <v>9</v>
      </c>
      <c r="BV51">
        <f t="shared" si="89"/>
        <v>1.5632384878575442E-4</v>
      </c>
      <c r="BW51">
        <f t="shared" si="37"/>
        <v>1.5642384878575443E-4</v>
      </c>
      <c r="BX51">
        <f t="shared" si="38"/>
        <v>2.6407297104049459E+19</v>
      </c>
      <c r="CA51">
        <f t="shared" si="90"/>
        <v>9</v>
      </c>
      <c r="CB51">
        <f t="shared" si="91"/>
        <v>1.2955748151207273E-4</v>
      </c>
      <c r="CC51">
        <f t="shared" si="39"/>
        <v>1.2965748151207274E-4</v>
      </c>
      <c r="CD51">
        <f t="shared" si="40"/>
        <v>3.3773520100943495E+19</v>
      </c>
      <c r="CG51">
        <f t="shared" si="92"/>
        <v>9</v>
      </c>
      <c r="CH51">
        <f t="shared" si="93"/>
        <v>1.0739772873914562E-4</v>
      </c>
      <c r="CI51">
        <f t="shared" si="41"/>
        <v>1.0749772873914561E-4</v>
      </c>
      <c r="CJ51">
        <f t="shared" si="42"/>
        <v>3.3727546119449821E+19</v>
      </c>
      <c r="CM51">
        <f t="shared" si="94"/>
        <v>9</v>
      </c>
      <c r="CN51">
        <f t="shared" si="95"/>
        <v>8.9051770995373405E-5</v>
      </c>
      <c r="CO51">
        <f t="shared" si="43"/>
        <v>8.9151770995373394E-5</v>
      </c>
      <c r="CP51">
        <f t="shared" si="44"/>
        <v>3.3672186846741471E+19</v>
      </c>
      <c r="CS51">
        <f t="shared" si="96"/>
        <v>9</v>
      </c>
      <c r="CT51">
        <f t="shared" si="97"/>
        <v>7.3863236674382641E-5</v>
      </c>
      <c r="CU51">
        <f t="shared" si="45"/>
        <v>7.396323667438263E-5</v>
      </c>
      <c r="CV51">
        <f t="shared" si="46"/>
        <v>3.3605537393412891E+19</v>
      </c>
      <c r="CY51">
        <f t="shared" si="98"/>
        <v>9</v>
      </c>
      <c r="CZ51">
        <f t="shared" si="99"/>
        <v>6.1288718731964108E-5</v>
      </c>
      <c r="DA51">
        <f t="shared" si="47"/>
        <v>6.1388718731964111E-5</v>
      </c>
      <c r="DB51">
        <f t="shared" si="48"/>
        <v>3.3525393091366539E+19</v>
      </c>
      <c r="DE51">
        <f t="shared" si="100"/>
        <v>9</v>
      </c>
      <c r="DF51">
        <f t="shared" si="101"/>
        <v>5.0878332967112313E-5</v>
      </c>
      <c r="DG51">
        <f t="shared" si="49"/>
        <v>5.0978332967112316E-5</v>
      </c>
      <c r="DH51">
        <f t="shared" si="50"/>
        <v>3.3429089724340924E+19</v>
      </c>
      <c r="DK51">
        <f t="shared" si="102"/>
        <v>9</v>
      </c>
      <c r="DL51">
        <f t="shared" si="103"/>
        <v>4.2259622312015487E-5</v>
      </c>
      <c r="DM51">
        <f>$DL$43+DK51*$H$2</f>
        <v>4.2359622312015489E-5</v>
      </c>
      <c r="DN51">
        <f t="shared" si="52"/>
        <v>3.3313505132196024E+19</v>
      </c>
      <c r="DQ51">
        <f t="shared" si="104"/>
        <v>9</v>
      </c>
      <c r="DR51">
        <f t="shared" ref="DR51:DR52" si="143">DS50</f>
        <v>3.5124231267518758E-5</v>
      </c>
      <c r="DS51">
        <f t="shared" ref="DS51:DS52" si="144">$DR$43+DQ51*$H$2</f>
        <v>3.522423126751876E-5</v>
      </c>
      <c r="DT51">
        <f t="shared" ref="DT51:DT52" si="145">((8*$H$1*$H$24)/(3.1415))*(((DS51)^4-(DR51)^4)-(((DS51)^2-(DR51)^2)^2/(LN(DS51/DR51))))^-1</f>
        <v>3.3174954100509053E+19</v>
      </c>
      <c r="DW51">
        <v>9</v>
      </c>
      <c r="DX51">
        <f t="shared" si="137"/>
        <v>2.9216873729326549E-5</v>
      </c>
      <c r="DY51">
        <f t="shared" si="138"/>
        <v>2.9316873729326552E-5</v>
      </c>
      <c r="DZ51">
        <f t="shared" si="139"/>
        <v>2.5780501024701805E+19</v>
      </c>
      <c r="EC51">
        <v>9</v>
      </c>
      <c r="ED51">
        <f t="shared" ref="ED51" si="146">EE50</f>
        <v>2.4326199501885085E-5</v>
      </c>
      <c r="EE51">
        <f t="shared" ref="EE51" si="147">$ED$43+EC51*$H$2</f>
        <v>2.4426199501885087E-5</v>
      </c>
      <c r="EF51">
        <f t="shared" ref="EF51" si="148">((8*$F$1*$H$26)/(3.1415))*(((EE51)^4-(ED51)^4)-(((EE51)^2-(ED51)^2)^2/(LN(EE51/ED51))))^-1</f>
        <v>2.5625782027441119E+19</v>
      </c>
    </row>
    <row r="52" spans="1:148" x14ac:dyDescent="0.35">
      <c r="A52">
        <f t="shared" si="64"/>
        <v>10</v>
      </c>
      <c r="B52">
        <f t="shared" si="65"/>
        <v>1.5009000000000001E-3</v>
      </c>
      <c r="C52">
        <f t="shared" si="13"/>
        <v>1.5009999999999999E-3</v>
      </c>
      <c r="D52">
        <f t="shared" si="14"/>
        <v>4.5107584599488225E+19</v>
      </c>
      <c r="G52">
        <f t="shared" si="66"/>
        <v>10</v>
      </c>
      <c r="H52">
        <f t="shared" si="67"/>
        <v>1.2427431242282882E-3</v>
      </c>
      <c r="I52">
        <f t="shared" si="15"/>
        <v>1.242843124228288E-3</v>
      </c>
      <c r="J52">
        <f t="shared" si="16"/>
        <v>2.6524485683081015E+19</v>
      </c>
      <c r="M52">
        <f t="shared" si="68"/>
        <v>10</v>
      </c>
      <c r="N52">
        <f t="shared" si="69"/>
        <v>1.0290162301287169E-3</v>
      </c>
      <c r="O52">
        <f t="shared" si="17"/>
        <v>1.0291162301287167E-3</v>
      </c>
      <c r="P52">
        <f t="shared" si="18"/>
        <v>3.3962270619454972E+19</v>
      </c>
      <c r="S52">
        <f t="shared" si="70"/>
        <v>10</v>
      </c>
      <c r="T52">
        <f t="shared" si="71"/>
        <v>8.5207271419523686E-4</v>
      </c>
      <c r="U52">
        <f t="shared" si="19"/>
        <v>8.5217271419523691E-4</v>
      </c>
      <c r="V52">
        <f t="shared" si="20"/>
        <v>2.6519482876128535E+19</v>
      </c>
      <c r="Y52">
        <f t="shared" si="72"/>
        <v>10</v>
      </c>
      <c r="Z52">
        <f t="shared" si="73"/>
        <v>7.0558198843605636E-4</v>
      </c>
      <c r="AA52">
        <f t="shared" si="21"/>
        <v>7.0568198843605641E-4</v>
      </c>
      <c r="AB52">
        <f t="shared" si="22"/>
        <v>2.6513372546589258E+19</v>
      </c>
      <c r="AE52">
        <f t="shared" si="74"/>
        <v>10</v>
      </c>
      <c r="AF52">
        <f t="shared" si="75"/>
        <v>5.8430298807122302E-4</v>
      </c>
      <c r="AG52">
        <f t="shared" si="23"/>
        <v>5.8440298807122307E-4</v>
      </c>
      <c r="AH52">
        <f t="shared" si="24"/>
        <v>2.6509122237098861E+19</v>
      </c>
      <c r="AK52">
        <f t="shared" si="76"/>
        <v>10</v>
      </c>
      <c r="AL52">
        <f t="shared" si="77"/>
        <v>4.8389665959365768E-4</v>
      </c>
      <c r="AM52">
        <f t="shared" si="25"/>
        <v>4.8399665959365768E-4</v>
      </c>
      <c r="AN52">
        <f t="shared" si="26"/>
        <v>2.6499668980079768E+19</v>
      </c>
      <c r="AQ52">
        <f t="shared" si="78"/>
        <v>10</v>
      </c>
      <c r="AR52">
        <f t="shared" si="79"/>
        <v>4.007707204944099E-4</v>
      </c>
      <c r="AS52">
        <f t="shared" si="27"/>
        <v>4.008707204944099E-4</v>
      </c>
      <c r="AT52">
        <f t="shared" si="28"/>
        <v>2.6489072234255294E+19</v>
      </c>
      <c r="AW52">
        <f t="shared" si="80"/>
        <v>10</v>
      </c>
      <c r="AX52">
        <f t="shared" si="81"/>
        <v>3.3195113655079631E-4</v>
      </c>
      <c r="AY52">
        <f t="shared" si="29"/>
        <v>3.3205113655079631E-4</v>
      </c>
      <c r="AZ52">
        <f t="shared" si="30"/>
        <v>2.6475873495221047E+19</v>
      </c>
      <c r="BC52">
        <f t="shared" si="82"/>
        <v>10</v>
      </c>
      <c r="BD52">
        <f t="shared" si="83"/>
        <v>2.7497571846237759E-4</v>
      </c>
      <c r="BE52">
        <f t="shared" si="31"/>
        <v>2.750757184623776E-4</v>
      </c>
      <c r="BF52">
        <f t="shared" si="32"/>
        <v>2.6459854406975869E+19</v>
      </c>
      <c r="BI52">
        <f t="shared" si="84"/>
        <v>10</v>
      </c>
      <c r="BJ52">
        <f t="shared" si="85"/>
        <v>2.2780603099362113E-4</v>
      </c>
      <c r="BK52">
        <f t="shared" si="33"/>
        <v>2.2790603099362113E-4</v>
      </c>
      <c r="BL52">
        <f t="shared" si="34"/>
        <v>2.6440894691241791E+19</v>
      </c>
      <c r="BO52">
        <f t="shared" si="86"/>
        <v>10</v>
      </c>
      <c r="BP52">
        <f t="shared" si="87"/>
        <v>1.8875446295690617E-4</v>
      </c>
      <c r="BQ52">
        <f t="shared" si="35"/>
        <v>1.8885446295690617E-4</v>
      </c>
      <c r="BR52">
        <f t="shared" si="36"/>
        <v>2.641800757860166E+19</v>
      </c>
      <c r="BU52">
        <f t="shared" si="88"/>
        <v>10</v>
      </c>
      <c r="BV52">
        <f t="shared" si="89"/>
        <v>1.5642384878575443E-4</v>
      </c>
      <c r="BW52">
        <f t="shared" si="37"/>
        <v>1.5652384878575443E-4</v>
      </c>
      <c r="BX52">
        <f>((8*$F$1*$H$16)/(3.1415))*(((BW52)^4-(BV52)^4)-(((BW52)^2-(BV52)^2)^2/(LN(BW52/BV52))))^-1</f>
        <v>2.639040818406697E+19</v>
      </c>
      <c r="CA52">
        <f t="shared" si="90"/>
        <v>10</v>
      </c>
      <c r="CB52">
        <f t="shared" si="91"/>
        <v>1.2965748151207274E-4</v>
      </c>
      <c r="CC52">
        <f t="shared" si="39"/>
        <v>1.2975748151207274E-4</v>
      </c>
      <c r="CD52">
        <f t="shared" si="40"/>
        <v>3.3747499117906059E+19</v>
      </c>
      <c r="CG52">
        <f t="shared" si="92"/>
        <v>10</v>
      </c>
      <c r="CH52">
        <f t="shared" si="93"/>
        <v>1.0749772873914561E-4</v>
      </c>
      <c r="CI52">
        <f t="shared" si="41"/>
        <v>1.0759772873914561E-4</v>
      </c>
      <c r="CJ52">
        <f t="shared" si="42"/>
        <v>3.3696207644022583E+19</v>
      </c>
      <c r="CM52">
        <f t="shared" si="94"/>
        <v>10</v>
      </c>
      <c r="CN52">
        <f t="shared" si="95"/>
        <v>8.9151770995373394E-5</v>
      </c>
      <c r="CO52">
        <f t="shared" si="43"/>
        <v>8.9251770995373396E-5</v>
      </c>
      <c r="CP52">
        <f t="shared" si="44"/>
        <v>3.3634439593433887E+19</v>
      </c>
      <c r="CS52">
        <f t="shared" si="96"/>
        <v>10</v>
      </c>
      <c r="CT52">
        <f t="shared" si="97"/>
        <v>7.396323667438263E-5</v>
      </c>
      <c r="CU52">
        <f t="shared" si="45"/>
        <v>7.4063236674382633E-5</v>
      </c>
      <c r="CV52">
        <f t="shared" si="46"/>
        <v>3.356013343217562E+19</v>
      </c>
      <c r="CY52">
        <f t="shared" si="98"/>
        <v>10</v>
      </c>
      <c r="CZ52">
        <f t="shared" si="99"/>
        <v>6.1388718731964111E-5</v>
      </c>
      <c r="DA52">
        <f t="shared" si="47"/>
        <v>6.1488718731964113E-5</v>
      </c>
      <c r="DB52">
        <f t="shared" si="48"/>
        <v>3.3470823143739068E+19</v>
      </c>
      <c r="DE52">
        <f t="shared" si="100"/>
        <v>10</v>
      </c>
      <c r="DF52">
        <f t="shared" si="101"/>
        <v>5.0978332967112316E-5</v>
      </c>
      <c r="DG52">
        <f t="shared" si="49"/>
        <v>5.1078332967112312E-5</v>
      </c>
      <c r="DH52">
        <f t="shared" si="50"/>
        <v>3.3363580141266825E+19</v>
      </c>
      <c r="DK52">
        <f t="shared" si="102"/>
        <v>10</v>
      </c>
      <c r="DL52">
        <f t="shared" ref="DL52:DL53" si="149">DM51</f>
        <v>4.2359622312015489E-5</v>
      </c>
      <c r="DM52">
        <f t="shared" ref="DM52:DM53" si="150">$DL$43+DK52*$H$2</f>
        <v>4.2459622312015485E-5</v>
      </c>
      <c r="DN52">
        <f t="shared" ref="DN52:DN53" si="151">((8*$H$1*$H$23)/(3.1415))*(((DM52)^4-(DL52)^4)-(((DM52)^2-(DL52)^2)^2/(LN(DM52/DL52))))^-1</f>
        <v>3.3234954689141473E+19</v>
      </c>
      <c r="DQ52">
        <f t="shared" si="104"/>
        <v>10</v>
      </c>
      <c r="DR52">
        <f t="shared" si="143"/>
        <v>3.522423126751876E-5</v>
      </c>
      <c r="DS52">
        <f t="shared" si="144"/>
        <v>3.5324231267518756E-5</v>
      </c>
      <c r="DT52">
        <f t="shared" si="145"/>
        <v>3.3080906161911181E+19</v>
      </c>
      <c r="DW52">
        <v>10</v>
      </c>
      <c r="DX52">
        <f t="shared" ref="DX52" si="152">DY51</f>
        <v>2.9316873729326552E-5</v>
      </c>
      <c r="DY52">
        <f t="shared" ref="DY52" si="153">$DX$43+DW52*$H$2</f>
        <v>2.9416873729326551E-5</v>
      </c>
      <c r="DZ52">
        <f t="shared" ref="DZ52" si="154">((8*$F$1*$H$25)/(3.1415))*(((DY52)^4-(DX52)^4)-(((DY52)^2-(DX52)^2)^2/(LN(DY52/DX52))))^-1</f>
        <v>2.5692713272441348E+19</v>
      </c>
    </row>
    <row r="53" spans="1:148" x14ac:dyDescent="0.35">
      <c r="A53">
        <f t="shared" si="64"/>
        <v>11</v>
      </c>
      <c r="B53">
        <f t="shared" si="65"/>
        <v>1.5009999999999999E-3</v>
      </c>
      <c r="C53">
        <f t="shared" si="13"/>
        <v>1.5011E-3</v>
      </c>
      <c r="D53">
        <f t="shared" si="14"/>
        <v>4.5112367898406765E+19</v>
      </c>
      <c r="G53">
        <f t="shared" si="66"/>
        <v>11</v>
      </c>
      <c r="H53">
        <f t="shared" si="67"/>
        <v>1.242843124228288E-3</v>
      </c>
      <c r="I53">
        <f t="shared" si="15"/>
        <v>1.2429431242282881E-3</v>
      </c>
      <c r="J53">
        <f t="shared" si="16"/>
        <v>2.6538125049104069E+19</v>
      </c>
      <c r="M53">
        <f t="shared" si="68"/>
        <v>11</v>
      </c>
      <c r="N53">
        <f t="shared" si="69"/>
        <v>1.0291162301287167E-3</v>
      </c>
      <c r="O53">
        <f t="shared" si="17"/>
        <v>1.0292162301287168E-3</v>
      </c>
      <c r="P53">
        <f t="shared" si="18"/>
        <v>3.3943592341543236E+19</v>
      </c>
      <c r="S53">
        <f t="shared" si="70"/>
        <v>11</v>
      </c>
      <c r="T53">
        <f t="shared" si="71"/>
        <v>8.5217271419523691E-4</v>
      </c>
      <c r="U53">
        <f t="shared" si="19"/>
        <v>8.5227271419523686E-4</v>
      </c>
      <c r="V53">
        <f t="shared" si="20"/>
        <v>2.6519599097482371E+19</v>
      </c>
      <c r="Y53">
        <f t="shared" si="72"/>
        <v>11</v>
      </c>
      <c r="Z53">
        <f t="shared" si="73"/>
        <v>7.0568198843605641E-4</v>
      </c>
      <c r="AA53">
        <f t="shared" si="21"/>
        <v>7.0578198843605636E-4</v>
      </c>
      <c r="AB53">
        <f t="shared" si="22"/>
        <v>2.6511682605941731E+19</v>
      </c>
      <c r="AE53">
        <f t="shared" si="74"/>
        <v>11</v>
      </c>
      <c r="AF53">
        <f t="shared" si="75"/>
        <v>5.8440298807122307E-4</v>
      </c>
      <c r="AG53">
        <f t="shared" si="23"/>
        <v>5.8450298807122302E-4</v>
      </c>
      <c r="AH53">
        <f t="shared" si="24"/>
        <v>2.6502858114339594E+19</v>
      </c>
      <c r="AK53">
        <f t="shared" si="76"/>
        <v>11</v>
      </c>
      <c r="AL53">
        <f t="shared" si="77"/>
        <v>4.8399665959365768E-4</v>
      </c>
      <c r="AM53">
        <f t="shared" si="25"/>
        <v>4.8409665959365768E-4</v>
      </c>
      <c r="AN53">
        <f t="shared" si="26"/>
        <v>2.6493009493372953E+19</v>
      </c>
      <c r="AQ53">
        <f t="shared" si="78"/>
        <v>11</v>
      </c>
      <c r="AR53">
        <f t="shared" si="79"/>
        <v>4.008707204944099E-4</v>
      </c>
      <c r="AS53">
        <f t="shared" si="27"/>
        <v>4.0097072049440991E-4</v>
      </c>
      <c r="AT53">
        <f t="shared" si="28"/>
        <v>2.6482566321497772E+19</v>
      </c>
      <c r="AW53">
        <f t="shared" si="80"/>
        <v>11</v>
      </c>
      <c r="AX53">
        <f t="shared" si="81"/>
        <v>3.3205113655079631E-4</v>
      </c>
      <c r="AY53">
        <f t="shared" si="29"/>
        <v>3.3215113655079632E-4</v>
      </c>
      <c r="AZ53">
        <f t="shared" si="30"/>
        <v>2.6467331161699041E+19</v>
      </c>
      <c r="BC53">
        <f t="shared" si="82"/>
        <v>11</v>
      </c>
      <c r="BD53">
        <f t="shared" si="83"/>
        <v>2.750757184623776E-4</v>
      </c>
      <c r="BE53">
        <f t="shared" si="31"/>
        <v>2.751757184623776E-4</v>
      </c>
      <c r="BF53">
        <f t="shared" si="32"/>
        <v>2.6450277202636149E+19</v>
      </c>
      <c r="BI53">
        <f t="shared" si="84"/>
        <v>11</v>
      </c>
      <c r="BJ53">
        <f t="shared" si="85"/>
        <v>2.2790603099362113E-4</v>
      </c>
      <c r="BK53">
        <f t="shared" si="33"/>
        <v>2.2800603099362113E-4</v>
      </c>
      <c r="BL53">
        <f t="shared" si="34"/>
        <v>2.6429378561792262E+19</v>
      </c>
      <c r="BO53">
        <f t="shared" si="86"/>
        <v>11</v>
      </c>
      <c r="BP53">
        <f t="shared" si="87"/>
        <v>1.8885446295690617E-4</v>
      </c>
      <c r="BQ53">
        <f t="shared" si="35"/>
        <v>1.8895446295690618E-4</v>
      </c>
      <c r="BR53">
        <f t="shared" ref="BR53:BR61" si="155">((8*$H$1*$H$15)/(3.1415))*(((BQ53)^4-(BP53)^4)-(((BQ53)^2-(BP53)^2)^2/(LN(BQ53/BP53))))^-1</f>
        <v>3.380747799063636E+19</v>
      </c>
      <c r="BU53">
        <f t="shared" si="88"/>
        <v>11</v>
      </c>
      <c r="BV53">
        <f>BW52</f>
        <v>1.5652384878575443E-4</v>
      </c>
      <c r="BW53">
        <f t="shared" si="37"/>
        <v>1.5662384878575443E-4</v>
      </c>
      <c r="BX53">
        <f t="shared" ref="BX53:BX60" si="156">((8*$F$1*$H$16)/(3.1415))*(((BW53)^4-(BV53)^4)-(((BW53)^2-(BV53)^2)^2/(LN(BW53/BV53))))^-1</f>
        <v>2.6373579003267854E+19</v>
      </c>
      <c r="CA53">
        <f t="shared" si="90"/>
        <v>11</v>
      </c>
      <c r="CB53">
        <f t="shared" si="91"/>
        <v>1.2975748151207274E-4</v>
      </c>
      <c r="CC53">
        <f t="shared" si="39"/>
        <v>1.2985748151207274E-4</v>
      </c>
      <c r="CD53">
        <f t="shared" si="40"/>
        <v>3.372150157687047E+19</v>
      </c>
      <c r="CG53">
        <f t="shared" si="92"/>
        <v>11</v>
      </c>
      <c r="CH53">
        <f t="shared" si="93"/>
        <v>1.0759772873914561E-4</v>
      </c>
      <c r="CI53">
        <f t="shared" si="41"/>
        <v>1.0769772873914562E-4</v>
      </c>
      <c r="CJ53">
        <f t="shared" si="42"/>
        <v>3.3664905985179247E+19</v>
      </c>
      <c r="CM53">
        <f t="shared" si="94"/>
        <v>11</v>
      </c>
      <c r="CN53">
        <f t="shared" si="95"/>
        <v>8.9251770995373396E-5</v>
      </c>
      <c r="CO53">
        <f t="shared" si="43"/>
        <v>8.9351770995373399E-5</v>
      </c>
      <c r="CP53">
        <f t="shared" si="44"/>
        <v>3.3596766714303619E+19</v>
      </c>
      <c r="CS53">
        <f t="shared" si="96"/>
        <v>11</v>
      </c>
      <c r="CT53">
        <f t="shared" si="97"/>
        <v>7.4063236674382633E-5</v>
      </c>
      <c r="CU53">
        <f t="shared" si="45"/>
        <v>7.4163236674382635E-5</v>
      </c>
      <c r="CV53">
        <f t="shared" si="46"/>
        <v>3.351485259889034E+19</v>
      </c>
      <c r="CY53">
        <f t="shared" si="98"/>
        <v>11</v>
      </c>
      <c r="CZ53">
        <f t="shared" si="99"/>
        <v>6.1488718731964113E-5</v>
      </c>
      <c r="DA53">
        <f t="shared" si="47"/>
        <v>6.1588718731964116E-5</v>
      </c>
      <c r="DB53">
        <f t="shared" si="48"/>
        <v>3.3416434846039855E+19</v>
      </c>
      <c r="DE53">
        <f t="shared" si="100"/>
        <v>11</v>
      </c>
      <c r="DF53">
        <f t="shared" ref="DF53:DF54" si="157">DG52</f>
        <v>5.1078332967112312E-5</v>
      </c>
      <c r="DG53">
        <f t="shared" ref="DG53:DG54" si="158">$DF$43+DE53*$H$2</f>
        <v>5.1178332967112314E-5</v>
      </c>
      <c r="DH53">
        <f t="shared" ref="DH53:DH54" si="159">((8*$H$1*$H$22)/(3.1415))*(((DG53)^4-(DF53)^4)-(((DG53)^2-(DF53)^2)^2/(LN(DG53/DF53))))^-1</f>
        <v>3.3298326123821036E+19</v>
      </c>
      <c r="DK53">
        <f t="shared" si="102"/>
        <v>11</v>
      </c>
      <c r="DL53">
        <f t="shared" si="149"/>
        <v>4.2459622312015485E-5</v>
      </c>
      <c r="DM53">
        <f t="shared" si="150"/>
        <v>4.2559622312015488E-5</v>
      </c>
      <c r="DN53">
        <f t="shared" si="151"/>
        <v>3.3156772397067592E+19</v>
      </c>
      <c r="DQ53">
        <v>11</v>
      </c>
      <c r="DR53">
        <f t="shared" ref="DR53" si="160">DS52</f>
        <v>3.5324231267518756E-5</v>
      </c>
      <c r="DS53">
        <f t="shared" ref="DS53" si="161">$DR$43+DQ53*$H$2</f>
        <v>3.5424231267518758E-5</v>
      </c>
      <c r="DT53">
        <f t="shared" ref="DT53" si="162">((8*$H$1*$H$24)/(3.1415))*(((DS53)^4-(DR53)^4)-(((DS53)^2-(DR53)^2)^2/(LN(DS53/DR53))))^-1</f>
        <v>3.2987388807567065E+19</v>
      </c>
    </row>
    <row r="54" spans="1:148" x14ac:dyDescent="0.35">
      <c r="A54">
        <f t="shared" si="64"/>
        <v>12</v>
      </c>
      <c r="B54">
        <f t="shared" si="65"/>
        <v>1.5011E-3</v>
      </c>
      <c r="C54">
        <f t="shared" si="13"/>
        <v>1.5012000000000001E-3</v>
      </c>
      <c r="D54">
        <f t="shared" si="14"/>
        <v>4.5136526601506357E+19</v>
      </c>
      <c r="G54">
        <f t="shared" si="66"/>
        <v>12</v>
      </c>
      <c r="H54">
        <f t="shared" si="67"/>
        <v>1.2429431242282881E-3</v>
      </c>
      <c r="I54">
        <f t="shared" si="15"/>
        <v>1.2430431242282881E-3</v>
      </c>
      <c r="J54">
        <f t="shared" si="16"/>
        <v>2.6528606485420622E+19</v>
      </c>
      <c r="M54">
        <f t="shared" si="68"/>
        <v>12</v>
      </c>
      <c r="N54">
        <f t="shared" si="69"/>
        <v>1.0292162301287168E-3</v>
      </c>
      <c r="O54">
        <f t="shared" si="17"/>
        <v>1.0293162301287168E-3</v>
      </c>
      <c r="P54">
        <f t="shared" si="18"/>
        <v>3.3959571579248128E+19</v>
      </c>
      <c r="S54">
        <f t="shared" si="70"/>
        <v>12</v>
      </c>
      <c r="T54">
        <f t="shared" si="71"/>
        <v>8.5227271419523686E-4</v>
      </c>
      <c r="U54">
        <f t="shared" si="19"/>
        <v>8.5237271419523692E-4</v>
      </c>
      <c r="V54">
        <f t="shared" si="20"/>
        <v>2.6513227988076519E+19</v>
      </c>
      <c r="Y54">
        <f t="shared" si="72"/>
        <v>12</v>
      </c>
      <c r="Z54">
        <f t="shared" si="73"/>
        <v>7.0578198843605636E-4</v>
      </c>
      <c r="AA54">
        <f t="shared" si="21"/>
        <v>7.0588198843605642E-4</v>
      </c>
      <c r="AB54">
        <f t="shared" si="22"/>
        <v>2.6505955219580043E+19</v>
      </c>
      <c r="AE54">
        <f t="shared" si="74"/>
        <v>12</v>
      </c>
      <c r="AF54">
        <f t="shared" si="75"/>
        <v>5.8450298807122302E-4</v>
      </c>
      <c r="AG54">
        <f t="shared" si="23"/>
        <v>5.8460298807122308E-4</v>
      </c>
      <c r="AH54">
        <f t="shared" si="24"/>
        <v>2.6499474874891641E+19</v>
      </c>
      <c r="AK54">
        <f t="shared" si="76"/>
        <v>12</v>
      </c>
      <c r="AL54">
        <f t="shared" si="77"/>
        <v>4.8409665959365768E-4</v>
      </c>
      <c r="AM54">
        <f t="shared" si="25"/>
        <v>4.8419665959365763E-4</v>
      </c>
      <c r="AN54">
        <f t="shared" si="26"/>
        <v>2.6488465565308871E+19</v>
      </c>
      <c r="AQ54">
        <f t="shared" si="78"/>
        <v>12</v>
      </c>
      <c r="AR54">
        <f t="shared" si="79"/>
        <v>4.0097072049440991E-4</v>
      </c>
      <c r="AS54">
        <f t="shared" si="27"/>
        <v>4.0107072049440985E-4</v>
      </c>
      <c r="AT54">
        <f t="shared" si="28"/>
        <v>2.6475899421180375E+19</v>
      </c>
      <c r="AW54">
        <f t="shared" si="80"/>
        <v>12</v>
      </c>
      <c r="AX54">
        <f t="shared" si="81"/>
        <v>3.3215113655079632E-4</v>
      </c>
      <c r="AY54">
        <f t="shared" si="29"/>
        <v>3.3225113655079627E-4</v>
      </c>
      <c r="AZ54">
        <f t="shared" si="30"/>
        <v>2.6460221853143802E+19</v>
      </c>
      <c r="BC54">
        <f t="shared" si="82"/>
        <v>12</v>
      </c>
      <c r="BD54">
        <f t="shared" si="83"/>
        <v>2.751757184623776E-4</v>
      </c>
      <c r="BE54">
        <f t="shared" si="31"/>
        <v>2.7527571846237755E-4</v>
      </c>
      <c r="BF54">
        <f t="shared" si="32"/>
        <v>2.6440709482080559E+19</v>
      </c>
      <c r="BI54">
        <f t="shared" si="84"/>
        <v>12</v>
      </c>
      <c r="BJ54">
        <f t="shared" si="85"/>
        <v>2.2800603099362113E-4</v>
      </c>
      <c r="BK54">
        <f t="shared" si="33"/>
        <v>2.2810603099362114E-4</v>
      </c>
      <c r="BL54">
        <f t="shared" si="34"/>
        <v>2.6417673612385862E+19</v>
      </c>
      <c r="BO54">
        <f t="shared" si="86"/>
        <v>12</v>
      </c>
      <c r="BP54">
        <f t="shared" si="87"/>
        <v>1.8895446295690618E-4</v>
      </c>
      <c r="BQ54">
        <f t="shared" si="35"/>
        <v>1.8905446295690618E-4</v>
      </c>
      <c r="BR54">
        <f t="shared" si="155"/>
        <v>3.3789626892025008E+19</v>
      </c>
      <c r="BU54">
        <f t="shared" si="88"/>
        <v>12</v>
      </c>
      <c r="BV54">
        <f t="shared" si="89"/>
        <v>1.5662384878575443E-4</v>
      </c>
      <c r="BW54">
        <f t="shared" si="37"/>
        <v>1.5672384878575443E-4</v>
      </c>
      <c r="BX54">
        <f t="shared" si="156"/>
        <v>2.6356743595624935E+19</v>
      </c>
      <c r="CA54">
        <f t="shared" si="90"/>
        <v>12</v>
      </c>
      <c r="CB54">
        <f t="shared" si="91"/>
        <v>1.2985748151207274E-4</v>
      </c>
      <c r="CC54">
        <f t="shared" si="39"/>
        <v>1.2995748151207274E-4</v>
      </c>
      <c r="CD54">
        <f t="shared" si="40"/>
        <v>3.3695561069331268E+19</v>
      </c>
      <c r="CG54">
        <f t="shared" si="92"/>
        <v>12</v>
      </c>
      <c r="CH54">
        <f t="shared" si="93"/>
        <v>1.0769772873914562E-4</v>
      </c>
      <c r="CI54">
        <f t="shared" si="41"/>
        <v>1.0779772873914562E-4</v>
      </c>
      <c r="CJ54">
        <f t="shared" si="42"/>
        <v>3.3633653679701271E+19</v>
      </c>
      <c r="CM54">
        <f t="shared" si="94"/>
        <v>12</v>
      </c>
      <c r="CN54">
        <f t="shared" si="95"/>
        <v>8.9351770995373399E-5</v>
      </c>
      <c r="CO54">
        <f t="shared" si="43"/>
        <v>8.9451770995373401E-5</v>
      </c>
      <c r="CP54">
        <f t="shared" si="44"/>
        <v>3.3559191037750977E+19</v>
      </c>
      <c r="CS54">
        <f t="shared" si="96"/>
        <v>12</v>
      </c>
      <c r="CT54">
        <f t="shared" si="97"/>
        <v>7.4163236674382635E-5</v>
      </c>
      <c r="CU54">
        <f t="shared" si="45"/>
        <v>7.4263236674382638E-5</v>
      </c>
      <c r="CV54">
        <f t="shared" si="46"/>
        <v>3.3469688245462024E+19</v>
      </c>
      <c r="CY54">
        <f t="shared" si="98"/>
        <v>12</v>
      </c>
      <c r="CZ54">
        <f t="shared" ref="CZ54:CZ55" si="163">DA53</f>
        <v>6.1588718731964116E-5</v>
      </c>
      <c r="DA54">
        <f t="shared" ref="DA54:DA55" si="164">$CZ$43+CY54*$H$2</f>
        <v>6.1688718731964104E-5</v>
      </c>
      <c r="DB54">
        <f t="shared" ref="DB54:DB55" si="165">((8*$H$1*$H$21)/(3.1415))*(((DA54)^4-(CZ54)^4)-(((DA54)^2-(CZ54)^2)^2/(LN(DA54/CZ54))))^-1</f>
        <v>3.3362220594116297E+19</v>
      </c>
      <c r="DE54">
        <f t="shared" si="100"/>
        <v>12</v>
      </c>
      <c r="DF54">
        <f t="shared" si="157"/>
        <v>5.1178332967112314E-5</v>
      </c>
      <c r="DG54">
        <f t="shared" si="158"/>
        <v>5.1278332967112316E-5</v>
      </c>
      <c r="DH54">
        <f t="shared" si="159"/>
        <v>3.323332503737258E+19</v>
      </c>
      <c r="DK54">
        <v>12</v>
      </c>
      <c r="DL54">
        <f t="shared" ref="DL54" si="166">DM53</f>
        <v>4.2559622312015488E-5</v>
      </c>
      <c r="DM54">
        <f t="shared" ref="DM54" si="167">$DL$43+DK54*$H$2</f>
        <v>4.265962231201549E-5</v>
      </c>
      <c r="DN54">
        <f t="shared" ref="DN54" si="168">((8*$H$1*$H$23)/(3.1415))*(((DM54)^4-(DL54)^4)-(((DM54)^2-(DL54)^2)^2/(LN(DM54/DL54))))^-1</f>
        <v>3.3078957369942893E+19</v>
      </c>
    </row>
    <row r="55" spans="1:148" x14ac:dyDescent="0.35">
      <c r="A55">
        <f t="shared" si="64"/>
        <v>13</v>
      </c>
      <c r="B55">
        <f t="shared" si="65"/>
        <v>1.5012000000000001E-3</v>
      </c>
      <c r="C55">
        <f t="shared" si="13"/>
        <v>1.5013000000000001E-3</v>
      </c>
      <c r="D55">
        <f t="shared" si="14"/>
        <v>4.5133834101002134E+19</v>
      </c>
      <c r="G55">
        <f t="shared" si="66"/>
        <v>13</v>
      </c>
      <c r="H55">
        <f t="shared" si="67"/>
        <v>1.2430431242282881E-3</v>
      </c>
      <c r="I55">
        <f t="shared" si="15"/>
        <v>1.2431431242282882E-3</v>
      </c>
      <c r="J55">
        <f t="shared" si="16"/>
        <v>2.6516620100144054E+19</v>
      </c>
      <c r="M55">
        <f t="shared" si="68"/>
        <v>13</v>
      </c>
      <c r="N55">
        <f t="shared" si="69"/>
        <v>1.0293162301287168E-3</v>
      </c>
      <c r="O55">
        <f t="shared" si="17"/>
        <v>1.0294162301287169E-3</v>
      </c>
      <c r="P55">
        <f t="shared" si="18"/>
        <v>3.3965178790701482E+19</v>
      </c>
      <c r="S55">
        <f t="shared" si="70"/>
        <v>13</v>
      </c>
      <c r="T55">
        <f t="shared" si="71"/>
        <v>8.5237271419523692E-4</v>
      </c>
      <c r="U55">
        <f t="shared" si="19"/>
        <v>8.5247271419523687E-4</v>
      </c>
      <c r="V55">
        <f t="shared" si="20"/>
        <v>2.6510487443235021E+19</v>
      </c>
      <c r="Y55">
        <f t="shared" si="72"/>
        <v>13</v>
      </c>
      <c r="Z55">
        <f t="shared" si="73"/>
        <v>7.0588198843605642E-4</v>
      </c>
      <c r="AA55">
        <f t="shared" si="21"/>
        <v>7.0598198843605637E-4</v>
      </c>
      <c r="AB55">
        <f t="shared" si="22"/>
        <v>2.6503853900583023E+19</v>
      </c>
      <c r="AE55">
        <f t="shared" si="74"/>
        <v>13</v>
      </c>
      <c r="AF55">
        <f t="shared" si="75"/>
        <v>5.8460298807122308E-4</v>
      </c>
      <c r="AG55">
        <f t="shared" si="23"/>
        <v>5.8470298807122303E-4</v>
      </c>
      <c r="AH55">
        <f t="shared" si="24"/>
        <v>2.6495187968890937E+19</v>
      </c>
      <c r="AK55">
        <f t="shared" si="76"/>
        <v>13</v>
      </c>
      <c r="AL55">
        <f t="shared" si="77"/>
        <v>4.8419665959365763E-4</v>
      </c>
      <c r="AM55">
        <f t="shared" si="25"/>
        <v>4.8429665959365763E-4</v>
      </c>
      <c r="AN55">
        <f t="shared" si="26"/>
        <v>2.6483410017246589E+19</v>
      </c>
      <c r="AQ55">
        <f t="shared" si="78"/>
        <v>13</v>
      </c>
      <c r="AR55">
        <f t="shared" si="79"/>
        <v>4.0107072049440985E-4</v>
      </c>
      <c r="AS55">
        <f t="shared" si="27"/>
        <v>4.0117072049440986E-4</v>
      </c>
      <c r="AT55">
        <f t="shared" si="28"/>
        <v>2.6469325856958874E+19</v>
      </c>
      <c r="AW55">
        <f t="shared" si="80"/>
        <v>13</v>
      </c>
      <c r="AX55">
        <f t="shared" si="81"/>
        <v>3.3225113655079627E-4</v>
      </c>
      <c r="AY55">
        <f t="shared" si="29"/>
        <v>3.3235113655079627E-4</v>
      </c>
      <c r="AZ55">
        <f t="shared" si="30"/>
        <v>2.6451884254340956E+19</v>
      </c>
      <c r="BC55">
        <f t="shared" si="82"/>
        <v>13</v>
      </c>
      <c r="BD55">
        <f t="shared" si="83"/>
        <v>2.7527571846237755E-4</v>
      </c>
      <c r="BE55">
        <f t="shared" si="31"/>
        <v>2.7537571846237755E-4</v>
      </c>
      <c r="BF55">
        <f t="shared" si="32"/>
        <v>2.6430958542543696E+19</v>
      </c>
      <c r="BI55">
        <f t="shared" si="84"/>
        <v>13</v>
      </c>
      <c r="BJ55">
        <f t="shared" si="85"/>
        <v>2.2810603099362114E-4</v>
      </c>
      <c r="BK55">
        <f t="shared" si="33"/>
        <v>2.2820603099362114E-4</v>
      </c>
      <c r="BL55">
        <f t="shared" si="34"/>
        <v>2.6406162985656521E+19</v>
      </c>
      <c r="BO55">
        <f t="shared" si="86"/>
        <v>13</v>
      </c>
      <c r="BP55">
        <f t="shared" si="87"/>
        <v>1.8905446295690618E-4</v>
      </c>
      <c r="BQ55">
        <f t="shared" si="35"/>
        <v>1.8915446295690618E-4</v>
      </c>
      <c r="BR55">
        <f t="shared" si="155"/>
        <v>3.3771795150939619E+19</v>
      </c>
      <c r="BU55">
        <f t="shared" si="88"/>
        <v>13</v>
      </c>
      <c r="BV55">
        <f t="shared" si="89"/>
        <v>1.5672384878575443E-4</v>
      </c>
      <c r="BW55">
        <f t="shared" si="37"/>
        <v>1.5682384878575444E-4</v>
      </c>
      <c r="BX55">
        <f t="shared" si="156"/>
        <v>2.6339962284695028E+19</v>
      </c>
      <c r="CA55">
        <f t="shared" si="90"/>
        <v>13</v>
      </c>
      <c r="CB55">
        <f t="shared" si="91"/>
        <v>1.2995748151207274E-4</v>
      </c>
      <c r="CC55">
        <f t="shared" si="39"/>
        <v>1.3005748151207275E-4</v>
      </c>
      <c r="CD55">
        <f t="shared" si="40"/>
        <v>3.3669632982998733E+19</v>
      </c>
      <c r="CG55">
        <f t="shared" si="92"/>
        <v>13</v>
      </c>
      <c r="CH55">
        <f t="shared" si="93"/>
        <v>1.0779772873914562E-4</v>
      </c>
      <c r="CI55">
        <f t="shared" si="41"/>
        <v>1.0789772873914562E-4</v>
      </c>
      <c r="CJ55">
        <f t="shared" si="42"/>
        <v>3.3602477325162476E+19</v>
      </c>
      <c r="CM55">
        <f t="shared" si="94"/>
        <v>13</v>
      </c>
      <c r="CN55">
        <f t="shared" si="95"/>
        <v>8.9451770995373401E-5</v>
      </c>
      <c r="CO55">
        <f t="shared" si="43"/>
        <v>8.9551770995373404E-5</v>
      </c>
      <c r="CP55">
        <f t="shared" si="44"/>
        <v>3.352169024367541E+19</v>
      </c>
      <c r="CS55">
        <f t="shared" si="96"/>
        <v>13</v>
      </c>
      <c r="CT55">
        <f t="shared" ref="CT55:CT56" si="169">CU54</f>
        <v>7.4263236674382638E-5</v>
      </c>
      <c r="CU55">
        <f t="shared" ref="CU55:CU56" si="170">$CT$43+CS55*$H$2</f>
        <v>7.436323667438264E-5</v>
      </c>
      <c r="CV55">
        <f t="shared" ref="CV55:CV56" si="171">((8*$H$1*$H$20)/(3.1415))*(((CU55)^4-(CT55)^4)-(((CU55)^2-(CT55)^2)^2/(LN(CU55/CT55))))^-1</f>
        <v>3.3424651252908548E+19</v>
      </c>
      <c r="CY55">
        <f t="shared" si="98"/>
        <v>13</v>
      </c>
      <c r="CZ55">
        <f t="shared" si="163"/>
        <v>6.1688718731964104E-5</v>
      </c>
      <c r="DA55">
        <f t="shared" si="164"/>
        <v>6.1788718731964107E-5</v>
      </c>
      <c r="DB55">
        <f t="shared" si="165"/>
        <v>3.3308184044646531E+19</v>
      </c>
      <c r="DE55">
        <v>13</v>
      </c>
      <c r="DF55">
        <f t="shared" ref="DF55" si="172">DG54</f>
        <v>5.1278332967112316E-5</v>
      </c>
      <c r="DG55">
        <f t="shared" ref="DG55" si="173">$DF$43+DE55*$H$2</f>
        <v>5.1378332967112312E-5</v>
      </c>
      <c r="DH55">
        <f t="shared" ref="DH55" si="174">((8*$H$1*$H$22)/(3.1415))*(((DG55)^4-(DF55)^4)-(((DG55)^2-(DF55)^2)^2/(LN(DG55/DF55))))^-1</f>
        <v>3.3168579658352726E+19</v>
      </c>
    </row>
    <row r="56" spans="1:148" x14ac:dyDescent="0.35">
      <c r="A56">
        <f t="shared" si="64"/>
        <v>14</v>
      </c>
      <c r="B56">
        <f t="shared" si="65"/>
        <v>1.5013000000000001E-3</v>
      </c>
      <c r="C56">
        <f t="shared" si="13"/>
        <v>1.5014E-3</v>
      </c>
      <c r="D56">
        <f t="shared" si="14"/>
        <v>4.5111456503938236E+19</v>
      </c>
      <c r="G56">
        <f t="shared" si="66"/>
        <v>14</v>
      </c>
      <c r="H56">
        <f t="shared" si="67"/>
        <v>1.2431431242282882E-3</v>
      </c>
      <c r="I56">
        <f t="shared" si="15"/>
        <v>1.243243124228288E-3</v>
      </c>
      <c r="J56">
        <f t="shared" si="16"/>
        <v>2.6539579963408798E+19</v>
      </c>
      <c r="M56">
        <f t="shared" si="68"/>
        <v>14</v>
      </c>
      <c r="N56">
        <f t="shared" si="69"/>
        <v>1.0294162301287169E-3</v>
      </c>
      <c r="O56">
        <f t="shared" si="17"/>
        <v>1.0295162301287167E-3</v>
      </c>
      <c r="P56">
        <f t="shared" si="18"/>
        <v>3.3966975442443706E+19</v>
      </c>
      <c r="S56">
        <f t="shared" si="70"/>
        <v>14</v>
      </c>
      <c r="T56">
        <f t="shared" si="71"/>
        <v>8.5247271419523687E-4</v>
      </c>
      <c r="U56">
        <f t="shared" si="19"/>
        <v>8.5257271419523692E-4</v>
      </c>
      <c r="V56">
        <f t="shared" si="20"/>
        <v>2.6503621893935329E+19</v>
      </c>
      <c r="Y56">
        <f t="shared" si="72"/>
        <v>14</v>
      </c>
      <c r="Z56">
        <f t="shared" si="73"/>
        <v>7.0598198843605637E-4</v>
      </c>
      <c r="AA56">
        <f t="shared" si="21"/>
        <v>7.0608198843605642E-4</v>
      </c>
      <c r="AB56">
        <f t="shared" si="22"/>
        <v>2.6500872917897167E+19</v>
      </c>
      <c r="AE56">
        <f t="shared" si="74"/>
        <v>14</v>
      </c>
      <c r="AF56">
        <f t="shared" si="75"/>
        <v>5.8470298807122303E-4</v>
      </c>
      <c r="AG56">
        <f t="shared" si="23"/>
        <v>5.8480298807122308E-4</v>
      </c>
      <c r="AH56">
        <f t="shared" si="24"/>
        <v>2.6490925065337926E+19</v>
      </c>
      <c r="AK56">
        <f t="shared" si="76"/>
        <v>14</v>
      </c>
      <c r="AL56">
        <f t="shared" si="77"/>
        <v>4.8429665959365763E-4</v>
      </c>
      <c r="AM56">
        <f t="shared" si="25"/>
        <v>4.8439665959365764E-4</v>
      </c>
      <c r="AN56">
        <f t="shared" si="26"/>
        <v>2.647731280571571E+19</v>
      </c>
      <c r="AQ56">
        <f t="shared" si="78"/>
        <v>14</v>
      </c>
      <c r="AR56">
        <f t="shared" si="79"/>
        <v>4.0117072049440986E-4</v>
      </c>
      <c r="AS56">
        <f t="shared" si="27"/>
        <v>4.0127072049440986E-4</v>
      </c>
      <c r="AT56">
        <f t="shared" si="28"/>
        <v>2.6462322194452226E+19</v>
      </c>
      <c r="AW56">
        <f t="shared" si="80"/>
        <v>14</v>
      </c>
      <c r="AX56">
        <f t="shared" si="81"/>
        <v>3.3235113655079627E-4</v>
      </c>
      <c r="AY56">
        <f t="shared" si="29"/>
        <v>3.3245113655079627E-4</v>
      </c>
      <c r="AZ56">
        <f t="shared" si="30"/>
        <v>2.6443806181733859E+19</v>
      </c>
      <c r="BC56">
        <f t="shared" si="82"/>
        <v>14</v>
      </c>
      <c r="BD56">
        <f t="shared" si="83"/>
        <v>2.7537571846237755E-4</v>
      </c>
      <c r="BE56">
        <f t="shared" si="31"/>
        <v>2.7547571846237755E-4</v>
      </c>
      <c r="BF56">
        <f t="shared" si="32"/>
        <v>2.6421426406493258E+19</v>
      </c>
      <c r="BI56">
        <f t="shared" si="84"/>
        <v>14</v>
      </c>
      <c r="BJ56">
        <f t="shared" si="85"/>
        <v>2.2820603099362114E-4</v>
      </c>
      <c r="BK56">
        <f t="shared" si="33"/>
        <v>2.2830603099362114E-4</v>
      </c>
      <c r="BL56">
        <f t="shared" si="34"/>
        <v>2.6394617487515202E+19</v>
      </c>
      <c r="BO56">
        <f t="shared" si="86"/>
        <v>14</v>
      </c>
      <c r="BP56">
        <f t="shared" si="87"/>
        <v>1.8915446295690618E-4</v>
      </c>
      <c r="BQ56">
        <f t="shared" si="35"/>
        <v>1.8925446295690618E-4</v>
      </c>
      <c r="BR56">
        <f t="shared" si="155"/>
        <v>3.3753998145749721E+19</v>
      </c>
      <c r="BU56">
        <f t="shared" si="88"/>
        <v>14</v>
      </c>
      <c r="BV56">
        <f t="shared" si="89"/>
        <v>1.5682384878575444E-4</v>
      </c>
      <c r="BW56">
        <f t="shared" si="37"/>
        <v>1.5692384878575444E-4</v>
      </c>
      <c r="BX56">
        <f t="shared" si="156"/>
        <v>2.6323161634482221E+19</v>
      </c>
      <c r="CA56">
        <f t="shared" si="90"/>
        <v>14</v>
      </c>
      <c r="CB56">
        <f t="shared" si="91"/>
        <v>1.3005748151207275E-4</v>
      </c>
      <c r="CC56">
        <f t="shared" si="39"/>
        <v>1.3015748151207275E-4</v>
      </c>
      <c r="CD56">
        <f t="shared" si="40"/>
        <v>3.3643743498375111E+19</v>
      </c>
      <c r="CG56">
        <f t="shared" si="92"/>
        <v>14</v>
      </c>
      <c r="CH56">
        <f t="shared" si="93"/>
        <v>1.0789772873914562E-4</v>
      </c>
      <c r="CI56">
        <f t="shared" si="41"/>
        <v>1.0799772873914561E-4</v>
      </c>
      <c r="CJ56">
        <f t="shared" si="42"/>
        <v>3.3571321519039173E+19</v>
      </c>
      <c r="CM56">
        <f t="shared" si="94"/>
        <v>14</v>
      </c>
      <c r="CN56">
        <f t="shared" ref="CN56:CN57" si="175">CO55</f>
        <v>8.9551770995373404E-5</v>
      </c>
      <c r="CO56">
        <f t="shared" ref="CO56:CO57" si="176">$CN$43+CM56*$H$2</f>
        <v>8.9651770995373393E-5</v>
      </c>
      <c r="CP56">
        <f t="shared" ref="CP56:CP57" si="177">((8*$H$1*$H$19)/(3.1415))*(((CO56)^4-(CN56)^4)-(((CO56)^2-(CN56)^2)^2/(LN(CO56/CN56))))^-1</f>
        <v>3.3484284934199132E+19</v>
      </c>
      <c r="CS56">
        <f t="shared" si="96"/>
        <v>14</v>
      </c>
      <c r="CT56">
        <f t="shared" si="169"/>
        <v>7.436323667438264E-5</v>
      </c>
      <c r="CU56">
        <f t="shared" si="170"/>
        <v>7.4463236674382629E-5</v>
      </c>
      <c r="CV56">
        <f t="shared" si="171"/>
        <v>3.3379735252924887E+19</v>
      </c>
      <c r="CY56">
        <v>14</v>
      </c>
      <c r="CZ56">
        <f t="shared" ref="CZ56" si="178">DA55</f>
        <v>6.1788718731964107E-5</v>
      </c>
      <c r="DA56">
        <f t="shared" ref="DA56" si="179">$CZ$43+CY56*$H$2</f>
        <v>6.1888718731964109E-5</v>
      </c>
      <c r="DB56">
        <f t="shared" ref="DB56" si="180">((8*$H$1*$H$21)/(3.1415))*(((DA56)^4-(CZ56)^4)-(((DA56)^2-(CZ56)^2)^2/(LN(DA56/CZ56))))^-1</f>
        <v>3.3254322417546842E+19</v>
      </c>
    </row>
    <row r="57" spans="1:148" x14ac:dyDescent="0.35">
      <c r="A57">
        <f t="shared" si="64"/>
        <v>15</v>
      </c>
      <c r="B57">
        <f t="shared" si="65"/>
        <v>1.5014E-3</v>
      </c>
      <c r="C57">
        <f t="shared" si="13"/>
        <v>1.5015E-3</v>
      </c>
      <c r="D57">
        <f t="shared" si="14"/>
        <v>4.5101900194510143E+19</v>
      </c>
      <c r="G57">
        <f t="shared" si="66"/>
        <v>15</v>
      </c>
      <c r="H57">
        <f t="shared" si="67"/>
        <v>1.243243124228288E-3</v>
      </c>
      <c r="I57">
        <f t="shared" si="15"/>
        <v>1.2433431242282881E-3</v>
      </c>
      <c r="J57">
        <f t="shared" si="16"/>
        <v>2.6514557458432803E+19</v>
      </c>
      <c r="M57">
        <f t="shared" si="68"/>
        <v>15</v>
      </c>
      <c r="N57">
        <f t="shared" si="69"/>
        <v>1.0295162301287167E-3</v>
      </c>
      <c r="O57">
        <f t="shared" si="17"/>
        <v>1.0296162301287168E-3</v>
      </c>
      <c r="P57">
        <f t="shared" si="18"/>
        <v>3.3948843111172108E+19</v>
      </c>
      <c r="S57">
        <f t="shared" si="70"/>
        <v>15</v>
      </c>
      <c r="T57">
        <f t="shared" si="71"/>
        <v>8.5257271419523692E-4</v>
      </c>
      <c r="U57">
        <f t="shared" si="19"/>
        <v>8.5267271419523687E-4</v>
      </c>
      <c r="V57">
        <f t="shared" si="20"/>
        <v>2.6501626815231341E+19</v>
      </c>
      <c r="Y57">
        <f t="shared" si="72"/>
        <v>15</v>
      </c>
      <c r="Z57">
        <f t="shared" si="73"/>
        <v>7.0608198843605642E-4</v>
      </c>
      <c r="AA57">
        <f t="shared" si="21"/>
        <v>7.0618198843605637E-4</v>
      </c>
      <c r="AB57">
        <f t="shared" si="22"/>
        <v>2.6493743490030543E+19</v>
      </c>
      <c r="AE57">
        <f t="shared" si="74"/>
        <v>15</v>
      </c>
      <c r="AF57">
        <f t="shared" si="75"/>
        <v>5.8480298807122308E-4</v>
      </c>
      <c r="AG57">
        <f t="shared" si="23"/>
        <v>5.8490298807122303E-4</v>
      </c>
      <c r="AH57">
        <f t="shared" si="24"/>
        <v>2.6486536675661472E+19</v>
      </c>
      <c r="AK57">
        <f t="shared" si="76"/>
        <v>15</v>
      </c>
      <c r="AL57">
        <f t="shared" si="77"/>
        <v>4.8439665959365764E-4</v>
      </c>
      <c r="AM57">
        <f t="shared" si="25"/>
        <v>4.8449665959365764E-4</v>
      </c>
      <c r="AN57">
        <f t="shared" si="26"/>
        <v>2.64727136386997E+19</v>
      </c>
      <c r="AQ57">
        <f t="shared" si="78"/>
        <v>15</v>
      </c>
      <c r="AR57">
        <f t="shared" si="79"/>
        <v>4.0127072049440986E-4</v>
      </c>
      <c r="AS57">
        <f t="shared" si="27"/>
        <v>4.0137072049440986E-4</v>
      </c>
      <c r="AT57">
        <f t="shared" si="28"/>
        <v>2.6455517244121334E+19</v>
      </c>
      <c r="AW57">
        <f t="shared" si="80"/>
        <v>15</v>
      </c>
      <c r="AX57">
        <f t="shared" si="81"/>
        <v>3.3245113655079627E-4</v>
      </c>
      <c r="AY57">
        <f t="shared" si="29"/>
        <v>3.3255113655079627E-4</v>
      </c>
      <c r="AZ57">
        <f t="shared" si="30"/>
        <v>2.6436071138467475E+19</v>
      </c>
      <c r="BC57">
        <f t="shared" si="82"/>
        <v>15</v>
      </c>
      <c r="BD57">
        <f t="shared" si="83"/>
        <v>2.7547571846237755E-4</v>
      </c>
      <c r="BE57">
        <f t="shared" si="31"/>
        <v>2.7557571846237755E-4</v>
      </c>
      <c r="BF57">
        <f t="shared" si="32"/>
        <v>2.6411794913673138E+19</v>
      </c>
      <c r="BI57">
        <f t="shared" si="84"/>
        <v>15</v>
      </c>
      <c r="BJ57">
        <f t="shared" si="85"/>
        <v>2.2830603099362114E-4</v>
      </c>
      <c r="BK57">
        <f t="shared" si="33"/>
        <v>2.2840603099362114E-4</v>
      </c>
      <c r="BL57">
        <f t="shared" si="34"/>
        <v>2.6383006449262223E+19</v>
      </c>
      <c r="BO57">
        <f t="shared" si="86"/>
        <v>15</v>
      </c>
      <c r="BP57">
        <f t="shared" si="87"/>
        <v>1.8925446295690618E-4</v>
      </c>
      <c r="BQ57">
        <f t="shared" si="35"/>
        <v>1.8935446295690619E-4</v>
      </c>
      <c r="BR57">
        <f t="shared" si="155"/>
        <v>3.3736185960297701E+19</v>
      </c>
      <c r="BU57">
        <f t="shared" si="88"/>
        <v>15</v>
      </c>
      <c r="BV57">
        <f t="shared" si="89"/>
        <v>1.5692384878575444E-4</v>
      </c>
      <c r="BW57">
        <f t="shared" si="37"/>
        <v>1.5702384878575444E-4</v>
      </c>
      <c r="BX57">
        <f t="shared" si="156"/>
        <v>2.6306345584486126E+19</v>
      </c>
      <c r="CA57">
        <f t="shared" si="90"/>
        <v>15</v>
      </c>
      <c r="CB57">
        <f t="shared" si="91"/>
        <v>1.3015748151207275E-4</v>
      </c>
      <c r="CC57">
        <f t="shared" si="39"/>
        <v>1.3025748151207275E-4</v>
      </c>
      <c r="CD57">
        <f t="shared" si="40"/>
        <v>3.3617897862419739E+19</v>
      </c>
      <c r="CG57">
        <f t="shared" si="92"/>
        <v>15</v>
      </c>
      <c r="CH57">
        <f t="shared" ref="CH57:CH58" si="181">CI56</f>
        <v>1.0799772873914561E-4</v>
      </c>
      <c r="CI57">
        <f t="shared" ref="CI57:CI58" si="182">$CH$43+CG57*$H$2</f>
        <v>1.0809772873914561E-4</v>
      </c>
      <c r="CJ57">
        <f t="shared" ref="CJ57:CJ58" si="183">((8*$H$1*$H$18)/(3.1415))*(((CI57)^4-(CH57)^4)-(((CI57)^2-(CH57)^2)^2/(LN(CI57/CH57))))^-1</f>
        <v>3.3540277083367584E+19</v>
      </c>
      <c r="CM57">
        <f t="shared" si="94"/>
        <v>15</v>
      </c>
      <c r="CN57">
        <f t="shared" si="175"/>
        <v>8.9651770995373393E-5</v>
      </c>
      <c r="CO57">
        <f t="shared" si="176"/>
        <v>8.9751770995373395E-5</v>
      </c>
      <c r="CP57">
        <f t="shared" si="177"/>
        <v>3.3446950271774261E+19</v>
      </c>
      <c r="CS57">
        <v>15</v>
      </c>
      <c r="CT57">
        <f t="shared" ref="CT57" si="184">CU56</f>
        <v>7.4463236674382629E-5</v>
      </c>
      <c r="CU57">
        <f t="shared" ref="CU57" si="185">$CT$43+CS57*$H$2</f>
        <v>7.4563236674382631E-5</v>
      </c>
      <c r="CV57">
        <f t="shared" ref="CV57" si="186">((8*$H$1*$H$20)/(3.1415))*(((CU57)^4-(CT57)^4)-(((CU57)^2-(CT57)^2)^2/(LN(CU57/CT57))))^-1</f>
        <v>3.3334934265880228E+19</v>
      </c>
    </row>
    <row r="58" spans="1:148" x14ac:dyDescent="0.35">
      <c r="A58">
        <f t="shared" si="64"/>
        <v>16</v>
      </c>
      <c r="B58">
        <f t="shared" si="65"/>
        <v>1.5015E-3</v>
      </c>
      <c r="C58">
        <f t="shared" si="13"/>
        <v>1.5016000000000001E-3</v>
      </c>
      <c r="D58">
        <f t="shared" si="14"/>
        <v>4.5109820532105445E+19</v>
      </c>
      <c r="G58">
        <f t="shared" si="66"/>
        <v>16</v>
      </c>
      <c r="H58">
        <f t="shared" si="67"/>
        <v>1.2433431242282881E-3</v>
      </c>
      <c r="I58">
        <f t="shared" si="15"/>
        <v>1.2434431242282881E-3</v>
      </c>
      <c r="J58">
        <f t="shared" si="16"/>
        <v>2.6522832040481223E+19</v>
      </c>
      <c r="M58">
        <f t="shared" si="68"/>
        <v>16</v>
      </c>
      <c r="N58">
        <f t="shared" si="69"/>
        <v>1.0296162301287168E-3</v>
      </c>
      <c r="O58">
        <f t="shared" si="17"/>
        <v>1.0297162301287168E-3</v>
      </c>
      <c r="P58">
        <f t="shared" si="18"/>
        <v>3.3940355156189733E+19</v>
      </c>
      <c r="S58">
        <f t="shared" si="70"/>
        <v>16</v>
      </c>
      <c r="T58">
        <f t="shared" si="71"/>
        <v>8.5267271419523687E-4</v>
      </c>
      <c r="U58">
        <f t="shared" si="19"/>
        <v>8.5277271419523693E-4</v>
      </c>
      <c r="V58">
        <f t="shared" si="20"/>
        <v>2.6507401414751724E+19</v>
      </c>
      <c r="Y58">
        <f t="shared" si="72"/>
        <v>16</v>
      </c>
      <c r="Z58">
        <f t="shared" si="73"/>
        <v>7.0618198843605637E-4</v>
      </c>
      <c r="AA58">
        <f t="shared" si="21"/>
        <v>7.0628198843605643E-4</v>
      </c>
      <c r="AB58">
        <f t="shared" si="22"/>
        <v>2.6490458972525023E+19</v>
      </c>
      <c r="AE58">
        <f t="shared" si="74"/>
        <v>16</v>
      </c>
      <c r="AF58">
        <f t="shared" si="75"/>
        <v>5.8490298807122303E-4</v>
      </c>
      <c r="AG58">
        <f t="shared" si="23"/>
        <v>5.8500298807122309E-4</v>
      </c>
      <c r="AH58">
        <f t="shared" si="24"/>
        <v>2.6481891508299215E+19</v>
      </c>
      <c r="AK58">
        <f t="shared" si="76"/>
        <v>16</v>
      </c>
      <c r="AL58">
        <f t="shared" si="77"/>
        <v>4.8449665959365764E-4</v>
      </c>
      <c r="AM58">
        <f t="shared" si="25"/>
        <v>4.8459665959365764E-4</v>
      </c>
      <c r="AN58">
        <f t="shared" si="26"/>
        <v>2.6467726466686829E+19</v>
      </c>
      <c r="AQ58">
        <f t="shared" si="78"/>
        <v>16</v>
      </c>
      <c r="AR58">
        <f t="shared" si="79"/>
        <v>4.0137072049440986E-4</v>
      </c>
      <c r="AS58">
        <f t="shared" si="27"/>
        <v>4.0147072049440986E-4</v>
      </c>
      <c r="AT58">
        <f t="shared" si="28"/>
        <v>2.6448861822342607E+19</v>
      </c>
      <c r="AW58">
        <f t="shared" si="80"/>
        <v>16</v>
      </c>
      <c r="AX58">
        <f t="shared" si="81"/>
        <v>3.3255113655079627E-4</v>
      </c>
      <c r="AY58">
        <f t="shared" si="29"/>
        <v>3.3265113655079627E-4</v>
      </c>
      <c r="AZ58">
        <f t="shared" si="30"/>
        <v>2.6427597252048151E+19</v>
      </c>
      <c r="BC58">
        <f t="shared" si="82"/>
        <v>16</v>
      </c>
      <c r="BD58">
        <f t="shared" si="83"/>
        <v>2.7557571846237755E-4</v>
      </c>
      <c r="BE58">
        <f t="shared" si="31"/>
        <v>2.7567571846237756E-4</v>
      </c>
      <c r="BF58">
        <f t="shared" si="32"/>
        <v>2.6402110003614142E+19</v>
      </c>
      <c r="BI58">
        <f t="shared" si="84"/>
        <v>16</v>
      </c>
      <c r="BJ58">
        <f t="shared" si="85"/>
        <v>2.2840603099362114E-4</v>
      </c>
      <c r="BK58">
        <f t="shared" si="33"/>
        <v>2.2850603099362115E-4</v>
      </c>
      <c r="BL58">
        <f t="shared" si="34"/>
        <v>2.6371587832904139E+19</v>
      </c>
      <c r="BO58">
        <f t="shared" si="86"/>
        <v>16</v>
      </c>
      <c r="BP58">
        <f t="shared" si="87"/>
        <v>1.8935446295690619E-4</v>
      </c>
      <c r="BQ58">
        <f t="shared" si="35"/>
        <v>1.8945446295690619E-4</v>
      </c>
      <c r="BR58">
        <f t="shared" si="155"/>
        <v>3.3718320820542185E+19</v>
      </c>
      <c r="BU58">
        <f t="shared" si="88"/>
        <v>16</v>
      </c>
      <c r="BV58">
        <f t="shared" si="89"/>
        <v>1.5702384878575444E-4</v>
      </c>
      <c r="BW58">
        <f t="shared" si="37"/>
        <v>1.5712384878575444E-4</v>
      </c>
      <c r="BX58">
        <f t="shared" si="156"/>
        <v>2.6289672755546243E+19</v>
      </c>
      <c r="CA58">
        <f t="shared" si="90"/>
        <v>16</v>
      </c>
      <c r="CB58">
        <f t="shared" ref="CB58:CB59" si="187">CC57</f>
        <v>1.3025748151207275E-4</v>
      </c>
      <c r="CC58">
        <f t="shared" ref="CC58:CC59" si="188">$CB$43+CA58*$H$2</f>
        <v>1.3035748151207275E-4</v>
      </c>
      <c r="CD58">
        <f t="shared" ref="CD58:CD59" si="189">((8*$H$1*$H$17)/(3.1415))*(((CC58)^4-(CB58)^4)-(((CC58)^2-(CB58)^2)^2/(LN(CC58/CB58))))^-1</f>
        <v>3.3592094102959305E+19</v>
      </c>
      <c r="CG58">
        <f t="shared" si="92"/>
        <v>16</v>
      </c>
      <c r="CH58">
        <f t="shared" si="181"/>
        <v>1.0809772873914561E-4</v>
      </c>
      <c r="CI58">
        <f t="shared" si="182"/>
        <v>1.0819772873914561E-4</v>
      </c>
      <c r="CJ58">
        <f t="shared" si="183"/>
        <v>3.3509247313092837E+19</v>
      </c>
      <c r="CM58">
        <v>16</v>
      </c>
      <c r="CN58">
        <f t="shared" ref="CN58" si="190">CO57</f>
        <v>8.9751770995373395E-5</v>
      </c>
      <c r="CO58">
        <f t="shared" ref="CO58" si="191">$CN$43+CM58*$H$2</f>
        <v>8.9851770995373397E-5</v>
      </c>
      <c r="CP58">
        <f t="shared" ref="CP58" si="192">((8*$H$1*$H$19)/(3.1415))*(((CO58)^4-(CN58)^4)-(((CO58)^2-(CN58)^2)^2/(LN(CO58/CN58))))^-1</f>
        <v>3.3409704280461943E+19</v>
      </c>
    </row>
    <row r="59" spans="1:148" x14ac:dyDescent="0.35">
      <c r="A59">
        <f t="shared" si="64"/>
        <v>17</v>
      </c>
      <c r="B59">
        <f t="shared" si="65"/>
        <v>1.5016000000000001E-3</v>
      </c>
      <c r="C59">
        <f t="shared" si="13"/>
        <v>1.5017000000000001E-3</v>
      </c>
      <c r="D59">
        <f t="shared" si="14"/>
        <v>4.5064953180903334E+19</v>
      </c>
      <c r="G59">
        <f t="shared" si="66"/>
        <v>17</v>
      </c>
      <c r="H59">
        <f t="shared" si="67"/>
        <v>1.2434431242282881E-3</v>
      </c>
      <c r="I59">
        <f t="shared" si="15"/>
        <v>1.2435431242282882E-3</v>
      </c>
      <c r="J59">
        <f t="shared" si="16"/>
        <v>2.6528767492579021E+19</v>
      </c>
      <c r="M59">
        <f t="shared" si="68"/>
        <v>17</v>
      </c>
      <c r="N59">
        <f t="shared" si="69"/>
        <v>1.0297162301287168E-3</v>
      </c>
      <c r="O59">
        <f t="shared" si="17"/>
        <v>1.0298162301287169E-3</v>
      </c>
      <c r="P59">
        <f t="shared" si="18"/>
        <v>3.3947860373195969E+19</v>
      </c>
      <c r="S59">
        <f t="shared" si="70"/>
        <v>17</v>
      </c>
      <c r="T59">
        <f t="shared" si="71"/>
        <v>8.5277271419523693E-4</v>
      </c>
      <c r="U59">
        <f t="shared" si="19"/>
        <v>8.5287271419523687E-4</v>
      </c>
      <c r="V59">
        <f t="shared" si="20"/>
        <v>2.6496334876316172E+19</v>
      </c>
      <c r="Y59">
        <f t="shared" si="72"/>
        <v>17</v>
      </c>
      <c r="Z59">
        <f t="shared" si="73"/>
        <v>7.0628198843605643E-4</v>
      </c>
      <c r="AA59">
        <f t="shared" si="21"/>
        <v>7.0638198843605638E-4</v>
      </c>
      <c r="AB59">
        <f t="shared" si="22"/>
        <v>2.6486420326814151E+19</v>
      </c>
      <c r="AE59">
        <f t="shared" si="74"/>
        <v>17</v>
      </c>
      <c r="AF59">
        <f t="shared" si="75"/>
        <v>5.8500298807122309E-4</v>
      </c>
      <c r="AG59">
        <f t="shared" si="23"/>
        <v>5.8510298807122304E-4</v>
      </c>
      <c r="AH59">
        <f t="shared" si="24"/>
        <v>2.6476083679358607E+19</v>
      </c>
      <c r="AK59">
        <f t="shared" si="76"/>
        <v>17</v>
      </c>
      <c r="AL59">
        <f t="shared" si="77"/>
        <v>4.8459665959365764E-4</v>
      </c>
      <c r="AM59">
        <f t="shared" si="25"/>
        <v>4.8469665959365764E-4</v>
      </c>
      <c r="AN59">
        <f t="shared" si="26"/>
        <v>2.6461061319403799E+19</v>
      </c>
      <c r="AQ59">
        <f t="shared" si="78"/>
        <v>17</v>
      </c>
      <c r="AR59">
        <f t="shared" si="79"/>
        <v>4.0147072049440986E-4</v>
      </c>
      <c r="AS59">
        <f t="shared" si="27"/>
        <v>4.0157072049440987E-4</v>
      </c>
      <c r="AT59">
        <f t="shared" si="28"/>
        <v>2.6442458592803017E+19</v>
      </c>
      <c r="AW59">
        <f t="shared" si="80"/>
        <v>17</v>
      </c>
      <c r="AX59">
        <f t="shared" si="81"/>
        <v>3.3265113655079627E-4</v>
      </c>
      <c r="AY59">
        <f t="shared" si="29"/>
        <v>3.3275113655079628E-4</v>
      </c>
      <c r="AZ59">
        <f t="shared" si="30"/>
        <v>2.642013431470021E+19</v>
      </c>
      <c r="BC59">
        <f t="shared" si="82"/>
        <v>17</v>
      </c>
      <c r="BD59">
        <f t="shared" si="83"/>
        <v>2.7567571846237756E-4</v>
      </c>
      <c r="BE59">
        <f t="shared" si="31"/>
        <v>2.7577571846237756E-4</v>
      </c>
      <c r="BF59">
        <f t="shared" si="32"/>
        <v>2.6392985137162838E+19</v>
      </c>
      <c r="BI59">
        <f t="shared" si="84"/>
        <v>17</v>
      </c>
      <c r="BJ59">
        <f t="shared" si="85"/>
        <v>2.2850603099362115E-4</v>
      </c>
      <c r="BK59">
        <f t="shared" si="33"/>
        <v>2.2860603099362112E-4</v>
      </c>
      <c r="BL59">
        <f t="shared" si="34"/>
        <v>2.6359997709302825E+19</v>
      </c>
      <c r="BO59">
        <f t="shared" si="86"/>
        <v>17</v>
      </c>
      <c r="BP59">
        <f t="shared" si="87"/>
        <v>1.8945446295690619E-4</v>
      </c>
      <c r="BQ59">
        <f t="shared" si="35"/>
        <v>1.8955446295690616E-4</v>
      </c>
      <c r="BR59">
        <f t="shared" si="155"/>
        <v>3.3700493343615619E+19</v>
      </c>
      <c r="BU59">
        <f t="shared" si="88"/>
        <v>17</v>
      </c>
      <c r="BV59">
        <f t="shared" si="89"/>
        <v>1.5712384878575444E-4</v>
      </c>
      <c r="BW59">
        <f t="shared" si="37"/>
        <v>1.5722384878575442E-4</v>
      </c>
      <c r="BX59">
        <f t="shared" si="156"/>
        <v>2.6272876900645429E+19</v>
      </c>
      <c r="CA59">
        <f t="shared" si="90"/>
        <v>17</v>
      </c>
      <c r="CB59">
        <f t="shared" si="187"/>
        <v>1.3035748151207275E-4</v>
      </c>
      <c r="CC59">
        <f t="shared" si="188"/>
        <v>1.3045748151207273E-4</v>
      </c>
      <c r="CD59">
        <f t="shared" si="189"/>
        <v>3.3566356508312044E+19</v>
      </c>
      <c r="CG59">
        <v>17</v>
      </c>
      <c r="CH59">
        <f t="shared" ref="CH59" si="193">CI58</f>
        <v>1.0819772873914561E-4</v>
      </c>
      <c r="CI59">
        <f t="shared" ref="CI59" si="194">$CH$43+CG59*$H$2</f>
        <v>1.0829772873914562E-4</v>
      </c>
      <c r="CJ59">
        <f t="shared" ref="CJ59" si="195">((8*$H$1*$H$18)/(3.1415))*(((CI59)^4-(CH59)^4)-(((CI59)^2-(CH59)^2)^2/(LN(CI59/CH59))))^-1</f>
        <v>3.3478296146158621E+19</v>
      </c>
    </row>
    <row r="60" spans="1:148" x14ac:dyDescent="0.35">
      <c r="A60">
        <f>A59+1</f>
        <v>18</v>
      </c>
      <c r="B60">
        <f t="shared" si="65"/>
        <v>1.5017000000000001E-3</v>
      </c>
      <c r="C60">
        <f t="shared" si="13"/>
        <v>1.5018E-3</v>
      </c>
      <c r="D60">
        <f t="shared" si="14"/>
        <v>4.5064048137622422E+19</v>
      </c>
      <c r="G60">
        <f>G59+1</f>
        <v>18</v>
      </c>
      <c r="H60">
        <f t="shared" si="67"/>
        <v>1.2435431242282882E-3</v>
      </c>
      <c r="I60">
        <f t="shared" si="15"/>
        <v>1.243643124228288E-3</v>
      </c>
      <c r="J60">
        <f t="shared" si="16"/>
        <v>2.6488990338416914E+19</v>
      </c>
      <c r="M60">
        <f>M59+1</f>
        <v>18</v>
      </c>
      <c r="N60">
        <f t="shared" si="69"/>
        <v>1.0298162301287169E-3</v>
      </c>
      <c r="O60">
        <f t="shared" si="17"/>
        <v>1.0299162301287167E-3</v>
      </c>
      <c r="P60">
        <f t="shared" si="18"/>
        <v>3.3949123555520696E+19</v>
      </c>
      <c r="S60">
        <f>S59+1</f>
        <v>18</v>
      </c>
      <c r="T60">
        <f t="shared" si="71"/>
        <v>8.5287271419523687E-4</v>
      </c>
      <c r="U60">
        <f t="shared" si="19"/>
        <v>8.5297271419523693E-4</v>
      </c>
      <c r="V60">
        <f t="shared" si="20"/>
        <v>2.6494319072617304E+19</v>
      </c>
      <c r="Y60">
        <f>Y59+1</f>
        <v>18</v>
      </c>
      <c r="Z60">
        <f t="shared" si="73"/>
        <v>7.0638198843605638E-4</v>
      </c>
      <c r="AA60">
        <f t="shared" si="21"/>
        <v>7.0648198843605643E-4</v>
      </c>
      <c r="AB60">
        <f t="shared" si="22"/>
        <v>2.6484629850180772E+19</v>
      </c>
      <c r="AE60">
        <f t="shared" si="74"/>
        <v>18</v>
      </c>
      <c r="AF60">
        <f t="shared" si="75"/>
        <v>5.8510298807122304E-4</v>
      </c>
      <c r="AG60">
        <f t="shared" si="23"/>
        <v>5.8520298807122309E-4</v>
      </c>
      <c r="AH60">
        <f t="shared" si="24"/>
        <v>2.6472946085046669E+19</v>
      </c>
      <c r="AK60">
        <f t="shared" si="76"/>
        <v>18</v>
      </c>
      <c r="AL60">
        <f t="shared" si="77"/>
        <v>4.8469665959365764E-4</v>
      </c>
      <c r="AM60">
        <f t="shared" si="25"/>
        <v>4.8479665959365764E-4</v>
      </c>
      <c r="AN60">
        <f t="shared" si="26"/>
        <v>2.6456508412867183E+19</v>
      </c>
      <c r="AQ60">
        <f t="shared" si="78"/>
        <v>18</v>
      </c>
      <c r="AR60">
        <f t="shared" si="79"/>
        <v>4.0157072049440987E-4</v>
      </c>
      <c r="AS60">
        <f t="shared" si="27"/>
        <v>4.0167072049440987E-4</v>
      </c>
      <c r="AT60">
        <f t="shared" si="28"/>
        <v>2.6436026364344779E+19</v>
      </c>
      <c r="AW60">
        <f t="shared" si="80"/>
        <v>18</v>
      </c>
      <c r="AX60">
        <f t="shared" si="81"/>
        <v>3.3275113655079628E-4</v>
      </c>
      <c r="AY60">
        <f t="shared" si="29"/>
        <v>3.3285113655079628E-4</v>
      </c>
      <c r="AZ60">
        <f t="shared" si="30"/>
        <v>2.641236743967737E+19</v>
      </c>
      <c r="BC60">
        <f t="shared" si="82"/>
        <v>18</v>
      </c>
      <c r="BD60">
        <f t="shared" si="83"/>
        <v>2.7577571846237756E-4</v>
      </c>
      <c r="BE60">
        <f t="shared" si="31"/>
        <v>2.7587571846237756E-4</v>
      </c>
      <c r="BF60">
        <f t="shared" si="32"/>
        <v>2.6383233878811218E+19</v>
      </c>
      <c r="BI60">
        <f t="shared" si="84"/>
        <v>18</v>
      </c>
      <c r="BJ60">
        <f t="shared" si="85"/>
        <v>2.2860603099362112E-4</v>
      </c>
      <c r="BK60">
        <f t="shared" si="33"/>
        <v>2.2870603099362112E-4</v>
      </c>
      <c r="BL60">
        <f t="shared" si="34"/>
        <v>2.6348432748925501E+19</v>
      </c>
      <c r="BO60">
        <f t="shared" si="86"/>
        <v>18</v>
      </c>
      <c r="BP60">
        <f t="shared" si="87"/>
        <v>1.8955446295690616E-4</v>
      </c>
      <c r="BQ60">
        <f t="shared" si="35"/>
        <v>1.8965446295690617E-4</v>
      </c>
      <c r="BR60">
        <f t="shared" si="155"/>
        <v>3.3682682706643812E+19</v>
      </c>
      <c r="BU60">
        <f t="shared" si="88"/>
        <v>18</v>
      </c>
      <c r="BV60">
        <f t="shared" si="89"/>
        <v>1.5722384878575442E-4</v>
      </c>
      <c r="BW60">
        <f t="shared" si="37"/>
        <v>1.5732384878575442E-4</v>
      </c>
      <c r="BX60">
        <f t="shared" si="156"/>
        <v>2.6256206715209789E+19</v>
      </c>
      <c r="CA60">
        <v>18</v>
      </c>
      <c r="CB60">
        <f t="shared" ref="CB60" si="196">CC59</f>
        <v>1.3045748151207273E-4</v>
      </c>
      <c r="CC60">
        <f t="shared" ref="CC60" si="197">$CB$43+CA60*$H$2</f>
        <v>1.3055748151207273E-4</v>
      </c>
      <c r="CD60">
        <f t="shared" ref="CD60" si="198">((8*$H$1*$H$17)/(3.1415))*(((CC60)^4-(CB60)^4)-(((CC60)^2-(CB60)^2)^2/(LN(CC60/CB60))))^-1</f>
        <v>3.354062494956306E+19</v>
      </c>
    </row>
    <row r="61" spans="1:148" x14ac:dyDescent="0.35">
      <c r="A61">
        <f t="shared" si="64"/>
        <v>19</v>
      </c>
      <c r="B61">
        <f t="shared" si="65"/>
        <v>1.5018E-3</v>
      </c>
      <c r="C61">
        <f t="shared" si="13"/>
        <v>1.5019E-3</v>
      </c>
      <c r="D61">
        <f t="shared" si="14"/>
        <v>4.5115471361605788E+19</v>
      </c>
      <c r="G61">
        <f t="shared" ref="G61" si="199">G60+1</f>
        <v>19</v>
      </c>
      <c r="H61">
        <f t="shared" si="67"/>
        <v>1.243643124228288E-3</v>
      </c>
      <c r="I61">
        <f t="shared" si="15"/>
        <v>1.2437431242282881E-3</v>
      </c>
      <c r="J61">
        <f t="shared" si="16"/>
        <v>2.6498222206851465E+19</v>
      </c>
      <c r="M61">
        <f t="shared" ref="M61" si="200">M60+1</f>
        <v>19</v>
      </c>
      <c r="N61">
        <f t="shared" si="69"/>
        <v>1.0299162301287167E-3</v>
      </c>
      <c r="O61">
        <f t="shared" si="17"/>
        <v>1.0300162301287168E-3</v>
      </c>
      <c r="P61">
        <f t="shared" si="18"/>
        <v>3.3927350480626094E+19</v>
      </c>
      <c r="S61">
        <f t="shared" ref="S61:S62" si="201">S60+1</f>
        <v>19</v>
      </c>
      <c r="T61">
        <f t="shared" si="71"/>
        <v>8.5297271419523693E-4</v>
      </c>
      <c r="U61">
        <f t="shared" si="19"/>
        <v>8.5307271419523688E-4</v>
      </c>
      <c r="V61">
        <f t="shared" si="20"/>
        <v>2.6490100086812963E+19</v>
      </c>
      <c r="Y61">
        <f t="shared" ref="Y61:Y62" si="202">Y60+1</f>
        <v>19</v>
      </c>
      <c r="Z61">
        <f t="shared" si="73"/>
        <v>7.0648198843605643E-4</v>
      </c>
      <c r="AA61">
        <f t="shared" si="21"/>
        <v>7.0658198843605638E-4</v>
      </c>
      <c r="AB61">
        <f t="shared" si="22"/>
        <v>2.6482524287699276E+19</v>
      </c>
      <c r="AE61">
        <f t="shared" si="74"/>
        <v>19</v>
      </c>
      <c r="AF61">
        <f t="shared" si="75"/>
        <v>5.8520298807122309E-4</v>
      </c>
      <c r="AG61">
        <f t="shared" si="23"/>
        <v>5.8530298807122304E-4</v>
      </c>
      <c r="AH61">
        <f t="shared" si="24"/>
        <v>2.6467956161107423E+19</v>
      </c>
      <c r="AK61">
        <f t="shared" si="76"/>
        <v>19</v>
      </c>
      <c r="AL61">
        <f t="shared" si="77"/>
        <v>4.8479665959365764E-4</v>
      </c>
      <c r="AM61">
        <f t="shared" si="25"/>
        <v>4.8489665959365765E-4</v>
      </c>
      <c r="AN61">
        <f t="shared" si="26"/>
        <v>2.6451177065163719E+19</v>
      </c>
      <c r="AQ61">
        <f t="shared" si="78"/>
        <v>19</v>
      </c>
      <c r="AR61">
        <f t="shared" si="79"/>
        <v>4.0167072049440987E-4</v>
      </c>
      <c r="AS61">
        <f t="shared" si="27"/>
        <v>4.0177072049440987E-4</v>
      </c>
      <c r="AT61">
        <f t="shared" si="28"/>
        <v>2.642908926894218E+19</v>
      </c>
      <c r="AW61">
        <f t="shared" si="80"/>
        <v>19</v>
      </c>
      <c r="AX61">
        <f t="shared" si="81"/>
        <v>3.3285113655079628E-4</v>
      </c>
      <c r="AY61">
        <f t="shared" si="29"/>
        <v>3.3295113655079628E-4</v>
      </c>
      <c r="AZ61">
        <f t="shared" si="30"/>
        <v>2.6403933852757156E+19</v>
      </c>
      <c r="BC61">
        <f t="shared" si="82"/>
        <v>19</v>
      </c>
      <c r="BD61">
        <f t="shared" si="83"/>
        <v>2.7587571846237756E-4</v>
      </c>
      <c r="BE61">
        <f t="shared" si="31"/>
        <v>2.7597571846237756E-4</v>
      </c>
      <c r="BF61">
        <f t="shared" si="32"/>
        <v>2.6373505507156529E+19</v>
      </c>
      <c r="BI61">
        <f t="shared" si="84"/>
        <v>19</v>
      </c>
      <c r="BJ61">
        <f t="shared" si="85"/>
        <v>2.2870603099362112E-4</v>
      </c>
      <c r="BK61">
        <f t="shared" si="33"/>
        <v>2.2880603099362113E-4</v>
      </c>
      <c r="BL61">
        <f t="shared" si="34"/>
        <v>2.6336944053054988E+19</v>
      </c>
      <c r="BO61">
        <f t="shared" si="86"/>
        <v>19</v>
      </c>
      <c r="BP61">
        <f t="shared" si="87"/>
        <v>1.8965446295690617E-4</v>
      </c>
      <c r="BQ61">
        <f t="shared" si="35"/>
        <v>1.8975446295690617E-4</v>
      </c>
      <c r="BR61">
        <f t="shared" si="155"/>
        <v>3.3664947585918898E+19</v>
      </c>
      <c r="BU61">
        <v>19</v>
      </c>
      <c r="BV61">
        <f t="shared" ref="BV61" si="203">BW60</f>
        <v>1.5732384878575442E-4</v>
      </c>
      <c r="BW61">
        <f t="shared" ref="BW61" si="204">$BV$43+BU61*$H$2</f>
        <v>1.5742384878575442E-4</v>
      </c>
      <c r="BX61">
        <f t="shared" ref="BX61" si="205">((8*$F$1*$H$16)/(3.1415))*(((BW61)^4-(BV61)^4)-(((BW61)^2-(BV61)^2)^2/(LN(BW61/BV61))))^-1</f>
        <v>2.6239556731611603E+19</v>
      </c>
    </row>
    <row r="62" spans="1:148" x14ac:dyDescent="0.35">
      <c r="A62">
        <f>A61+1</f>
        <v>20</v>
      </c>
      <c r="B62">
        <f t="shared" si="65"/>
        <v>1.5019E-3</v>
      </c>
      <c r="C62">
        <f t="shared" si="13"/>
        <v>1.5020000000000001E-3</v>
      </c>
      <c r="D62">
        <f t="shared" si="14"/>
        <v>4.5052033140895891E+19</v>
      </c>
      <c r="G62">
        <f>G61+1</f>
        <v>20</v>
      </c>
      <c r="H62">
        <f t="shared" si="67"/>
        <v>1.2437431242282881E-3</v>
      </c>
      <c r="I62">
        <f t="shared" si="15"/>
        <v>1.2438431242282881E-3</v>
      </c>
      <c r="J62">
        <f t="shared" si="16"/>
        <v>2.6528143995335614E+19</v>
      </c>
      <c r="M62">
        <f>M61+1</f>
        <v>20</v>
      </c>
      <c r="N62">
        <f t="shared" si="69"/>
        <v>1.0300162301287168E-3</v>
      </c>
      <c r="O62">
        <f t="shared" si="17"/>
        <v>1.0301162301287168E-3</v>
      </c>
      <c r="P62">
        <f t="shared" si="18"/>
        <v>3.393989692984209E+19</v>
      </c>
      <c r="S62">
        <f t="shared" si="201"/>
        <v>20</v>
      </c>
      <c r="T62">
        <f t="shared" si="71"/>
        <v>8.5307271419523688E-4</v>
      </c>
      <c r="U62">
        <f t="shared" si="19"/>
        <v>8.5317271419523694E-4</v>
      </c>
      <c r="V62">
        <f t="shared" si="20"/>
        <v>2.6495275823252804E+19</v>
      </c>
      <c r="Y62">
        <f t="shared" si="202"/>
        <v>20</v>
      </c>
      <c r="Z62">
        <f t="shared" si="73"/>
        <v>7.0658198843605638E-4</v>
      </c>
      <c r="AA62">
        <f t="shared" si="21"/>
        <v>7.0668198843605644E-4</v>
      </c>
      <c r="AB62">
        <f t="shared" si="22"/>
        <v>2.6480076074008957E+19</v>
      </c>
      <c r="AE62">
        <f t="shared" si="74"/>
        <v>20</v>
      </c>
      <c r="AF62">
        <f t="shared" si="75"/>
        <v>5.8530298807122304E-4</v>
      </c>
      <c r="AG62">
        <f t="shared" si="23"/>
        <v>5.854029880712231E-4</v>
      </c>
      <c r="AH62">
        <f t="shared" si="24"/>
        <v>2.6462584050111058E+19</v>
      </c>
      <c r="AK62">
        <f t="shared" si="76"/>
        <v>20</v>
      </c>
      <c r="AL62">
        <f t="shared" si="77"/>
        <v>4.8489665959365765E-4</v>
      </c>
      <c r="AM62">
        <f t="shared" si="25"/>
        <v>4.8499665959365765E-4</v>
      </c>
      <c r="AN62">
        <f t="shared" si="26"/>
        <v>2.6444003303810728E+19</v>
      </c>
      <c r="AQ62">
        <f t="shared" si="78"/>
        <v>20</v>
      </c>
      <c r="AR62">
        <f t="shared" si="79"/>
        <v>4.0177072049440987E-4</v>
      </c>
      <c r="AS62">
        <f t="shared" si="27"/>
        <v>4.0187072049440987E-4</v>
      </c>
      <c r="AT62">
        <f t="shared" si="28"/>
        <v>2.6423416889471214E+19</v>
      </c>
      <c r="AW62">
        <f t="shared" si="80"/>
        <v>20</v>
      </c>
      <c r="AX62">
        <f t="shared" si="81"/>
        <v>3.3295113655079628E-4</v>
      </c>
      <c r="AY62">
        <f t="shared" si="29"/>
        <v>3.3305113655079628E-4</v>
      </c>
      <c r="AZ62">
        <f t="shared" si="30"/>
        <v>2.6396222297706963E+19</v>
      </c>
      <c r="BC62">
        <f t="shared" si="82"/>
        <v>20</v>
      </c>
      <c r="BD62">
        <f t="shared" si="83"/>
        <v>2.7597571846237756E-4</v>
      </c>
      <c r="BE62">
        <f t="shared" si="31"/>
        <v>2.7607571846237757E-4</v>
      </c>
      <c r="BF62">
        <f t="shared" si="32"/>
        <v>2.6364151066884178E+19</v>
      </c>
      <c r="BI62">
        <f t="shared" si="84"/>
        <v>20</v>
      </c>
      <c r="BJ62">
        <f t="shared" si="85"/>
        <v>2.2880603099362113E-4</v>
      </c>
      <c r="BK62">
        <f t="shared" si="33"/>
        <v>2.2890603099362113E-4</v>
      </c>
      <c r="BL62">
        <f t="shared" si="34"/>
        <v>2.6325416123057041E+19</v>
      </c>
      <c r="BO62">
        <v>20</v>
      </c>
      <c r="BP62">
        <f t="shared" ref="BP62" si="206">BQ61</f>
        <v>1.8975446295690617E-4</v>
      </c>
      <c r="BQ62">
        <f t="shared" ref="BQ62" si="207">$BP$43+BO62*$H$2</f>
        <v>1.8985446295690617E-4</v>
      </c>
      <c r="BR62">
        <f t="shared" ref="BR62" si="208">((8*$H$1*$H$15)/(3.1415))*(((BQ62)^4-(BP62)^4)-(((BQ62)^2-(BP62)^2)^2/(LN(BQ62/BP62))))^-1</f>
        <v>3.3647151803956347E+19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Q57"/>
  <sheetViews>
    <sheetView topLeftCell="A8" zoomScale="90" zoomScaleNormal="90" workbookViewId="0">
      <selection activeCell="J38" sqref="J38"/>
    </sheetView>
  </sheetViews>
  <sheetFormatPr defaultRowHeight="14.5" x14ac:dyDescent="0.35"/>
  <cols>
    <col min="3" max="3" width="9.90625" customWidth="1"/>
    <col min="4" max="4" width="11.81640625" bestFit="1" customWidth="1"/>
    <col min="5" max="5" width="10.6328125" customWidth="1"/>
    <col min="6" max="6" width="9.81640625" customWidth="1"/>
    <col min="7" max="7" width="11.6328125" customWidth="1"/>
    <col min="9" max="9" width="12.90625" customWidth="1"/>
    <col min="10" max="10" width="10.81640625" bestFit="1" customWidth="1"/>
    <col min="11" max="11" width="11" bestFit="1" customWidth="1"/>
    <col min="12" max="12" width="9.1796875" customWidth="1"/>
    <col min="13" max="13" width="10.1796875" customWidth="1"/>
    <col min="14" max="14" width="9.81640625" customWidth="1"/>
    <col min="17" max="17" width="10" customWidth="1"/>
    <col min="20" max="20" width="6.36328125" customWidth="1"/>
    <col min="23" max="23" width="12" bestFit="1" customWidth="1"/>
    <col min="29" max="29" width="11" bestFit="1" customWidth="1"/>
    <col min="35" max="35" width="12" bestFit="1" customWidth="1"/>
    <col min="41" max="41" width="12" bestFit="1" customWidth="1"/>
    <col min="47" max="47" width="12" bestFit="1" customWidth="1"/>
    <col min="53" max="53" width="12" bestFit="1" customWidth="1"/>
    <col min="59" max="59" width="12" bestFit="1" customWidth="1"/>
    <col min="65" max="65" width="12" bestFit="1" customWidth="1"/>
    <col min="71" max="71" width="12" bestFit="1" customWidth="1"/>
    <col min="77" max="77" width="12" bestFit="1" customWidth="1"/>
    <col min="80" max="80" width="12" bestFit="1" customWidth="1"/>
    <col min="83" max="83" width="12" bestFit="1" customWidth="1"/>
    <col min="86" max="86" width="12" bestFit="1" customWidth="1"/>
    <col min="89" max="89" width="12" bestFit="1" customWidth="1"/>
    <col min="92" max="92" width="12" bestFit="1" customWidth="1"/>
    <col min="95" max="95" width="12" bestFit="1" customWidth="1"/>
    <col min="98" max="98" width="12" bestFit="1" customWidth="1"/>
    <col min="101" max="101" width="12" bestFit="1" customWidth="1"/>
    <col min="104" max="104" width="12" bestFit="1" customWidth="1"/>
    <col min="107" max="107" width="12" bestFit="1" customWidth="1"/>
    <col min="110" max="110" width="12" bestFit="1" customWidth="1"/>
    <col min="113" max="113" width="12" bestFit="1" customWidth="1"/>
    <col min="116" max="116" width="12" bestFit="1" customWidth="1"/>
    <col min="119" max="119" width="12" bestFit="1" customWidth="1"/>
    <col min="122" max="122" width="12" bestFit="1" customWidth="1"/>
    <col min="125" max="125" width="12" bestFit="1" customWidth="1"/>
    <col min="128" max="128" width="12" bestFit="1" customWidth="1"/>
    <col min="130" max="130" width="10.54296875" customWidth="1"/>
    <col min="131" max="131" width="12.54296875" customWidth="1"/>
    <col min="134" max="134" width="12" bestFit="1" customWidth="1"/>
    <col min="137" max="137" width="12" bestFit="1" customWidth="1"/>
    <col min="140" max="140" width="12" bestFit="1" customWidth="1"/>
    <col min="142" max="143" width="12" bestFit="1" customWidth="1"/>
    <col min="146" max="146" width="12" bestFit="1" customWidth="1"/>
    <col min="149" max="149" width="12" bestFit="1" customWidth="1"/>
    <col min="152" max="153" width="12" bestFit="1" customWidth="1"/>
    <col min="155" max="155" width="12" bestFit="1" customWidth="1"/>
    <col min="158" max="160" width="12" bestFit="1" customWidth="1"/>
    <col min="161" max="161" width="10.54296875" customWidth="1"/>
    <col min="164" max="166" width="12" bestFit="1" customWidth="1"/>
    <col min="167" max="167" width="10.1796875" customWidth="1"/>
    <col min="170" max="172" width="12" bestFit="1" customWidth="1"/>
  </cols>
  <sheetData>
    <row r="1" spans="2:20" x14ac:dyDescent="0.35">
      <c r="B1" t="s">
        <v>28</v>
      </c>
      <c r="C1">
        <v>1E-3</v>
      </c>
      <c r="E1" s="1" t="s">
        <v>33</v>
      </c>
      <c r="F1" s="2">
        <f>F2*7*10^-7</f>
        <v>6.9509999999999993E-4</v>
      </c>
      <c r="G1" t="s">
        <v>53</v>
      </c>
      <c r="H1" s="2">
        <f>8.9/10000</f>
        <v>8.9000000000000006E-4</v>
      </c>
      <c r="I1" t="s">
        <v>168</v>
      </c>
      <c r="J1">
        <f>2*(0.5^(27/3.67))*C1*1000000</f>
        <v>12.200226744319544</v>
      </c>
    </row>
    <row r="2" spans="2:20" ht="15" thickBot="1" x14ac:dyDescent="0.4">
      <c r="B2" t="s">
        <v>26</v>
      </c>
      <c r="C2">
        <f>'Final-Peri'!I11</f>
        <v>29</v>
      </c>
      <c r="E2" s="3" t="s">
        <v>34</v>
      </c>
      <c r="F2" s="4">
        <v>993</v>
      </c>
      <c r="G2" t="s">
        <v>102</v>
      </c>
      <c r="H2">
        <f>100/1000000000</f>
        <v>9.9999999999999995E-8</v>
      </c>
    </row>
    <row r="3" spans="2:20" x14ac:dyDescent="0.35">
      <c r="B3" t="s">
        <v>25</v>
      </c>
      <c r="C3" t="s">
        <v>27</v>
      </c>
      <c r="E3" t="s">
        <v>40</v>
      </c>
      <c r="F3" t="s">
        <v>30</v>
      </c>
      <c r="G3" t="s">
        <v>31</v>
      </c>
      <c r="H3" t="s">
        <v>17</v>
      </c>
      <c r="I3" t="s">
        <v>51</v>
      </c>
      <c r="J3" t="s">
        <v>32</v>
      </c>
      <c r="L3" t="s">
        <v>29</v>
      </c>
      <c r="N3" t="s">
        <v>37</v>
      </c>
      <c r="P3" t="s">
        <v>59</v>
      </c>
      <c r="Q3" t="s">
        <v>55</v>
      </c>
      <c r="R3" t="s">
        <v>60</v>
      </c>
      <c r="T3" t="s">
        <v>30</v>
      </c>
    </row>
    <row r="4" spans="2:20" x14ac:dyDescent="0.35">
      <c r="B4">
        <v>0</v>
      </c>
      <c r="C4">
        <f>('Final-Peri'!G11)/('Final-Peri'!G11+'Final-Peri'!H11)</f>
        <v>0.99710838568152371</v>
      </c>
      <c r="E4">
        <f>(1/((1-(C4^4))-(((1-(C4^2))^2)/(LN(1/C4)))))</f>
        <v>31064792.906876501</v>
      </c>
      <c r="F4">
        <f>('Final-Peri'!G11+('Final-Peri'!E11/1000))</f>
        <v>1.0028999999999999E-3</v>
      </c>
      <c r="G4">
        <f>1/(F4)^4</f>
        <v>988483614684.04749</v>
      </c>
      <c r="H4">
        <v>4.4999999999999998E-2</v>
      </c>
      <c r="I4">
        <f>H4*G4*E4</f>
        <v>1.3818167451900288E+18</v>
      </c>
      <c r="J4">
        <f>(8*$F$1*I4)/($F$2*9.81*3.1415)</f>
        <v>251091728779.13394</v>
      </c>
      <c r="L4">
        <f>J4/(2^B4)</f>
        <v>251091728779.13394</v>
      </c>
      <c r="N4">
        <f>SUM(L4:L25)</f>
        <v>406983617016.68781</v>
      </c>
      <c r="P4">
        <f>0.001</f>
        <v>1E-3</v>
      </c>
      <c r="Q4">
        <f>(8*$H$1*H4)/(1025*9.8*3.1415*P4^4)</f>
        <v>10153.259876948767</v>
      </c>
      <c r="R4">
        <f>Q4/(2^B4)</f>
        <v>10153.259876948767</v>
      </c>
      <c r="T4">
        <f>SUM(R4:R25)</f>
        <v>165829.96612960388</v>
      </c>
    </row>
    <row r="5" spans="2:20" x14ac:dyDescent="0.35">
      <c r="B5">
        <v>1</v>
      </c>
      <c r="C5">
        <f>((0.5)^(B5/3)*$C$1)/(((0.5)^(B5/3)*$C$1)+(($C$2-B5)*0.0000001))</f>
        <v>0.99648462253488101</v>
      </c>
      <c r="E5">
        <f>(1/((1-(C5^4))-(((1-(C5^2))^2)/(LN(1/C5)))))</f>
        <v>17294551.722449582</v>
      </c>
      <c r="F5">
        <f t="shared" ref="F5:F25" si="0">((0.5^(B5/3)*$C$1)+($C$2-B5)*0.0000001)</f>
        <v>7.9650052598409982E-4</v>
      </c>
      <c r="G5">
        <f t="shared" ref="G5:G25" si="1">1/(F5)^4</f>
        <v>2484595717185.8882</v>
      </c>
      <c r="H5">
        <f>(20*(0.5)^(B5/3.67)*$C$1)</f>
        <v>1.6557908323043841E-2</v>
      </c>
      <c r="I5">
        <f t="shared" ref="I5:I25" si="2">H5*G5*E5</f>
        <v>7.1149280966825037E+17</v>
      </c>
      <c r="J5">
        <f t="shared" ref="J5:J25" si="3">(8*$F$1*I5)/($F$2*9.81*3.1415)</f>
        <v>129286289383.4422</v>
      </c>
      <c r="L5">
        <f t="shared" ref="L5:L25" si="4">J5/(2^B5)</f>
        <v>64643144691.7211</v>
      </c>
      <c r="P5">
        <f>((0.5)^(B5/3)*$C$1)</f>
        <v>7.9370052598409986E-4</v>
      </c>
      <c r="Q5">
        <f t="shared" ref="Q5:Q25" si="5">(8*$H$1*H5)/(1025*9.8*3.1415*P5^4)</f>
        <v>9413.9478846948386</v>
      </c>
      <c r="R5">
        <f t="shared" ref="R5:R25" si="6">Q5/(2^B5)</f>
        <v>4706.9739423474193</v>
      </c>
    </row>
    <row r="6" spans="2:20" x14ac:dyDescent="0.35">
      <c r="B6">
        <f>B5+1</f>
        <v>2</v>
      </c>
      <c r="C6">
        <f t="shared" ref="C6:C32" si="7">((0.5)^(B6/3)*$C$1)/(((0.5)^(B6/3)*$C$1)+(($C$2-B6)*0.0000001))</f>
        <v>0.99573230841259719</v>
      </c>
      <c r="E6">
        <f t="shared" ref="E6:E22" si="8">(1/((1-(C6^4))-(((1-(C6^2))^2)/(LN(1/C6)))))</f>
        <v>9669627.8304669894</v>
      </c>
      <c r="F6">
        <f t="shared" si="0"/>
        <v>6.326605249474366E-4</v>
      </c>
      <c r="G6">
        <f t="shared" si="1"/>
        <v>6241903505302.3867</v>
      </c>
      <c r="H6">
        <f t="shared" ref="H6:H32" si="9">(20*(0.5)^(B6/3.67)*$C$1)</f>
        <v>1.3708216401716225E-2</v>
      </c>
      <c r="I6">
        <f t="shared" si="2"/>
        <v>8.2738522514852224E+17</v>
      </c>
      <c r="J6">
        <f t="shared" si="3"/>
        <v>150345251837.48984</v>
      </c>
      <c r="L6">
        <f t="shared" si="4"/>
        <v>37586312959.372459</v>
      </c>
      <c r="N6">
        <f>N4*1000*9.81</f>
        <v>3992509282933707.5</v>
      </c>
      <c r="O6" t="s">
        <v>80</v>
      </c>
      <c r="P6">
        <f t="shared" ref="P6:P25" si="10">((0.5)^(B6/3)*$C$1)</f>
        <v>6.2996052494743659E-4</v>
      </c>
      <c r="Q6">
        <f t="shared" si="5"/>
        <v>19639.055403097012</v>
      </c>
      <c r="R6">
        <f t="shared" si="6"/>
        <v>4909.7638507742531</v>
      </c>
    </row>
    <row r="7" spans="2:20" x14ac:dyDescent="0.35">
      <c r="B7">
        <f t="shared" ref="B7:B25" si="11">B6+1</f>
        <v>3</v>
      </c>
      <c r="C7">
        <f t="shared" si="7"/>
        <v>0.99482690011937935</v>
      </c>
      <c r="E7">
        <f t="shared" si="8"/>
        <v>5431668.5077039301</v>
      </c>
      <c r="F7">
        <f t="shared" si="0"/>
        <v>5.0259999999999997E-4</v>
      </c>
      <c r="G7">
        <f t="shared" si="1"/>
        <v>15671481811510.246</v>
      </c>
      <c r="H7">
        <f t="shared" si="9"/>
        <v>1.1348969522603159E-2</v>
      </c>
      <c r="I7">
        <f t="shared" si="2"/>
        <v>9.6605032284944307E+17</v>
      </c>
      <c r="J7">
        <f t="shared" si="3"/>
        <v>175542268174.315</v>
      </c>
      <c r="L7">
        <f t="shared" si="4"/>
        <v>21942783521.789375</v>
      </c>
      <c r="P7">
        <f t="shared" si="10"/>
        <v>5.0000000000000001E-4</v>
      </c>
      <c r="Q7">
        <f t="shared" si="5"/>
        <v>40970.324230599486</v>
      </c>
      <c r="R7">
        <f t="shared" si="6"/>
        <v>5121.2905288249358</v>
      </c>
    </row>
    <row r="8" spans="2:20" x14ac:dyDescent="0.35">
      <c r="B8">
        <f t="shared" si="11"/>
        <v>4</v>
      </c>
      <c r="C8">
        <f t="shared" si="7"/>
        <v>0.99373983134186694</v>
      </c>
      <c r="E8">
        <f t="shared" si="8"/>
        <v>3066651.2317172866</v>
      </c>
      <c r="F8">
        <f t="shared" si="0"/>
        <v>3.9935026299204993E-4</v>
      </c>
      <c r="G8">
        <f t="shared" si="1"/>
        <v>39317337536179.531</v>
      </c>
      <c r="H8">
        <f t="shared" si="9"/>
        <v>9.3957598458140855E-3</v>
      </c>
      <c r="I8">
        <f t="shared" si="2"/>
        <v>1.1328708326300879E+18</v>
      </c>
      <c r="J8">
        <f t="shared" si="3"/>
        <v>205855441279.5361</v>
      </c>
      <c r="L8">
        <f t="shared" si="4"/>
        <v>12865965079.971006</v>
      </c>
      <c r="N8" t="s">
        <v>105</v>
      </c>
      <c r="P8">
        <f t="shared" si="10"/>
        <v>3.9685026299204993E-4</v>
      </c>
      <c r="Q8">
        <f t="shared" si="5"/>
        <v>85470.886104620949</v>
      </c>
      <c r="R8">
        <f t="shared" si="6"/>
        <v>5341.9303815388093</v>
      </c>
    </row>
    <row r="9" spans="2:20" x14ac:dyDescent="0.35">
      <c r="B9">
        <f t="shared" si="11"/>
        <v>5</v>
      </c>
      <c r="C9">
        <f t="shared" si="7"/>
        <v>0.99243809308967745</v>
      </c>
      <c r="E9">
        <f t="shared" si="8"/>
        <v>1741053.1350034412</v>
      </c>
      <c r="F9">
        <f t="shared" si="0"/>
        <v>3.173802624737183E-4</v>
      </c>
      <c r="G9">
        <f t="shared" si="1"/>
        <v>98555380758759.406</v>
      </c>
      <c r="H9">
        <f t="shared" si="9"/>
        <v>7.7787065076163082E-3</v>
      </c>
      <c r="I9">
        <f t="shared" si="2"/>
        <v>1.3347494525526927E+18</v>
      </c>
      <c r="J9">
        <f t="shared" si="3"/>
        <v>242539069449.74011</v>
      </c>
      <c r="L9">
        <f t="shared" si="4"/>
        <v>7579345920.3043785</v>
      </c>
      <c r="N9">
        <f>(E38+K38+Q38+W38+AC38+AI38+AO38+AU38+BA38+BG38+BM38+BS38+BY38+CE38+CK38+CQ38+CW38+DC38+DI38+DO38+DU38+EA38+EG38+EM38+ES38+EY38+FE38+FK38+FQ38)</f>
        <v>4.4032008105169275E+18</v>
      </c>
      <c r="O9" t="s">
        <v>80</v>
      </c>
      <c r="P9">
        <f t="shared" si="10"/>
        <v>3.1498026247371829E-4</v>
      </c>
      <c r="Q9">
        <f t="shared" si="5"/>
        <v>178306.43297797031</v>
      </c>
      <c r="R9">
        <f t="shared" si="6"/>
        <v>5572.0760305615722</v>
      </c>
    </row>
    <row r="10" spans="2:20" x14ac:dyDescent="0.35">
      <c r="B10">
        <f t="shared" si="11"/>
        <v>6</v>
      </c>
      <c r="C10">
        <f t="shared" si="7"/>
        <v>0.99088386841062226</v>
      </c>
      <c r="E10">
        <f t="shared" si="8"/>
        <v>994518.73235805205</v>
      </c>
      <c r="F10">
        <f t="shared" si="0"/>
        <v>2.5230000000000001E-4</v>
      </c>
      <c r="G10">
        <f t="shared" si="1"/>
        <v>246791954774259.78</v>
      </c>
      <c r="H10">
        <f t="shared" si="9"/>
        <v>6.4399554612487682E-3</v>
      </c>
      <c r="I10">
        <f t="shared" si="2"/>
        <v>1.5806176582411587E+18</v>
      </c>
      <c r="J10">
        <f t="shared" si="3"/>
        <v>287216102806.75787</v>
      </c>
      <c r="L10">
        <f t="shared" si="4"/>
        <v>4487751606.3555918</v>
      </c>
      <c r="P10">
        <f t="shared" si="10"/>
        <v>2.5000000000000001E-4</v>
      </c>
      <c r="Q10">
        <f t="shared" si="5"/>
        <v>371976.76881939458</v>
      </c>
      <c r="R10">
        <f t="shared" si="6"/>
        <v>5812.1370128030403</v>
      </c>
    </row>
    <row r="11" spans="2:20" x14ac:dyDescent="0.35">
      <c r="B11">
        <f t="shared" si="11"/>
        <v>7</v>
      </c>
      <c r="C11">
        <f t="shared" si="7"/>
        <v>0.98903427510005848</v>
      </c>
      <c r="E11">
        <f t="shared" si="8"/>
        <v>571921.03860446904</v>
      </c>
      <c r="F11">
        <f t="shared" si="0"/>
        <v>2.0062513149602494E-4</v>
      </c>
      <c r="G11">
        <f t="shared" si="1"/>
        <v>617246537508429.5</v>
      </c>
      <c r="H11">
        <f t="shared" si="9"/>
        <v>5.3316096065921317E-3</v>
      </c>
      <c r="I11">
        <f t="shared" si="2"/>
        <v>1.8821449940331384E+18</v>
      </c>
      <c r="J11">
        <f t="shared" si="3"/>
        <v>342007029520.96759</v>
      </c>
      <c r="L11">
        <f t="shared" si="4"/>
        <v>2671929918.1325593</v>
      </c>
      <c r="N11" t="s">
        <v>111</v>
      </c>
      <c r="P11">
        <f t="shared" si="10"/>
        <v>1.9842513149602494E-4</v>
      </c>
      <c r="Q11">
        <f t="shared" si="5"/>
        <v>776005.18517698394</v>
      </c>
      <c r="R11">
        <f t="shared" si="6"/>
        <v>6062.540509195187</v>
      </c>
    </row>
    <row r="12" spans="2:20" x14ac:dyDescent="0.35">
      <c r="B12">
        <f t="shared" si="11"/>
        <v>8</v>
      </c>
      <c r="C12">
        <f t="shared" si="7"/>
        <v>0.98684129160290468</v>
      </c>
      <c r="E12">
        <f t="shared" si="8"/>
        <v>331350.03688761289</v>
      </c>
      <c r="F12">
        <f t="shared" si="0"/>
        <v>1.5959013123685917E-4</v>
      </c>
      <c r="G12">
        <f t="shared" si="1"/>
        <v>1541614805343013</v>
      </c>
      <c r="H12">
        <f t="shared" si="9"/>
        <v>4.4140151540106171E-3</v>
      </c>
      <c r="I12">
        <f t="shared" si="2"/>
        <v>2.254741278113623E+18</v>
      </c>
      <c r="J12">
        <f t="shared" si="3"/>
        <v>409711987817.4342</v>
      </c>
      <c r="L12">
        <f t="shared" si="4"/>
        <v>1600437452.4118524</v>
      </c>
      <c r="N12">
        <f>(E38+K38+Q38+W38+AC38+AI38+AO38+AU38+BA38+BG38+BM38+BS38+BY38+CE38+CK38+CQ38+CW38+DC38+DI38+DO38+DU38+EA38+EG38+EM38+ES38+EY38+FE38+FK38)</f>
        <v>4.4032007125746437E+18</v>
      </c>
      <c r="P12">
        <f t="shared" si="10"/>
        <v>1.5749013123685917E-4</v>
      </c>
      <c r="Q12">
        <f t="shared" si="5"/>
        <v>1618875.418840853</v>
      </c>
      <c r="R12">
        <f t="shared" si="6"/>
        <v>6323.7321048470822</v>
      </c>
    </row>
    <row r="13" spans="2:20" x14ac:dyDescent="0.35">
      <c r="B13">
        <f t="shared" si="11"/>
        <v>9</v>
      </c>
      <c r="C13">
        <f t="shared" si="7"/>
        <v>0.98425196850393704</v>
      </c>
      <c r="E13">
        <f t="shared" si="8"/>
        <v>193559.18791085272</v>
      </c>
      <c r="F13">
        <f t="shared" si="0"/>
        <v>1.27E-4</v>
      </c>
      <c r="G13">
        <f t="shared" si="1"/>
        <v>3844015376046129</v>
      </c>
      <c r="H13">
        <f t="shared" si="9"/>
        <v>3.6543429128317014E-3</v>
      </c>
      <c r="I13">
        <f t="shared" si="2"/>
        <v>2.718993725323307E+18</v>
      </c>
      <c r="J13">
        <f t="shared" si="3"/>
        <v>494071907441.79248</v>
      </c>
      <c r="L13">
        <f t="shared" si="4"/>
        <v>964984194.22225094</v>
      </c>
      <c r="P13">
        <f t="shared" si="10"/>
        <v>1.25E-4</v>
      </c>
      <c r="Q13">
        <f t="shared" si="5"/>
        <v>3377242.4099581675</v>
      </c>
      <c r="R13">
        <f t="shared" si="6"/>
        <v>6596.1765819495458</v>
      </c>
    </row>
    <row r="14" spans="2:20" x14ac:dyDescent="0.35">
      <c r="B14">
        <f t="shared" si="11"/>
        <v>10</v>
      </c>
      <c r="C14">
        <f t="shared" si="7"/>
        <v>0.98120906154498055</v>
      </c>
      <c r="E14">
        <f t="shared" si="8"/>
        <v>114107.17102325373</v>
      </c>
      <c r="F14">
        <f t="shared" si="0"/>
        <v>1.0111256574801249E-4</v>
      </c>
      <c r="G14">
        <f t="shared" si="1"/>
        <v>9567081567541136</v>
      </c>
      <c r="H14">
        <f t="shared" si="9"/>
        <v>3.0254137465816153E-3</v>
      </c>
      <c r="I14">
        <f t="shared" si="2"/>
        <v>3.3027613289897405E+18</v>
      </c>
      <c r="J14">
        <f t="shared" si="3"/>
        <v>600149082523.13757</v>
      </c>
      <c r="L14">
        <f t="shared" si="4"/>
        <v>586083088.40150154</v>
      </c>
      <c r="P14">
        <f t="shared" si="10"/>
        <v>9.9212565748012482E-5</v>
      </c>
      <c r="Q14">
        <f t="shared" si="5"/>
        <v>7045487.3567644814</v>
      </c>
      <c r="R14">
        <f t="shared" si="6"/>
        <v>6880.3587468403139</v>
      </c>
    </row>
    <row r="15" spans="2:20" x14ac:dyDescent="0.35">
      <c r="B15">
        <f t="shared" si="11"/>
        <v>11</v>
      </c>
      <c r="C15">
        <f t="shared" si="7"/>
        <v>0.97765226229341917</v>
      </c>
      <c r="E15">
        <f t="shared" si="8"/>
        <v>67957.428207931764</v>
      </c>
      <c r="F15">
        <f t="shared" si="0"/>
        <v>8.054506561842959E-5</v>
      </c>
      <c r="G15">
        <f t="shared" si="1"/>
        <v>2.375987991565108E+16</v>
      </c>
      <c r="H15">
        <f t="shared" si="9"/>
        <v>2.5047261727587488E-3</v>
      </c>
      <c r="I15">
        <f t="shared" si="2"/>
        <v>4.0442819976756234E+18</v>
      </c>
      <c r="J15">
        <f t="shared" si="3"/>
        <v>734891773458.02905</v>
      </c>
      <c r="L15">
        <f t="shared" si="4"/>
        <v>358833873.75880325</v>
      </c>
      <c r="P15">
        <f t="shared" si="10"/>
        <v>7.8745065618429587E-5</v>
      </c>
      <c r="Q15">
        <f t="shared" si="5"/>
        <v>14698054.231453009</v>
      </c>
      <c r="R15">
        <f t="shared" si="6"/>
        <v>7176.7842927016645</v>
      </c>
    </row>
    <row r="16" spans="2:20" x14ac:dyDescent="0.35">
      <c r="B16">
        <f t="shared" si="11"/>
        <v>12</v>
      </c>
      <c r="C16">
        <f t="shared" si="7"/>
        <v>0.97352024922118374</v>
      </c>
      <c r="E16">
        <f t="shared" si="8"/>
        <v>40935.752617648694</v>
      </c>
      <c r="F16">
        <f t="shared" si="0"/>
        <v>6.4200000000000002E-5</v>
      </c>
      <c r="G16">
        <f t="shared" si="1"/>
        <v>5.8865371299963368E+16</v>
      </c>
      <c r="H16">
        <f t="shared" si="9"/>
        <v>2.0736513171433924E-3</v>
      </c>
      <c r="I16">
        <f t="shared" si="2"/>
        <v>4.9968740066026097E+18</v>
      </c>
      <c r="J16">
        <f t="shared" si="3"/>
        <v>907988513800.23108</v>
      </c>
      <c r="L16">
        <f t="shared" si="4"/>
        <v>221676883.25200954</v>
      </c>
      <c r="P16">
        <f t="shared" si="10"/>
        <v>6.2500000000000001E-5</v>
      </c>
      <c r="Q16">
        <f t="shared" si="5"/>
        <v>30662576.944846481</v>
      </c>
      <c r="R16">
        <f t="shared" si="6"/>
        <v>7485.9806994254104</v>
      </c>
    </row>
    <row r="17" spans="2:129" x14ac:dyDescent="0.35">
      <c r="B17">
        <f t="shared" si="11"/>
        <v>13</v>
      </c>
      <c r="C17">
        <f t="shared" si="7"/>
        <v>0.96875383429145168</v>
      </c>
      <c r="E17">
        <f t="shared" si="8"/>
        <v>24974.819223214523</v>
      </c>
      <c r="F17">
        <f t="shared" si="0"/>
        <v>5.1206282874006253E-5</v>
      </c>
      <c r="G17">
        <f t="shared" si="1"/>
        <v>1.4544774618328691E+17</v>
      </c>
      <c r="H17">
        <f t="shared" si="9"/>
        <v>1.7167664201609698E-3</v>
      </c>
      <c r="I17">
        <f t="shared" si="2"/>
        <v>6.2362075282973225E+18</v>
      </c>
      <c r="J17">
        <f t="shared" si="3"/>
        <v>1133189429608.6895</v>
      </c>
      <c r="L17">
        <f t="shared" si="4"/>
        <v>138328787.79402947</v>
      </c>
      <c r="P17">
        <f t="shared" si="10"/>
        <v>4.9606282874006255E-5</v>
      </c>
      <c r="Q17">
        <f t="shared" si="5"/>
        <v>63967217.027044743</v>
      </c>
      <c r="R17">
        <f t="shared" si="6"/>
        <v>7808.4981722466728</v>
      </c>
    </row>
    <row r="18" spans="2:129" x14ac:dyDescent="0.35">
      <c r="B18">
        <f t="shared" si="11"/>
        <v>14</v>
      </c>
      <c r="C18">
        <f t="shared" si="7"/>
        <v>0.9633005371357406</v>
      </c>
      <c r="E18">
        <f t="shared" si="8"/>
        <v>15456.644964889425</v>
      </c>
      <c r="F18">
        <f t="shared" si="0"/>
        <v>4.0872532809214776E-5</v>
      </c>
      <c r="G18">
        <f t="shared" si="1"/>
        <v>3.5832226569851488E+17</v>
      </c>
      <c r="H18">
        <f t="shared" si="9"/>
        <v>1.4213030498552747E-3</v>
      </c>
      <c r="I18">
        <f t="shared" si="2"/>
        <v>7.8718301519204147E+18</v>
      </c>
      <c r="J18">
        <f t="shared" si="3"/>
        <v>1430400556645.1523</v>
      </c>
      <c r="L18">
        <f t="shared" si="4"/>
        <v>87304721.474923849</v>
      </c>
      <c r="P18">
        <f t="shared" si="10"/>
        <v>3.9372532809214773E-5</v>
      </c>
      <c r="Q18">
        <f t="shared" si="5"/>
        <v>133446215.61146316</v>
      </c>
      <c r="R18">
        <f t="shared" si="6"/>
        <v>8144.9106208168432</v>
      </c>
    </row>
    <row r="19" spans="2:129" x14ac:dyDescent="0.35">
      <c r="B19">
        <f t="shared" si="11"/>
        <v>15</v>
      </c>
      <c r="C19">
        <f t="shared" si="7"/>
        <v>0.95712098009188362</v>
      </c>
      <c r="E19">
        <f t="shared" si="8"/>
        <v>9721.3176722035259</v>
      </c>
      <c r="F19">
        <f t="shared" si="0"/>
        <v>3.2650000000000001E-5</v>
      </c>
      <c r="G19">
        <f t="shared" si="1"/>
        <v>8.7996876634856858E+17</v>
      </c>
      <c r="H19">
        <f t="shared" si="9"/>
        <v>1.1766902799383119E-3</v>
      </c>
      <c r="I19">
        <f t="shared" si="2"/>
        <v>1.0065945130391036E+19</v>
      </c>
      <c r="J19">
        <f t="shared" si="3"/>
        <v>1829096060229.1797</v>
      </c>
      <c r="L19">
        <f t="shared" si="4"/>
        <v>55819581.916173697</v>
      </c>
      <c r="P19">
        <f t="shared" si="10"/>
        <v>3.1250000000000001E-5</v>
      </c>
      <c r="Q19">
        <f t="shared" si="5"/>
        <v>278390920.98522937</v>
      </c>
      <c r="R19">
        <f t="shared" si="6"/>
        <v>8495.8166804574394</v>
      </c>
    </row>
    <row r="20" spans="2:129" x14ac:dyDescent="0.35">
      <c r="B20">
        <f t="shared" si="11"/>
        <v>16</v>
      </c>
      <c r="C20">
        <f t="shared" si="7"/>
        <v>0.95019756518052056</v>
      </c>
      <c r="E20">
        <f t="shared" si="8"/>
        <v>6226.4719271026661</v>
      </c>
      <c r="F20">
        <f t="shared" si="0"/>
        <v>2.6103141437003125E-5</v>
      </c>
      <c r="G20">
        <f t="shared" si="1"/>
        <v>2.1539166517274127E+18</v>
      </c>
      <c r="H20">
        <f t="shared" si="9"/>
        <v>9.741764889917684E-4</v>
      </c>
      <c r="I20">
        <f t="shared" si="2"/>
        <v>1.3064974671693474E+19</v>
      </c>
      <c r="J20">
        <f t="shared" si="3"/>
        <v>2374053642199.8369</v>
      </c>
      <c r="L20">
        <f t="shared" si="4"/>
        <v>36225183.74938716</v>
      </c>
      <c r="P20">
        <f t="shared" si="10"/>
        <v>2.4803141437003124E-5</v>
      </c>
      <c r="Q20">
        <f t="shared" si="5"/>
        <v>580769597.18853831</v>
      </c>
      <c r="R20">
        <f t="shared" si="6"/>
        <v>8861.8407774129992</v>
      </c>
    </row>
    <row r="21" spans="2:129" x14ac:dyDescent="0.35">
      <c r="B21">
        <f t="shared" si="11"/>
        <v>17</v>
      </c>
      <c r="C21">
        <f t="shared" si="7"/>
        <v>0.9425459784552358</v>
      </c>
      <c r="E21">
        <f t="shared" si="8"/>
        <v>4071.3019668124812</v>
      </c>
      <c r="F21">
        <f t="shared" si="0"/>
        <v>2.0886266404607392E-5</v>
      </c>
      <c r="G21">
        <f t="shared" si="1"/>
        <v>5.2548067300512502E+18</v>
      </c>
      <c r="H21">
        <f t="shared" si="9"/>
        <v>8.065162497595214E-4</v>
      </c>
      <c r="I21">
        <f t="shared" si="2"/>
        <v>1.7254532008372066E+19</v>
      </c>
      <c r="J21">
        <f t="shared" si="3"/>
        <v>3135343587590.7256</v>
      </c>
      <c r="L21">
        <f t="shared" si="4"/>
        <v>23920773.220754437</v>
      </c>
      <c r="P21">
        <f t="shared" si="10"/>
        <v>1.9686266404607393E-5</v>
      </c>
      <c r="Q21">
        <f t="shared" si="5"/>
        <v>1211581627.1049783</v>
      </c>
      <c r="R21">
        <f t="shared" si="6"/>
        <v>9243.6342399976984</v>
      </c>
    </row>
    <row r="22" spans="2:129" x14ac:dyDescent="0.35">
      <c r="B22">
        <f>B21+1</f>
        <v>18</v>
      </c>
      <c r="C22">
        <f t="shared" si="7"/>
        <v>0.93423019431988041</v>
      </c>
      <c r="E22">
        <f t="shared" si="8"/>
        <v>2725.6490095471609</v>
      </c>
      <c r="F22">
        <f t="shared" si="0"/>
        <v>1.6725E-5</v>
      </c>
      <c r="G22">
        <f t="shared" si="1"/>
        <v>1.278013655448916E+19</v>
      </c>
      <c r="H22">
        <f t="shared" si="9"/>
        <v>6.6771110622816426E-4</v>
      </c>
      <c r="I22">
        <f t="shared" si="2"/>
        <v>2.3259159876041761E+19</v>
      </c>
      <c r="J22">
        <f t="shared" si="3"/>
        <v>4226452374060.9648</v>
      </c>
      <c r="L22">
        <f t="shared" si="4"/>
        <v>16122636.314624652</v>
      </c>
      <c r="P22">
        <f t="shared" si="10"/>
        <v>1.5625E-5</v>
      </c>
      <c r="Q22">
        <f t="shared" si="5"/>
        <v>2527560062.1046343</v>
      </c>
      <c r="R22">
        <f t="shared" si="6"/>
        <v>9641.8764576135036</v>
      </c>
    </row>
    <row r="23" spans="2:129" x14ac:dyDescent="0.35">
      <c r="B23">
        <f t="shared" si="11"/>
        <v>19</v>
      </c>
      <c r="C23">
        <f t="shared" si="7"/>
        <v>0.92538188090001661</v>
      </c>
      <c r="E23">
        <f>(1/((1-(C23^4))-(((1-(C23^2))^2)/(LN(1/C23)))))</f>
        <v>1874.9857349113151</v>
      </c>
      <c r="F23">
        <f t="shared" si="0"/>
        <v>1.3401570718501568E-5</v>
      </c>
      <c r="G23">
        <f t="shared" si="1"/>
        <v>3.1001106159721226E+19</v>
      </c>
      <c r="H23">
        <f t="shared" si="9"/>
        <v>5.5279496416020643E-4</v>
      </c>
      <c r="I23">
        <f t="shared" si="2"/>
        <v>3.2132109351450821E+19</v>
      </c>
      <c r="J23">
        <f t="shared" si="3"/>
        <v>5838767632871.9189</v>
      </c>
      <c r="L23">
        <f t="shared" si="4"/>
        <v>11136565.461868132</v>
      </c>
      <c r="P23">
        <f t="shared" si="10"/>
        <v>1.2401570718501567E-5</v>
      </c>
      <c r="Q23">
        <f t="shared" si="5"/>
        <v>5272909166.5177784</v>
      </c>
      <c r="R23">
        <f t="shared" si="6"/>
        <v>10057.276089702184</v>
      </c>
    </row>
    <row r="24" spans="2:129" x14ac:dyDescent="0.35">
      <c r="B24">
        <f t="shared" si="11"/>
        <v>20</v>
      </c>
      <c r="C24">
        <f t="shared" si="7"/>
        <v>0.91622555700910335</v>
      </c>
      <c r="E24">
        <f t="shared" ref="E24:E25" si="12">(1/((1-(C24^4))-(((1-(C24^2))^2)/(LN(1/C24)))))</f>
        <v>1331.2345922525478</v>
      </c>
      <c r="F24">
        <f t="shared" si="0"/>
        <v>1.0743133202303697E-5</v>
      </c>
      <c r="G24">
        <f t="shared" si="1"/>
        <v>7.5071683989599683E+19</v>
      </c>
      <c r="H24">
        <f t="shared" si="9"/>
        <v>4.5765641690025013E-4</v>
      </c>
      <c r="I24">
        <f t="shared" si="2"/>
        <v>4.573727734693136E+19</v>
      </c>
      <c r="J24">
        <f t="shared" si="3"/>
        <v>8310980510742.3203</v>
      </c>
      <c r="L24">
        <f t="shared" si="4"/>
        <v>7925968.6572478488</v>
      </c>
      <c r="P24">
        <f t="shared" si="10"/>
        <v>9.8431332023036967E-6</v>
      </c>
      <c r="Q24">
        <f t="shared" si="5"/>
        <v>11000162368.128273</v>
      </c>
      <c r="R24">
        <f t="shared" si="6"/>
        <v>10490.572326782487</v>
      </c>
    </row>
    <row r="25" spans="2:129" x14ac:dyDescent="0.35">
      <c r="B25">
        <f t="shared" si="11"/>
        <v>21</v>
      </c>
      <c r="C25">
        <f t="shared" si="7"/>
        <v>0.90711175616836004</v>
      </c>
      <c r="E25">
        <f t="shared" si="12"/>
        <v>981.21480953138632</v>
      </c>
      <c r="F25">
        <f t="shared" si="0"/>
        <v>8.6124999999999993E-6</v>
      </c>
      <c r="G25">
        <f t="shared" si="1"/>
        <v>1.8175361616878587E+20</v>
      </c>
      <c r="H25">
        <f t="shared" si="9"/>
        <v>3.7889164972435398E-4</v>
      </c>
      <c r="I25">
        <f t="shared" si="2"/>
        <v>6.7571286694360236E+19</v>
      </c>
      <c r="J25">
        <f t="shared" si="3"/>
        <v>12278466917539.156</v>
      </c>
      <c r="L25">
        <f t="shared" si="4"/>
        <v>5854829.2720504552</v>
      </c>
      <c r="P25">
        <f t="shared" si="10"/>
        <v>7.8125000000000002E-6</v>
      </c>
      <c r="Q25">
        <f t="shared" si="5"/>
        <v>22948161689.099567</v>
      </c>
      <c r="R25">
        <f t="shared" si="6"/>
        <v>10942.536205816063</v>
      </c>
    </row>
    <row r="26" spans="2:129" x14ac:dyDescent="0.35">
      <c r="B26">
        <v>22</v>
      </c>
      <c r="C26">
        <f t="shared" si="7"/>
        <v>0.89856227029846369</v>
      </c>
      <c r="H26">
        <f t="shared" si="9"/>
        <v>3.1368266002513445E-4</v>
      </c>
    </row>
    <row r="27" spans="2:129" x14ac:dyDescent="0.35">
      <c r="B27">
        <v>23</v>
      </c>
      <c r="C27">
        <f t="shared" si="7"/>
        <v>0.89133518739503481</v>
      </c>
      <c r="H27">
        <f t="shared" si="9"/>
        <v>2.5969643636123546E-4</v>
      </c>
    </row>
    <row r="28" spans="2:129" x14ac:dyDescent="0.35">
      <c r="B28" s="44">
        <v>24</v>
      </c>
      <c r="C28">
        <f t="shared" si="7"/>
        <v>0.88652482269503541</v>
      </c>
      <c r="H28">
        <f t="shared" si="9"/>
        <v>2.1500148925452628E-4</v>
      </c>
      <c r="I28" s="44"/>
      <c r="N28" s="44"/>
      <c r="O28" s="44"/>
      <c r="T28" s="44"/>
      <c r="U28" s="44"/>
      <c r="Z28" s="44"/>
      <c r="AA28" s="44"/>
      <c r="AF28" s="44"/>
      <c r="AG28" s="44"/>
      <c r="AL28" s="44"/>
      <c r="AM28" s="44"/>
      <c r="AR28" s="44"/>
      <c r="AS28" s="44"/>
      <c r="AX28" s="44"/>
      <c r="AY28" s="44"/>
      <c r="BD28" s="44"/>
      <c r="BE28" s="44"/>
      <c r="BJ28" s="44"/>
      <c r="BK28" s="44"/>
      <c r="BP28" s="44"/>
      <c r="BQ28" s="44"/>
      <c r="BV28" s="44"/>
      <c r="BW28" s="44"/>
      <c r="CB28" s="44"/>
      <c r="CC28" s="44"/>
      <c r="CH28" s="44"/>
      <c r="CI28" s="44"/>
      <c r="CN28" s="44"/>
      <c r="CO28" s="44"/>
      <c r="CT28" s="44"/>
      <c r="CU28" s="44"/>
      <c r="CZ28" s="44"/>
      <c r="DA28" s="44"/>
      <c r="DF28" s="44"/>
      <c r="DG28" s="44"/>
      <c r="DL28" s="44"/>
      <c r="DM28" s="44"/>
      <c r="DR28" s="44"/>
      <c r="DS28" s="44"/>
      <c r="DX28" s="44"/>
      <c r="DY28" s="44"/>
    </row>
    <row r="29" spans="2:129" x14ac:dyDescent="0.35">
      <c r="B29" s="44">
        <v>25</v>
      </c>
      <c r="C29">
        <f t="shared" si="7"/>
        <v>0.88572710646772124</v>
      </c>
      <c r="H29">
        <f t="shared" si="9"/>
        <v>1.7799874741971706E-4</v>
      </c>
      <c r="I29" s="44"/>
      <c r="N29" s="44"/>
      <c r="O29" s="44"/>
      <c r="T29" s="44"/>
      <c r="U29" s="44"/>
      <c r="Z29" s="44"/>
      <c r="AA29" s="44"/>
      <c r="AF29" s="44"/>
      <c r="AG29" s="44"/>
      <c r="AL29" s="44"/>
      <c r="AM29" s="44"/>
      <c r="AR29" s="44"/>
      <c r="AS29" s="44"/>
      <c r="AX29" s="44"/>
      <c r="AY29" s="44"/>
      <c r="BD29" s="44"/>
      <c r="BE29" s="44"/>
      <c r="BJ29" s="44"/>
      <c r="BK29" s="44"/>
      <c r="BP29" s="44"/>
      <c r="BQ29" s="44"/>
      <c r="BV29" s="44"/>
      <c r="BW29" s="44"/>
      <c r="CB29" s="44"/>
      <c r="CC29" s="44"/>
      <c r="CH29" s="44"/>
      <c r="CI29" s="44"/>
      <c r="CN29" s="44"/>
      <c r="CO29" s="44"/>
      <c r="CT29" s="44"/>
      <c r="CU29" s="44"/>
      <c r="CZ29" s="44"/>
      <c r="DA29" s="44"/>
      <c r="DF29" s="44"/>
      <c r="DG29" s="44"/>
      <c r="DL29" s="44"/>
      <c r="DM29" s="44"/>
      <c r="DR29" s="44"/>
      <c r="DS29" s="44"/>
      <c r="DX29" s="44"/>
      <c r="DY29" s="44"/>
    </row>
    <row r="30" spans="2:129" x14ac:dyDescent="0.35">
      <c r="B30" s="44">
        <v>26</v>
      </c>
      <c r="C30">
        <f t="shared" si="7"/>
        <v>0.89133518739503492</v>
      </c>
      <c r="H30">
        <f t="shared" si="9"/>
        <v>1.4736434706961557E-4</v>
      </c>
    </row>
    <row r="31" spans="2:129" x14ac:dyDescent="0.35">
      <c r="B31" s="44">
        <v>27</v>
      </c>
      <c r="C31">
        <f t="shared" si="7"/>
        <v>0.90711175616836004</v>
      </c>
      <c r="H31">
        <f t="shared" si="9"/>
        <v>1.2200226744319544E-4</v>
      </c>
    </row>
    <row r="32" spans="2:129" x14ac:dyDescent="0.35">
      <c r="B32" s="44">
        <v>28</v>
      </c>
      <c r="C32">
        <f t="shared" si="7"/>
        <v>0.93940115028291082</v>
      </c>
      <c r="H32">
        <f t="shared" si="9"/>
        <v>1.0100511797639531E-4</v>
      </c>
    </row>
    <row r="35" spans="1:173" x14ac:dyDescent="0.35">
      <c r="B35" s="44" t="s">
        <v>25</v>
      </c>
      <c r="C35" s="44">
        <v>0</v>
      </c>
      <c r="H35" s="44" t="s">
        <v>25</v>
      </c>
      <c r="I35" s="44">
        <v>1</v>
      </c>
      <c r="N35" s="44" t="s">
        <v>25</v>
      </c>
      <c r="O35" s="44">
        <v>2</v>
      </c>
      <c r="T35" s="44" t="s">
        <v>25</v>
      </c>
      <c r="U35" s="44">
        <v>3</v>
      </c>
      <c r="Z35" s="44" t="s">
        <v>25</v>
      </c>
      <c r="AA35" s="44">
        <v>4</v>
      </c>
      <c r="AF35" s="44" t="s">
        <v>25</v>
      </c>
      <c r="AG35" s="44">
        <v>5</v>
      </c>
      <c r="AL35" s="44" t="s">
        <v>25</v>
      </c>
      <c r="AM35" s="44">
        <v>6</v>
      </c>
      <c r="AR35" s="44" t="s">
        <v>25</v>
      </c>
      <c r="AS35" s="44">
        <v>7</v>
      </c>
      <c r="AX35" s="44" t="s">
        <v>25</v>
      </c>
      <c r="AY35" s="44">
        <v>8</v>
      </c>
      <c r="BD35" s="44" t="s">
        <v>25</v>
      </c>
      <c r="BE35" s="44">
        <v>9</v>
      </c>
      <c r="BJ35" s="44" t="s">
        <v>25</v>
      </c>
      <c r="BK35" s="44">
        <v>10</v>
      </c>
      <c r="BP35" s="44" t="s">
        <v>25</v>
      </c>
      <c r="BQ35" s="44">
        <v>11</v>
      </c>
      <c r="BV35" s="44" t="s">
        <v>25</v>
      </c>
      <c r="BW35" s="44">
        <v>12</v>
      </c>
      <c r="CB35" s="44" t="s">
        <v>25</v>
      </c>
      <c r="CC35" s="44">
        <v>13</v>
      </c>
      <c r="CH35" s="44" t="s">
        <v>25</v>
      </c>
      <c r="CI35" s="44">
        <v>14</v>
      </c>
      <c r="CN35" s="44" t="s">
        <v>25</v>
      </c>
      <c r="CO35" s="44">
        <v>15</v>
      </c>
      <c r="CT35" s="44" t="s">
        <v>25</v>
      </c>
      <c r="CU35" s="44">
        <v>16</v>
      </c>
      <c r="CZ35" s="44" t="s">
        <v>25</v>
      </c>
      <c r="DA35" s="44">
        <v>17</v>
      </c>
      <c r="DF35" s="44" t="s">
        <v>25</v>
      </c>
      <c r="DG35" s="44">
        <v>18</v>
      </c>
      <c r="DL35" s="44" t="s">
        <v>25</v>
      </c>
      <c r="DM35" s="44">
        <v>19</v>
      </c>
      <c r="DR35" s="44" t="s">
        <v>25</v>
      </c>
      <c r="DS35" s="44">
        <v>20</v>
      </c>
      <c r="DX35" s="44" t="s">
        <v>25</v>
      </c>
      <c r="DY35" s="44">
        <v>21</v>
      </c>
      <c r="ED35" s="44" t="s">
        <v>25</v>
      </c>
      <c r="EE35" s="44">
        <v>22</v>
      </c>
      <c r="EJ35" s="44" t="s">
        <v>25</v>
      </c>
      <c r="EK35" s="44">
        <v>23</v>
      </c>
      <c r="EP35" s="44" t="s">
        <v>25</v>
      </c>
      <c r="EQ35" s="44">
        <v>24</v>
      </c>
      <c r="EV35" s="44" t="s">
        <v>25</v>
      </c>
      <c r="EW35" s="44">
        <v>25</v>
      </c>
      <c r="FB35" s="44" t="s">
        <v>25</v>
      </c>
      <c r="FC35" s="44">
        <v>26</v>
      </c>
      <c r="FH35" s="44" t="s">
        <v>25</v>
      </c>
      <c r="FI35" s="44">
        <v>27</v>
      </c>
      <c r="FN35" s="44" t="s">
        <v>25</v>
      </c>
      <c r="FO35" s="44">
        <v>28</v>
      </c>
    </row>
    <row r="36" spans="1:173" x14ac:dyDescent="0.35">
      <c r="B36" s="44" t="s">
        <v>26</v>
      </c>
      <c r="C36" s="44">
        <v>29</v>
      </c>
      <c r="H36" s="44" t="s">
        <v>26</v>
      </c>
      <c r="I36" s="44">
        <v>28</v>
      </c>
      <c r="N36" s="44" t="s">
        <v>26</v>
      </c>
      <c r="O36" s="44">
        <v>27</v>
      </c>
      <c r="T36" s="44" t="s">
        <v>26</v>
      </c>
      <c r="U36" s="44">
        <v>26</v>
      </c>
      <c r="Z36" s="44" t="s">
        <v>26</v>
      </c>
      <c r="AA36" s="44">
        <v>25</v>
      </c>
      <c r="AF36" s="44" t="s">
        <v>26</v>
      </c>
      <c r="AG36" s="44">
        <v>24</v>
      </c>
      <c r="AL36" s="44" t="s">
        <v>26</v>
      </c>
      <c r="AM36" s="44">
        <v>23</v>
      </c>
      <c r="AR36" s="44" t="s">
        <v>26</v>
      </c>
      <c r="AS36" s="44">
        <v>22</v>
      </c>
      <c r="AX36" s="44" t="s">
        <v>26</v>
      </c>
      <c r="AY36" s="44">
        <v>21</v>
      </c>
      <c r="BD36" s="44" t="s">
        <v>26</v>
      </c>
      <c r="BE36" s="44">
        <v>20</v>
      </c>
      <c r="BJ36" s="44" t="s">
        <v>26</v>
      </c>
      <c r="BK36" s="44">
        <v>19</v>
      </c>
      <c r="BP36" s="44" t="s">
        <v>26</v>
      </c>
      <c r="BQ36" s="44">
        <v>18</v>
      </c>
      <c r="BV36" s="44" t="s">
        <v>26</v>
      </c>
      <c r="BW36" s="44">
        <v>17</v>
      </c>
      <c r="CB36" s="44" t="s">
        <v>26</v>
      </c>
      <c r="CC36" s="44">
        <v>16</v>
      </c>
      <c r="CH36" s="44" t="s">
        <v>26</v>
      </c>
      <c r="CI36" s="44">
        <v>15</v>
      </c>
      <c r="CN36" s="44" t="s">
        <v>26</v>
      </c>
      <c r="CO36" s="44">
        <v>14</v>
      </c>
      <c r="CT36" s="44" t="s">
        <v>26</v>
      </c>
      <c r="CU36" s="44">
        <v>13</v>
      </c>
      <c r="CZ36" s="44" t="s">
        <v>26</v>
      </c>
      <c r="DA36" s="44">
        <v>12</v>
      </c>
      <c r="DF36" s="44" t="s">
        <v>26</v>
      </c>
      <c r="DG36" s="44">
        <v>11</v>
      </c>
      <c r="DL36" s="44" t="s">
        <v>26</v>
      </c>
      <c r="DM36" s="44">
        <v>10</v>
      </c>
      <c r="DR36" s="44" t="s">
        <v>26</v>
      </c>
      <c r="DS36" s="44">
        <v>9</v>
      </c>
      <c r="DX36" s="44" t="s">
        <v>26</v>
      </c>
      <c r="DY36" s="44">
        <v>8</v>
      </c>
      <c r="ED36" s="44" t="s">
        <v>26</v>
      </c>
      <c r="EE36" s="44">
        <v>7</v>
      </c>
      <c r="EJ36" s="44" t="s">
        <v>26</v>
      </c>
      <c r="EK36" s="44">
        <v>6</v>
      </c>
      <c r="EP36" s="44" t="s">
        <v>26</v>
      </c>
      <c r="EQ36" s="44">
        <v>5</v>
      </c>
      <c r="EV36" s="44" t="s">
        <v>26</v>
      </c>
      <c r="EW36" s="44">
        <v>4</v>
      </c>
      <c r="FB36" s="44" t="s">
        <v>26</v>
      </c>
      <c r="FC36" s="44">
        <v>3</v>
      </c>
      <c r="FH36" s="44" t="s">
        <v>26</v>
      </c>
      <c r="FI36" s="44">
        <v>2</v>
      </c>
      <c r="FN36" s="44" t="s">
        <v>26</v>
      </c>
      <c r="FO36" s="44">
        <v>1</v>
      </c>
    </row>
    <row r="37" spans="1:173" x14ac:dyDescent="0.35">
      <c r="A37" t="s">
        <v>100</v>
      </c>
      <c r="B37" t="s">
        <v>101</v>
      </c>
      <c r="C37" t="s">
        <v>30</v>
      </c>
      <c r="D37" t="s">
        <v>103</v>
      </c>
      <c r="E37" t="s">
        <v>104</v>
      </c>
      <c r="G37" t="s">
        <v>100</v>
      </c>
      <c r="H37" t="s">
        <v>101</v>
      </c>
      <c r="I37" t="s">
        <v>30</v>
      </c>
      <c r="J37" t="s">
        <v>103</v>
      </c>
      <c r="K37" t="s">
        <v>104</v>
      </c>
      <c r="M37" t="s">
        <v>100</v>
      </c>
      <c r="N37" t="s">
        <v>101</v>
      </c>
      <c r="O37" t="s">
        <v>30</v>
      </c>
      <c r="P37" t="s">
        <v>103</v>
      </c>
      <c r="Q37" t="s">
        <v>104</v>
      </c>
      <c r="S37" t="s">
        <v>100</v>
      </c>
      <c r="T37" t="s">
        <v>101</v>
      </c>
      <c r="U37" t="s">
        <v>30</v>
      </c>
      <c r="V37" t="s">
        <v>103</v>
      </c>
      <c r="W37" t="s">
        <v>104</v>
      </c>
      <c r="Y37" t="s">
        <v>100</v>
      </c>
      <c r="Z37" t="s">
        <v>101</v>
      </c>
      <c r="AA37" t="s">
        <v>30</v>
      </c>
      <c r="AB37" t="s">
        <v>103</v>
      </c>
      <c r="AC37" t="s">
        <v>104</v>
      </c>
      <c r="AE37" t="s">
        <v>100</v>
      </c>
      <c r="AF37" t="s">
        <v>101</v>
      </c>
      <c r="AG37" t="s">
        <v>30</v>
      </c>
      <c r="AH37" t="s">
        <v>103</v>
      </c>
      <c r="AI37" t="s">
        <v>104</v>
      </c>
      <c r="AK37" t="s">
        <v>100</v>
      </c>
      <c r="AL37" t="s">
        <v>101</v>
      </c>
      <c r="AM37" t="s">
        <v>30</v>
      </c>
      <c r="AN37" t="s">
        <v>103</v>
      </c>
      <c r="AO37" t="s">
        <v>104</v>
      </c>
      <c r="AQ37" t="s">
        <v>100</v>
      </c>
      <c r="AR37" t="s">
        <v>101</v>
      </c>
      <c r="AS37" t="s">
        <v>30</v>
      </c>
      <c r="AT37" t="s">
        <v>103</v>
      </c>
      <c r="AU37" t="s">
        <v>104</v>
      </c>
      <c r="AW37" t="s">
        <v>100</v>
      </c>
      <c r="AX37" t="s">
        <v>101</v>
      </c>
      <c r="AY37" t="s">
        <v>30</v>
      </c>
      <c r="AZ37" t="s">
        <v>103</v>
      </c>
      <c r="BA37" t="s">
        <v>104</v>
      </c>
      <c r="BC37" t="s">
        <v>100</v>
      </c>
      <c r="BD37" t="s">
        <v>101</v>
      </c>
      <c r="BE37" t="s">
        <v>30</v>
      </c>
      <c r="BF37" t="s">
        <v>103</v>
      </c>
      <c r="BG37" t="s">
        <v>104</v>
      </c>
      <c r="BI37" t="s">
        <v>100</v>
      </c>
      <c r="BJ37" t="s">
        <v>101</v>
      </c>
      <c r="BK37" t="s">
        <v>30</v>
      </c>
      <c r="BL37" t="s">
        <v>103</v>
      </c>
      <c r="BM37" t="s">
        <v>104</v>
      </c>
      <c r="BO37" t="s">
        <v>100</v>
      </c>
      <c r="BP37" t="s">
        <v>101</v>
      </c>
      <c r="BQ37" t="s">
        <v>30</v>
      </c>
      <c r="BR37" t="s">
        <v>103</v>
      </c>
      <c r="BS37" t="s">
        <v>104</v>
      </c>
      <c r="BU37" t="s">
        <v>100</v>
      </c>
      <c r="BV37" t="s">
        <v>101</v>
      </c>
      <c r="BW37" t="s">
        <v>30</v>
      </c>
      <c r="BX37" t="s">
        <v>103</v>
      </c>
      <c r="BY37" t="s">
        <v>104</v>
      </c>
      <c r="CA37" t="s">
        <v>100</v>
      </c>
      <c r="CB37" t="s">
        <v>101</v>
      </c>
      <c r="CC37" t="s">
        <v>30</v>
      </c>
      <c r="CD37" t="s">
        <v>103</v>
      </c>
      <c r="CE37" t="s">
        <v>104</v>
      </c>
      <c r="CG37" t="s">
        <v>100</v>
      </c>
      <c r="CH37" t="s">
        <v>101</v>
      </c>
      <c r="CI37" t="s">
        <v>30</v>
      </c>
      <c r="CJ37" t="s">
        <v>103</v>
      </c>
      <c r="CK37" t="s">
        <v>104</v>
      </c>
      <c r="CM37" t="s">
        <v>100</v>
      </c>
      <c r="CN37" t="s">
        <v>101</v>
      </c>
      <c r="CO37" t="s">
        <v>30</v>
      </c>
      <c r="CP37" t="s">
        <v>103</v>
      </c>
      <c r="CQ37" t="s">
        <v>104</v>
      </c>
      <c r="CS37" t="s">
        <v>100</v>
      </c>
      <c r="CT37" t="s">
        <v>101</v>
      </c>
      <c r="CU37" t="s">
        <v>30</v>
      </c>
      <c r="CV37" t="s">
        <v>103</v>
      </c>
      <c r="CW37" t="s">
        <v>104</v>
      </c>
      <c r="CY37" t="s">
        <v>100</v>
      </c>
      <c r="CZ37" t="s">
        <v>101</v>
      </c>
      <c r="DA37" t="s">
        <v>30</v>
      </c>
      <c r="DB37" t="s">
        <v>103</v>
      </c>
      <c r="DC37" t="s">
        <v>104</v>
      </c>
      <c r="DE37" t="s">
        <v>100</v>
      </c>
      <c r="DF37" t="s">
        <v>101</v>
      </c>
      <c r="DG37" t="s">
        <v>30</v>
      </c>
      <c r="DH37" t="s">
        <v>103</v>
      </c>
      <c r="DI37" t="s">
        <v>104</v>
      </c>
      <c r="DK37" t="s">
        <v>100</v>
      </c>
      <c r="DL37" t="s">
        <v>101</v>
      </c>
      <c r="DM37" t="s">
        <v>30</v>
      </c>
      <c r="DN37" t="s">
        <v>103</v>
      </c>
      <c r="DO37" t="s">
        <v>104</v>
      </c>
      <c r="DQ37" t="s">
        <v>100</v>
      </c>
      <c r="DR37" t="s">
        <v>101</v>
      </c>
      <c r="DS37" t="s">
        <v>30</v>
      </c>
      <c r="DT37" t="s">
        <v>103</v>
      </c>
      <c r="DU37" t="s">
        <v>104</v>
      </c>
      <c r="DW37" t="s">
        <v>100</v>
      </c>
      <c r="DX37" t="s">
        <v>101</v>
      </c>
      <c r="DY37" t="s">
        <v>30</v>
      </c>
      <c r="DZ37" t="s">
        <v>103</v>
      </c>
      <c r="EA37" t="s">
        <v>104</v>
      </c>
      <c r="EC37" t="s">
        <v>100</v>
      </c>
      <c r="ED37" t="s">
        <v>101</v>
      </c>
      <c r="EE37" t="s">
        <v>30</v>
      </c>
      <c r="EF37" t="s">
        <v>103</v>
      </c>
      <c r="EG37" t="s">
        <v>104</v>
      </c>
      <c r="EI37" t="s">
        <v>100</v>
      </c>
      <c r="EJ37" t="s">
        <v>101</v>
      </c>
      <c r="EK37" t="s">
        <v>30</v>
      </c>
      <c r="EL37" t="s">
        <v>103</v>
      </c>
      <c r="EM37" t="s">
        <v>104</v>
      </c>
      <c r="EO37" t="s">
        <v>100</v>
      </c>
      <c r="EP37" t="s">
        <v>101</v>
      </c>
      <c r="EQ37" t="s">
        <v>30</v>
      </c>
      <c r="ER37" t="s">
        <v>103</v>
      </c>
      <c r="ES37" t="s">
        <v>104</v>
      </c>
      <c r="EU37" t="s">
        <v>100</v>
      </c>
      <c r="EV37" t="s">
        <v>101</v>
      </c>
      <c r="EW37" t="s">
        <v>30</v>
      </c>
      <c r="EX37" t="s">
        <v>103</v>
      </c>
      <c r="EY37" t="s">
        <v>104</v>
      </c>
      <c r="FA37" t="s">
        <v>100</v>
      </c>
      <c r="FB37" t="s">
        <v>101</v>
      </c>
      <c r="FC37" t="s">
        <v>30</v>
      </c>
      <c r="FD37" t="s">
        <v>103</v>
      </c>
      <c r="FE37" t="s">
        <v>104</v>
      </c>
      <c r="FG37" t="s">
        <v>100</v>
      </c>
      <c r="FH37" t="s">
        <v>101</v>
      </c>
      <c r="FI37" t="s">
        <v>30</v>
      </c>
      <c r="FJ37" t="s">
        <v>103</v>
      </c>
      <c r="FK37" t="s">
        <v>104</v>
      </c>
      <c r="FM37" t="s">
        <v>100</v>
      </c>
      <c r="FN37" t="s">
        <v>101</v>
      </c>
      <c r="FO37" t="s">
        <v>30</v>
      </c>
      <c r="FP37" t="s">
        <v>103</v>
      </c>
      <c r="FQ37" t="s">
        <v>104</v>
      </c>
    </row>
    <row r="38" spans="1:173" x14ac:dyDescent="0.35">
      <c r="A38">
        <v>1</v>
      </c>
      <c r="B38">
        <f>C1</f>
        <v>1E-3</v>
      </c>
      <c r="C38">
        <f t="shared" ref="C38:C57" si="13">$B$38+A38*$H$2</f>
        <v>1.0001000000000001E-3</v>
      </c>
      <c r="D38">
        <f>((8*$F$1*$H$4)/(3.1415))*(((C38)^4-(B38)^4)-(((C38)^2-(B38)^2)^2/(LN(C38/B38))))^-1</f>
        <v>5.976539219506235E+19</v>
      </c>
      <c r="E38">
        <f>((1/D38)+(1/D39)+(1/D40)+(1/D41)+(1/D42)+(1/D43)+(1/D44)+(1/D45)+(1/D46)+(1/D47)+(1/D48)+(1/D49)+(1/D50)+(1/D51)+(1/D52)+(1/D53)+(1/D54)+(1/D55)+(1/D56)+(1/D57))^-1</f>
        <v>2.9841746237200527E+18</v>
      </c>
      <c r="G38">
        <v>1</v>
      </c>
      <c r="H38">
        <f>C1*(0.5)^(I35/3.67)</f>
        <v>8.2789541615219207E-4</v>
      </c>
      <c r="I38">
        <f t="shared" ref="I38:I57" si="14">$H$38+G38*$H$2</f>
        <v>8.2799541615219201E-4</v>
      </c>
      <c r="J38">
        <f>((8*$F$1*$H$5)/(3.1415))*(((I38)^4-(H38)^4)-(((I38)^2-(H38)^2)^2/(LN(I38/H38))))^-1</f>
        <v>2.6549660928429957E+19</v>
      </c>
      <c r="K38">
        <f>(1/(2^I35))*((1/J38)+(1/J39)+(1/J40)+(1/J41)+(1/J42)+(1/J43)+(1/J44)+(1/J45)+(1/J46)+(1/J47)+(1/J48)+(1/J49)+(1/J50)+(1/J51)+(1/J52)+(1/J53)+(1/J54)+(1/J55)+(1/J56)+(1/J57))^-1</f>
        <v>6.6300952079028749E+17</v>
      </c>
      <c r="M38">
        <v>1</v>
      </c>
      <c r="N38">
        <f>C1*(0.5)^(O35/3.67)</f>
        <v>6.8541082008581123E-4</v>
      </c>
      <c r="O38">
        <f t="shared" ref="O38:O57" si="15">$N$38+M38*$H$2</f>
        <v>6.8551082008581118E-4</v>
      </c>
      <c r="P38">
        <f>((8*$H$1*$H$6)/(3.1415))*(((O38)^4-(N38)^4)-(((O38)^2-(N38)^2)^2/(LN(O38/N38))))^-1</f>
        <v>3.3996610674038518E+19</v>
      </c>
      <c r="Q38">
        <f>(1/(2^O35))*((1/P38)+(1/P39)+(1/P40)+(1/P41)+(1/P42)+(1/P43)+(1/P44)+(1/P45)+(1/P46)+(1/P47)+(1/P48)+(1/P49)+(1/P50)+(1/P51)+(1/P52)+(1/P53)+(1/P54)+(1/P55)+(1/P56)+(1/P57))^-1</f>
        <v>4.2435051351437984E+17</v>
      </c>
      <c r="S38">
        <v>1</v>
      </c>
      <c r="T38">
        <f>C1*(0.5)^(U35/3.67)</f>
        <v>5.6744847613015789E-4</v>
      </c>
      <c r="U38">
        <f t="shared" ref="U38:U57" si="16">$T$38+S38*$H$2</f>
        <v>5.6754847613015784E-4</v>
      </c>
      <c r="V38">
        <f>((8*$F$1*$H$7)/(3.1415))*(((U38)^4-(T38)^4)-(((U38)^2-(T38)^2)^2/(LN(U38/T38))))^-1</f>
        <v>2.6548807666619879E+19</v>
      </c>
      <c r="W38">
        <f>(1/(2^U35))*((1/V38)+(1/V39)+(1/V40)+(1/V41)+(1/V42)+(1/V43)+(1/V44)+(1/V45)+(1/V46)+(1/V47)+(1/V48)+(1/V49)+(1/V50)+(1/V51)+(1/V52)+(1/V53)+(1/V54)+(1/V55)+(1/V56)+(1/V57))^-1</f>
        <v>1.656539682009087E+17</v>
      </c>
      <c r="Y38">
        <v>1</v>
      </c>
      <c r="Z38">
        <f>C1*(0.5)^(AA35/3.67)</f>
        <v>4.697879922907043E-4</v>
      </c>
      <c r="AA38">
        <f t="shared" ref="AA38:AA57" si="17">$Z$38+Y38*$H$2</f>
        <v>4.698879922907043E-4</v>
      </c>
      <c r="AB38">
        <f>((8*$F$1*$H$8)/(3.1415))*(((AA38)^4-(Z38)^4)-(((AA38)^2-(Z38)^2)^2/(LN(AA38/Z38))))^-1</f>
        <v>2.6548568200326832E+19</v>
      </c>
      <c r="AC38">
        <f>(1/(2^AA35))*((1/AB38)+(1/AB39)+(1/AB40)+(1/AB41)+(1/AB42)+(1/AB43)+(1/AB44)+(1/AB45)+(1/AB46)+(1/AB47)+(1/AB48)+(1/AB49)+(1/AB50)+(1/AB51)+(1/AB52)+(1/AB53)+(1/AB54)+(1/AB55)+(1/AB56)+(1/AB57))^-1</f>
        <v>8.2798014109597056E+16</v>
      </c>
      <c r="AE38">
        <v>1</v>
      </c>
      <c r="AF38">
        <f>C1*(0.5)^(AG35/3.67)</f>
        <v>3.8893532538081537E-4</v>
      </c>
      <c r="AG38">
        <f t="shared" ref="AG38:AG57" si="18">$AF$38+AE38*$H$2</f>
        <v>3.8903532538081537E-4</v>
      </c>
      <c r="AH38">
        <f>((8*$F$1*$H$9)/(3.1415))*(((AG38)^4-(AF38)^4)-(((AG38)^2-(AF38)^2)^2/(LN(AG38/AF38))))^-1</f>
        <v>2.6547831506648039E+19</v>
      </c>
      <c r="AI38">
        <f>(1/(2^AG35))*((1/AH38)+(1/AH39)+(1/AH40)+(1/AH41)+(1/AH42)+(1/AH43)+(1/AH44)+(1/AH45)+(1/AH46)+(1/AH47)+(1/AH48)+(1/AH49)+(1/AH50)+(1/AH51)+(1/AH52)+(1/AH53)+(1/AH54)+(1/AH55)+(1/AH56)+(1/AH57))^-1</f>
        <v>4.1380623735512072E+16</v>
      </c>
      <c r="AK38">
        <v>1</v>
      </c>
      <c r="AL38">
        <f>C1*(0.5)^(AM35/3.67)</f>
        <v>3.2199777306243842E-4</v>
      </c>
      <c r="AM38">
        <f t="shared" ref="AM38:AM57" si="19">$AL$38+AK38*$H$2</f>
        <v>3.2209777306243842E-4</v>
      </c>
      <c r="AN38">
        <f>((8*$F$1*$H$10)/(3.1415))*(((AM38)^4-(AL38)^4)-(((AM38)^2-(AL38)^2)^2/(LN(AM38/AL38))))^-1</f>
        <v>2.6547792730619482E+19</v>
      </c>
      <c r="AO38">
        <f>(1/(2^AM35))*((1/AN38)+(1/AN39)+(1/AN40)+(1/AN41)+(1/AN42)+(1/AN43)+(1/AN44)+(1/AN45)+(1/AN46)+(1/AN47)+(1/AN48)+(1/AN49)+(1/AN50)+(1/AN51)+(1/AN52)+(1/AN53)+(1/AN54)+(1/AN55)+(1/AN56)+(1/AN57))^-1</f>
        <v>2.0679248415622732E+16</v>
      </c>
      <c r="AQ38">
        <v>1</v>
      </c>
      <c r="AR38">
        <f>C1*(0.5)^(AS35/3.67)</f>
        <v>2.6658048032960659E-4</v>
      </c>
      <c r="AS38">
        <f t="shared" ref="AS38:AS56" si="20">$AR$38+AQ38*$H$2</f>
        <v>2.6668048032960659E-4</v>
      </c>
      <c r="AT38">
        <f>((8*$F$1*$H$11)/(3.1415))*(((AS38)^4-(AR38)^4)-(((AS38)^2-(AR38)^2)^2/(LN(AS38/AR38))))^-1</f>
        <v>2.654679040482295E+19</v>
      </c>
      <c r="AU38">
        <f>(1/(2^AS35))*((1/AT38)+(1/AT39)+(1/AT40)+(1/AT41)+(1/AT42)+(1/AT43)+(1/AT44)+(1/AT45)+(1/AT46)+(1/AT47)+(1/AT48)+(1/AT49)+(1/AT50)+(1/AT51)+(1/AT52)+(1/AT53)+(1/AT54)+(1/AT55)+(1/AT56)+(1/AT57))^-1</f>
        <v>1.0332980801195592E+16</v>
      </c>
      <c r="AW38">
        <v>1</v>
      </c>
      <c r="AX38">
        <f>C1*(0.5)^(AY35/3.67)</f>
        <v>2.2070075770053087E-4</v>
      </c>
      <c r="AY38">
        <f t="shared" ref="AY38:AY55" si="21">$AX$38+AW38*$H$2</f>
        <v>2.2080075770053087E-4</v>
      </c>
      <c r="AZ38">
        <f>((8*$F$1*$H$12)/(3.1415))*(((AY38)^4-(AX38)^4)-(((AY38)^2-(AX38)^2)^2/(LN(AY38/AX38))))^-1</f>
        <v>2.6545553869862171E+19</v>
      </c>
      <c r="BA38">
        <f>(1/(2^AY35))*((1/AZ38)+(1/AZ39)+(1/AZ40)+(1/AZ41)+(1/AZ42)+(1/AZ43)+(1/AZ44)+(1/AZ45)+(1/AZ46)+(1/AZ47)+(1/AZ48)+(1/AZ49)+(1/AZ50)+(1/AZ51)+(1/AZ52)+(1/AZ53)+(1/AZ54)+(1/AZ55)+(1/AZ56)+(1/AZ57))^-1</f>
        <v>5162478548867949</v>
      </c>
      <c r="BC38">
        <v>1</v>
      </c>
      <c r="BD38">
        <f>C1*(0.5)^(BE35/3.67)</f>
        <v>1.8271714564158507E-4</v>
      </c>
      <c r="BE38">
        <f t="shared" ref="BE38:BE54" si="22">$BD$38+BC38*$H$2</f>
        <v>1.8281714564158508E-4</v>
      </c>
      <c r="BF38">
        <f>((8*$H$13*$F$1)/(3.1415))*(((BE38)^4-(BD38)^4)-(((BE38)^2-(BD38)^2)^2/(LN(BE38/BD38))))^-1</f>
        <v>2.6544395053801542E+19</v>
      </c>
      <c r="BG38">
        <f>(1/(2^BE35))*((1/BF38)+(1/BF39)+(1/BF40)+(1/BF41)+(1/BF42)+(1/BF43)+(1/BF44)+(1/BF45)+(1/BF46)+(1/BF47)+(1/BF48)+(1/BF49)+(1/BF50)+(1/BF51)+(1/BF52)+(1/BF53)+(1/BF54)+(1/BF55)+(1/BF56)+(1/BF57))^-1</f>
        <v>2578821266941628.5</v>
      </c>
      <c r="BI38">
        <v>1</v>
      </c>
      <c r="BJ38">
        <f>C1*(0.5)^(BK35/3.67)</f>
        <v>1.5127068732908076E-4</v>
      </c>
      <c r="BK38">
        <f t="shared" ref="BK38:BK53" si="23">$BJ$38+BI38*$H$2</f>
        <v>1.5137068732908076E-4</v>
      </c>
      <c r="BL38">
        <f>((8*$F$1*$H$14)/(3.1415))*(((BK38)^4-(BJ38)^4)-(((BK38)^2-(BJ38)^2)^2/(LN(BK38/BJ38))))^-1</f>
        <v>2.6542898894363582E+19</v>
      </c>
      <c r="BM38">
        <f>(1/(2^BK35))*((1/BL38)+(1/BL39)+(1/BL40)+(1/BL41)+(1/BL42)+(1/BL43)+(1/BL44)+(1/BL45)+(1/BL46)+(1/BL47)+(1/BL48)+(1/BL49)+(1/BL50)+(1/BL51)+(1/BL52)+(1/BL53)+(1/BL54)+(1/BL55)+(1/BL56))^-1</f>
        <v>1356185054533158.3</v>
      </c>
      <c r="BO38">
        <v>1</v>
      </c>
      <c r="BP38">
        <f>C1*(0.5)^(BQ35/3.67)</f>
        <v>1.2523630863793745E-4</v>
      </c>
      <c r="BQ38">
        <f t="shared" ref="BQ38:BQ52" si="24">$BP$38+BO38*$H$2</f>
        <v>1.2533630863793745E-4</v>
      </c>
      <c r="BR38">
        <f>((8*$F$1*$H$15)/(3.1415))*(((BQ38)^4-(BP38)^4)-(((BQ38)^2-(BP38)^2)^2/(LN(BQ38/BP38))))^-1</f>
        <v>2.6541066545680032E+19</v>
      </c>
      <c r="BS38">
        <f>(1/(2^BQ35))*((1/BR38)+(1/BR39)+(1/BR40)+(1/BR41)+(1/BR42)+(1/BR43)+(1/BR44)+(1/BR45)+(1/BR46)+(1/BR47)+(1/BR48)+(1/BR49)+(1/BR50)+(1/BR51)+(1/BR52)+(1/BR53)+(1/BR54)+(1/BR55))^-1</f>
        <v>792565322457610</v>
      </c>
      <c r="BU38">
        <v>1</v>
      </c>
      <c r="BV38">
        <f>C1*(0.5)^(BW35/3.67)</f>
        <v>1.0368256585716962E-4</v>
      </c>
      <c r="BW38">
        <f t="shared" ref="BW38:BW51" si="25">$BV$38+BU38*$H$2</f>
        <v>1.0378256585716962E-4</v>
      </c>
      <c r="BX38">
        <f>((8*$F$1*$H$16)/(3.1415))*(((BW38)^4-(BV38)^4)-(((BW38)^2-(BV38)^2)^2/(LN(BW38/BV38))))^-1</f>
        <v>2.6538848306292257E+19</v>
      </c>
      <c r="BY38">
        <f>(1/(2^BW35))*((1/BX38)+(1/BX39)+(1/BX40)+(1/BX41)+(1/BX42)+(1/BX43)+(1/BX44)+(1/BX45)+(1/BX46)+(1/BX47)+(1/BX48)+(1/BX49)+(1/BX50)+(1/BX51)+(1/BX52)+(1/BX53)+(1/BX54))^-1</f>
        <v>378213219111912.13</v>
      </c>
      <c r="CA38">
        <v>1</v>
      </c>
      <c r="CB38">
        <f>C1*(0.5)^(CC35/3.67)</f>
        <v>8.5838321008048485E-5</v>
      </c>
      <c r="CC38">
        <f t="shared" ref="CC38:CC50" si="26">$CB$38+CA38*$H$2</f>
        <v>8.5938321008048488E-5</v>
      </c>
      <c r="CD38">
        <f>((8*$H$1*$H$17)/(3.1415))*(((CC38)^4-(CB38)^4)-(((CC38)^2-(CB38)^2)^2/(LN(CC38/CB38))))^-1</f>
        <v>3.3976707422620643E+19</v>
      </c>
      <c r="CE38">
        <f>(1/(2^CC35))*((1/CD38)+(1/CD39)+(1/CD40)+(1/CD41)+(1/CD42)+(1/CD43)+(1/CD44)+(1/CD45)+(1/CD46)+(1/CD47)+(1/CD48)+(1/CD49)+(1/CD50)+(1/CD51)+(1/CD52)+(1/CD53))^-1</f>
        <v>256977696209461.88</v>
      </c>
      <c r="CG38">
        <v>1</v>
      </c>
      <c r="CH38">
        <f>C1*(0.5^(CI35/3.67))</f>
        <v>7.1065152492763735E-5</v>
      </c>
      <c r="CI38">
        <f t="shared" ref="CI38:CI49" si="27">$CH$38+CG38*$H$2</f>
        <v>7.1165152492763738E-5</v>
      </c>
      <c r="CJ38">
        <f>((8*$H$1*$H$18)/(3.1415))*(((CI38)^4-(CH38)^4)-(((CI38)^2-(CH38)^2)^2/(LN(CI38/CH38))))^-1</f>
        <v>3.3972597703659287E+19</v>
      </c>
      <c r="CK38">
        <f>(1/(2^CI35))*((1/CJ38)+(1/CJ39)+(1/CJ40)+(1/CJ41)+(1/CJ42)+(1/CJ43)+(1/CJ44)+(1/CJ45)+(1/CJ46)+(1/CJ47)+(1/CJ48)+(1/CJ49)+(1/CJ50)+(1/CJ51)+(1/CJ52))^-1</f>
        <v>136887435966919.58</v>
      </c>
      <c r="CM38">
        <v>1</v>
      </c>
      <c r="CN38">
        <f>C1*(0.5^(CO35/3.67))</f>
        <v>5.88345139969156E-5</v>
      </c>
      <c r="CO38">
        <f t="shared" ref="CO38:CO48" si="28">$CN$38+CM38*$H$2</f>
        <v>5.8934513996915602E-5</v>
      </c>
      <c r="CP38">
        <f>((8*$H$1*$H$19)/(3.1415))*(((CO38)^4-(CN38)^4)-(((CO38)^2-(CN38)^2)^2/(LN(CO38/CN38))))^-1</f>
        <v>3.3967631653521342E+19</v>
      </c>
      <c r="CQ38">
        <f>(1/(2^CO35))*((1/CP38)+(1/CP39)+(1/CP40)+(1/CP41)+(1/CP42)+(1/CP43)+(1/CP44)+(1/CP45)+(1/CP46)+(1/CP47)+(1/CP48)+(1/CP49)+(1/CP50)+(1/CP51))^-1</f>
        <v>73235148175875.406</v>
      </c>
      <c r="CS38">
        <v>1</v>
      </c>
      <c r="CT38">
        <f>C1*(0.5)^(CU35/3.67)</f>
        <v>4.8708824449588421E-5</v>
      </c>
      <c r="CU38">
        <f t="shared" ref="CU38:CU47" si="29">$CT$38+CS38*$H$2</f>
        <v>4.8808824449588424E-5</v>
      </c>
      <c r="CV38">
        <f>((8*$H$1*$H$20)/(3.1415))*(((CU38)^4-(CT38)^4)-(((CU38)^2-(CT38)^2)^2/(LN(CU38/CT38))))^-1</f>
        <v>3.3961632798989431E+19</v>
      </c>
      <c r="CW38">
        <f>(1/(2^CU35))*((1/CV38)+(1/CV39)+(1/CV40)+(1/CV41)+(1/CV42)+(1/CV43)+(1/CV44)+(1/CV45)+(1/CV46)+(1/CV47)+(1/CV48)+(1/CV49)+(1/CV50))^-1</f>
        <v>39378005375629.289</v>
      </c>
      <c r="CY38">
        <v>1</v>
      </c>
      <c r="CZ38">
        <f>C1*(0.5)^(DA35/3.67)</f>
        <v>4.0325812487976073E-5</v>
      </c>
      <c r="DA38">
        <f t="shared" ref="DA38:DA46" si="30">$CZ$38+CY38*$H$2</f>
        <v>4.0425812487976075E-5</v>
      </c>
      <c r="DB38">
        <f>((8*$H$1*$H$21)/(3.1415))*(((DA38)^4-(CZ38)^4)-(((DA38)^2-(CZ38)^2)^2/(LN(DA38/CZ38))))^-1</f>
        <v>3.3954394138130256E+19</v>
      </c>
      <c r="DC38">
        <f>(1/(2^DA35))*((1/DB38)+(1/DB39)+(1/DB40)+(1/DB41)+(1/DB42)+(1/DB43)+(1/DB44)+(1/DB45)+(1/DB46)+(1/DB47)+(1/DB48)+(1/DB49))^-1</f>
        <v>21297507859378.055</v>
      </c>
      <c r="DE38">
        <v>1</v>
      </c>
      <c r="DF38">
        <f>C1*(0.5^(DG35/3.67))</f>
        <v>3.3385555311408212E-5</v>
      </c>
      <c r="DG38">
        <f t="shared" ref="DG38:DG45" si="31">$DF$38+DE38*$H$2</f>
        <v>3.3485555311408214E-5</v>
      </c>
      <c r="DH38">
        <f>((8*$H$1*$H$22)/(3.1415))*(((DG38)^4-(DF38)^4)-(((DG38)^2-(DF38)^2)^2/(LN(DG38/DF38))))^-1</f>
        <v>3.394565480209304E+19</v>
      </c>
      <c r="DI38">
        <f>(1/(2^DG35))*((1/DH38)+(1/DH39)+(1/DH40)+(1/DH41)+(1/DH42)+(1/DH43)+(1/DH44)+(1/DH45)+(1/DH46)+(1/DH47)+(1/DH48))^-1</f>
        <v>11598589132283.893</v>
      </c>
      <c r="DK38">
        <v>1</v>
      </c>
      <c r="DL38">
        <f>C1*(0.5^(DM35/3.67))</f>
        <v>2.7639748208010323E-5</v>
      </c>
      <c r="DM38">
        <f t="shared" ref="DM38:DM44" si="32">$DL$38+DK38*$H$2</f>
        <v>2.7739748208010322E-5</v>
      </c>
      <c r="DN38">
        <f>((8*$H$1*$H$23)/(3.1415))*(((DM38)^4-(DL38)^4)-(((DM38)^2-(DL38)^2)^2/(LN(DM38/DL38))))^-1</f>
        <v>3.3935102952386781E+19</v>
      </c>
      <c r="DO38">
        <f>(1/(2^DM35))*((1/DN38)+(1/DN39)+(1/DN40)+(1/DN41)+(1/DN42)+(1/DN43)+(1/DN44)+(1/DN45)+(1/DN46)+(1/DN47))^-1</f>
        <v>6369099798717.4316</v>
      </c>
      <c r="DQ38">
        <v>1</v>
      </c>
      <c r="DR38">
        <f>C1*(0.5)^(DS35/3.67)</f>
        <v>2.2882820845012508E-5</v>
      </c>
      <c r="DS38">
        <f t="shared" ref="DS38:DS43" si="33">$DR$38+DQ38*$H$2</f>
        <v>2.2982820845012507E-5</v>
      </c>
      <c r="DT38">
        <f>((8*$H$1*$H$24)/(3.1415))*(((DS38)^4-(DR38)^4)-(((DS38)^2-(DR38)^2)^2/(LN(DS38/DR38))))^-1</f>
        <v>3.3922365906439868E+19</v>
      </c>
      <c r="DU38">
        <f>(1/(2^DS35))*((1/DT38)+(1/DT39)+(1/DT40)+(1/DT41)+(1/DT42)+(1/DT43)+(1/DT44)+(1/DT45)+(1/DT46))^-1</f>
        <v>3532921169905.0684</v>
      </c>
      <c r="DW38">
        <v>1</v>
      </c>
      <c r="DX38">
        <f>C1*(0.5)^(DY35/3.67)</f>
        <v>1.89445824862177E-5</v>
      </c>
      <c r="DY38">
        <f>$DX$38+DW38*$H$2</f>
        <v>1.9044582486217699E-5</v>
      </c>
      <c r="DZ38">
        <f>((8*$F$1*$H$25)/(3.1415))*(((DY38)^4-(DX38)^4)-(((DY38)^2-(DX38)^2)^2/(LN(DY38/DX38))))^-1</f>
        <v>2.6481742333596811E+19</v>
      </c>
      <c r="EA38">
        <f>(1/(2^DY35))*((1/DZ38)+(1/DZ39)+(1/DZ40)+(1/DZ41)+(1/DZ42)+(1/DZ43)+(1/DZ44)+(1/DZ45))^-1</f>
        <v>1549876377213.3938</v>
      </c>
      <c r="EC38">
        <v>1</v>
      </c>
      <c r="ED38">
        <f>C1*(0.5)^(EE35/3.67)</f>
        <v>1.5684133001256724E-5</v>
      </c>
      <c r="EE38">
        <f>$ED$38+EC38*$H$2</f>
        <v>1.5784133001256723E-5</v>
      </c>
      <c r="EF38">
        <f>((8*$F$1*$H$26)/(3.1415))*(((EE38)^4-(ED38)^4)-(((EE38)^2-(ED38)^2)^2/(LN(EE38/ED38))))^-1</f>
        <v>2.6467253572690092E+19</v>
      </c>
      <c r="EG38">
        <f>(1/(2^EE35))*((1/EF38)+(1/EF39)+(1/EF40)+(1/EF41)+(1/EF42)+(1/EF43)+(1/EF44))^-1</f>
        <v>884602737434.32324</v>
      </c>
      <c r="EI38">
        <v>1</v>
      </c>
      <c r="EJ38">
        <f>C1*(0.5)^(EK35/3.67)</f>
        <v>1.2984821818061773E-5</v>
      </c>
      <c r="EK38">
        <f>$EJ$38+EI38*$H$2</f>
        <v>1.3084821818061774E-5</v>
      </c>
      <c r="EL38">
        <f>((8*$F$1*$H$27)/(3.1415))*(((EK38)^4-(EJ38)^4)-(((EK38)^2-(EJ38)^2)^2/(LN(EK38/EJ38))))^-1</f>
        <v>2.6449772437135798E+19</v>
      </c>
      <c r="EM38">
        <f>(1/(2^EK35))*((1/EL38)+(1/EL39)+(1/EL40)+(1/EL41)+(1/EL42)+(1/EL43))^-1</f>
        <v>515620493540.16229</v>
      </c>
      <c r="EO38">
        <v>1</v>
      </c>
      <c r="EP38">
        <f>C1*(0.5)^(EQ35/3.67)</f>
        <v>1.0750074462726314E-5</v>
      </c>
      <c r="EQ38">
        <f>$EP$38+EO38*$H$2</f>
        <v>1.0850074462726315E-5</v>
      </c>
      <c r="ER38">
        <f>((8*$F$1*$H$28)/(3.1415))*(((EQ38)^4-(EP38)^4)-(((EQ38)^2-(EP38)^2)^2/(LN(EQ38/EP38))))^-1</f>
        <v>2.6428686087897412E+19</v>
      </c>
      <c r="ES38">
        <f>(1/(2^EQ35))*((1/ER38)+(1/ER39)+(1/ER40)+(1/ER41)+(1/ER42))^-1</f>
        <v>309326280539.75751</v>
      </c>
      <c r="EU38">
        <v>1</v>
      </c>
      <c r="EV38">
        <f>C1*(0.5)^(EW35/3.67)</f>
        <v>8.899937370985854E-6</v>
      </c>
      <c r="EW38">
        <f>$EV$38+EU38*$H$2</f>
        <v>8.9999373709858547E-6</v>
      </c>
      <c r="EX38">
        <f>((8*$F$1*$H$29)/(3.1415))*(((EW38)^4-(EV38)^4)-(((EW38)^2-(EV38)^2)^2/(LN(EW38/EV38))))^-1</f>
        <v>2.6403258098002731E+19</v>
      </c>
      <c r="EY38">
        <f>(1/(2^EW35))*((1/EX38)+(1/EX39)+(1/EX40)+(1/EX41))^-1</f>
        <v>193476962491.97122</v>
      </c>
      <c r="FA38">
        <v>1</v>
      </c>
      <c r="FB38">
        <f>C1*(0.5)^(FC35/3.67)</f>
        <v>7.3682173534807782E-6</v>
      </c>
      <c r="FC38">
        <f>$FB$38+FA38*$H$2</f>
        <v>7.4682173534807781E-6</v>
      </c>
      <c r="FD38">
        <f>((8*$F$1*$H$30)/(3.1415))*(((FC38)^4-(FB38)^4)-(((FC38)^2-(FB38)^2)^2/(LN(FC38/FB38))))^-1</f>
        <v>2.6372604972026712E+19</v>
      </c>
      <c r="FE38">
        <f>(1/(2^FC35))*((1/FD38)+(1/FD39)+(1/FD40))^-1</f>
        <v>129251799781.74957</v>
      </c>
      <c r="FG38">
        <v>1</v>
      </c>
      <c r="FH38">
        <f>C1*(0.5)^(FI35/3.67)</f>
        <v>6.1001133721597717E-6</v>
      </c>
      <c r="FI38">
        <f>$FH$38+FG38*$H$2</f>
        <v>6.2001133721597715E-6</v>
      </c>
      <c r="FJ38">
        <f>((8*$F$1*$H$31)/(3.1415))*(((FI38)^4-(FH38)^4)-(((FI38)^2-(FH38)^2)^2/(LN(FI38/FH38))))^-1</f>
        <v>2.6335668179736211E+19</v>
      </c>
      <c r="FK38">
        <f>(1/(2^FI35))*((1/FJ38)+(1/FJ39))^-1</f>
        <v>97316836881.977997</v>
      </c>
      <c r="FM38">
        <v>1</v>
      </c>
      <c r="FN38">
        <f>C1*(0.5)^(FO35/3.67)</f>
        <v>5.0502558988197649E-6</v>
      </c>
      <c r="FO38">
        <f>$FN$38+FM38*$H$2</f>
        <v>5.1502558988197648E-6</v>
      </c>
      <c r="FP38">
        <f>((8*$F$1*$H$32)/(3.1415))*(((FO38)^4-(FN38)^4)-(((FO38)^2-(FN38)^2)^2/(LN(FO38/FN38))))^-1</f>
        <v>2.6291181634761769E+19</v>
      </c>
      <c r="FQ38">
        <f>(1/(2^FO35))*((1/FP38))^-1</f>
        <v>97942283879.078064</v>
      </c>
    </row>
    <row r="39" spans="1:173" x14ac:dyDescent="0.35">
      <c r="A39">
        <f>A38+1</f>
        <v>2</v>
      </c>
      <c r="B39">
        <f>C38</f>
        <v>1.0001000000000001E-3</v>
      </c>
      <c r="C39">
        <f t="shared" si="13"/>
        <v>1.0001999999999999E-3</v>
      </c>
      <c r="D39">
        <f t="shared" ref="D39:D57" si="34">((8*$F$1*$H$4)/(3.1415))*(((C39)^4-(B39)^4)-(((C39)^2-(B39)^2)^2/(LN(C39/B39))))^-1</f>
        <v>5.9747988710985212E+19</v>
      </c>
      <c r="G39">
        <f>G38+1</f>
        <v>2</v>
      </c>
      <c r="H39">
        <f>I38</f>
        <v>8.2799541615219201E-4</v>
      </c>
      <c r="I39">
        <f t="shared" si="14"/>
        <v>8.2809541615219207E-4</v>
      </c>
      <c r="J39">
        <f t="shared" ref="J39:J57" si="35">((8*$F$1*$H$5)/(3.1415))*(((I39)^4-(H39)^4)-(((I39)^2-(H39)^2)^2/(LN(I39/H39))))^-1</f>
        <v>2.6547773350419132E+19</v>
      </c>
      <c r="M39">
        <f>M38+1</f>
        <v>2</v>
      </c>
      <c r="N39">
        <f>O38</f>
        <v>6.8551082008581118E-4</v>
      </c>
      <c r="O39">
        <f t="shared" si="15"/>
        <v>6.8561082008581123E-4</v>
      </c>
      <c r="P39">
        <f t="shared" ref="P39:P57" si="36">((8*$H$1*$H$6)/(3.1415))*(((O39)^4-(N39)^4)-(((O39)^2-(N39)^2)^2/(LN(O39/N39))))^-1</f>
        <v>3.3990853428556562E+19</v>
      </c>
      <c r="S39">
        <f>S38+1</f>
        <v>2</v>
      </c>
      <c r="T39">
        <f>U38</f>
        <v>5.6754847613015784E-4</v>
      </c>
      <c r="U39">
        <f t="shared" si="16"/>
        <v>5.6764847613015789E-4</v>
      </c>
      <c r="V39">
        <f t="shared" ref="V39:V57" si="37">((8*$F$1*$H$7)/(3.1415))*(((U39)^4-(T39)^4)-(((U39)^2-(T39)^2)^2/(LN(U39/T39))))^-1</f>
        <v>2.654323864871066E+19</v>
      </c>
      <c r="Y39">
        <f>Y38+1</f>
        <v>2</v>
      </c>
      <c r="Z39">
        <f>AA38</f>
        <v>4.698879922907043E-4</v>
      </c>
      <c r="AA39">
        <f t="shared" si="17"/>
        <v>4.699879922907043E-4</v>
      </c>
      <c r="AB39">
        <f t="shared" ref="AB39:AB57" si="38">((8*$F$1*$H$8)/(3.1415))*(((AA39)^4-(Z39)^4)-(((AA39)^2-(Z39)^2)^2/(LN(AA39/Z39))))^-1</f>
        <v>2.6542937040056357E+19</v>
      </c>
      <c r="AE39">
        <f>AE38+1</f>
        <v>2</v>
      </c>
      <c r="AF39">
        <f>AG38</f>
        <v>3.8903532538081537E-4</v>
      </c>
      <c r="AG39">
        <f t="shared" si="18"/>
        <v>3.8913532538081537E-4</v>
      </c>
      <c r="AH39">
        <f t="shared" ref="AH39:AH57" si="39">((8*$F$1*$H$9)/(3.1415))*(((AG39)^4-(AF39)^4)-(((AG39)^2-(AF39)^2)^2/(LN(AG39/AF39))))^-1</f>
        <v>2.6541037816092668E+19</v>
      </c>
      <c r="AK39">
        <f>AK38+1</f>
        <v>2</v>
      </c>
      <c r="AL39">
        <f>AM38</f>
        <v>3.2209777306243842E-4</v>
      </c>
      <c r="AM39">
        <f t="shared" si="19"/>
        <v>3.2219777306243842E-4</v>
      </c>
      <c r="AN39">
        <f t="shared" ref="AN39:AN57" si="40">((8*$F$1*$H$10)/(3.1415))*(((AM39)^4-(AL39)^4)-(((AM39)^2-(AL39)^2)^2/(LN(AM39/AL39))))^-1</f>
        <v>2.6539396530636939E+19</v>
      </c>
      <c r="AQ39">
        <f>AQ38+1</f>
        <v>2</v>
      </c>
      <c r="AR39">
        <f>AS38</f>
        <v>2.6668048032960659E-4</v>
      </c>
      <c r="AS39">
        <f t="shared" si="20"/>
        <v>2.6678048032960659E-4</v>
      </c>
      <c r="AT39">
        <f t="shared" ref="AT39:AT56" si="41">((8*$F$1*$H$11)/(3.1415))*(((AS39)^4-(AR39)^4)-(((AS39)^2-(AR39)^2)^2/(LN(AS39/AR39))))^-1</f>
        <v>2.6536914179364553E+19</v>
      </c>
      <c r="AW39">
        <f>AW38+1</f>
        <v>2</v>
      </c>
      <c r="AX39">
        <f>AY38</f>
        <v>2.2080075770053087E-4</v>
      </c>
      <c r="AY39">
        <f t="shared" si="21"/>
        <v>2.2090075770053087E-4</v>
      </c>
      <c r="AZ39">
        <f t="shared" ref="AZ39:AZ55" si="42">((8*$F$1*$H$12)/(3.1415))*(((AY39)^4-(AX39)^4)-(((AY39)^2-(AX39)^2)^2/(LN(AY39/AX39))))^-1</f>
        <v>2.6533577649843053E+19</v>
      </c>
      <c r="BC39">
        <f>BC38+1</f>
        <v>2</v>
      </c>
      <c r="BD39">
        <f>BE38</f>
        <v>1.8281714564158508E-4</v>
      </c>
      <c r="BE39">
        <f t="shared" si="22"/>
        <v>1.8291714564158508E-4</v>
      </c>
      <c r="BF39">
        <f t="shared" ref="BF39:BF54" si="43">((8*$H$13*$F$1)/(3.1415))*(((BE39)^4-(BD39)^4)-(((BE39)^2-(BD39)^2)^2/(LN(BE39/BD39))))^-1</f>
        <v>2.6529932985396929E+19</v>
      </c>
      <c r="BI39">
        <f>BI38+1</f>
        <v>2</v>
      </c>
      <c r="BJ39">
        <f>BK38</f>
        <v>1.5137068732908076E-4</v>
      </c>
      <c r="BK39">
        <f t="shared" si="23"/>
        <v>1.5147068732908076E-4</v>
      </c>
      <c r="BL39">
        <f t="shared" ref="BL39:BL53" si="44">((8*$F$1*$H$14)/(3.1415))*(((BK39)^4-(BJ39)^4)-(((BK39)^2-(BJ39)^2)^2/(LN(BK39/BJ39))))^-1</f>
        <v>2.6525309673233666E+19</v>
      </c>
      <c r="BO39">
        <f>BO38+1</f>
        <v>2</v>
      </c>
      <c r="BP39">
        <f>BQ38</f>
        <v>1.2533630863793745E-4</v>
      </c>
      <c r="BQ39">
        <f t="shared" si="24"/>
        <v>1.2543630863793746E-4</v>
      </c>
      <c r="BR39">
        <f t="shared" ref="BR39:BR47" si="45">((8*$F$1*$H$15)/(3.1415))*(((BQ39)^4-(BP39)^4)-(((BQ39)^2-(BP39)^2)^2/(LN(BQ39/BP39))))^-1</f>
        <v>2.6519871318865797E+19</v>
      </c>
      <c r="BU39">
        <f>BU38+1</f>
        <v>2</v>
      </c>
      <c r="BV39">
        <f>BW38</f>
        <v>1.0378256585716962E-4</v>
      </c>
      <c r="BW39">
        <f t="shared" si="25"/>
        <v>1.0388256585716963E-4</v>
      </c>
      <c r="BX39">
        <f t="shared" ref="BX39:BX46" si="46">((8*$F$1*$H$16)/(3.1415))*(((BW39)^4-(BV39)^4)-(((BW39)^2-(BV39)^2)^2/(LN(BW39/BV39))))^-1</f>
        <v>2.6513279878370738E+19</v>
      </c>
      <c r="CA39">
        <f>CA38+1</f>
        <v>2</v>
      </c>
      <c r="CB39">
        <f>CC38</f>
        <v>8.5938321008048488E-5</v>
      </c>
      <c r="CC39">
        <f t="shared" si="26"/>
        <v>8.603832100804849E-5</v>
      </c>
      <c r="CD39">
        <f t="shared" ref="CD39:CD50" si="47">((8*$H$1*$H$17)/(3.1415))*(((CC39)^4-(CB39)^4)-(((CC39)^2-(CB39)^2)^2/(LN(CC39/CB39))))^-1</f>
        <v>3.3937189639469822E+19</v>
      </c>
      <c r="CG39">
        <f>CG38+1</f>
        <v>2</v>
      </c>
      <c r="CH39">
        <f>CI38</f>
        <v>7.1165152492763738E-5</v>
      </c>
      <c r="CI39">
        <f t="shared" si="27"/>
        <v>7.126515249276374E-5</v>
      </c>
      <c r="CJ39">
        <f t="shared" ref="CJ39:CJ49" si="48">((8*$H$1*$H$18)/(3.1415))*(((CI39)^4-(CH39)^4)-(((CI39)^2-(CH39)^2)^2/(LN(CI39/CH39))))^-1</f>
        <v>3.392489210299487E+19</v>
      </c>
      <c r="CM39">
        <f>CM38+1</f>
        <v>2</v>
      </c>
      <c r="CN39">
        <f>CO38</f>
        <v>5.8934513996915602E-5</v>
      </c>
      <c r="CO39">
        <f t="shared" si="28"/>
        <v>5.9034513996915598E-5</v>
      </c>
      <c r="CP39">
        <f t="shared" ref="CP39:CP48" si="49">((8*$H$1*$H$19)/(3.1415))*(((CO39)^4-(CN39)^4)-(((CO39)^2-(CN39)^2)^2/(LN(CO39/CN39))))^-1</f>
        <v>3.39100435125038E+19</v>
      </c>
      <c r="CS39">
        <f>CS38+1</f>
        <v>2</v>
      </c>
      <c r="CT39">
        <f>CU38</f>
        <v>4.8808824449588424E-5</v>
      </c>
      <c r="CU39">
        <f t="shared" si="29"/>
        <v>4.8908824449588419E-5</v>
      </c>
      <c r="CV39">
        <f t="shared" ref="CV39:CV47" si="50">((8*$H$1*$H$20)/(3.1415))*(((CU39)^4-(CT39)^4)-(((CU39)^2-(CT39)^2)^2/(LN(CU39/CT39))))^-1</f>
        <v>3.3892124215385686E+19</v>
      </c>
      <c r="CY39">
        <f>CY38+1</f>
        <v>2</v>
      </c>
      <c r="CZ39">
        <f>DA38</f>
        <v>4.0425812487976075E-5</v>
      </c>
      <c r="DA39">
        <f t="shared" si="30"/>
        <v>4.0525812487976071E-5</v>
      </c>
      <c r="DB39">
        <f t="shared" ref="DB39:DB46" si="51">((8*$H$1*$H$21)/(3.1415))*(((DA39)^4-(CZ39)^4)-(((DA39)^2-(CZ39)^2)^2/(LN(DA39/CZ39))))^-1</f>
        <v>3.3870507094049149E+19</v>
      </c>
      <c r="DE39">
        <f>DE38+1</f>
        <v>2</v>
      </c>
      <c r="DF39">
        <f>DG38</f>
        <v>3.3485555311408214E-5</v>
      </c>
      <c r="DG39">
        <f t="shared" si="31"/>
        <v>3.358555531140821E-5</v>
      </c>
      <c r="DH39">
        <f t="shared" ref="DH39:DH45" si="52">((8*$H$1*$H$22)/(3.1415))*(((DG39)^4-(DF39)^4)-(((DG39)^2-(DF39)^2)^2/(LN(DG39/DF39))))^-1</f>
        <v>3.3844431649500627E+19</v>
      </c>
      <c r="DK39">
        <f>DK38+1</f>
        <v>2</v>
      </c>
      <c r="DL39">
        <f>DM38</f>
        <v>2.7739748208010322E-5</v>
      </c>
      <c r="DM39">
        <f t="shared" si="32"/>
        <v>2.7839748208010324E-5</v>
      </c>
      <c r="DN39">
        <f t="shared" ref="DN39:DN44" si="53">((8*$H$1*$H$23)/(3.1415))*(((DM39)^4-(DL39)^4)-(((DM39)^2-(DL39)^2)^2/(LN(DM39/DL39))))^-1</f>
        <v>3.3812988906633069E+19</v>
      </c>
      <c r="DQ39">
        <f>DQ38+1</f>
        <v>2</v>
      </c>
      <c r="DR39">
        <f>DS38</f>
        <v>2.2982820845012507E-5</v>
      </c>
      <c r="DS39">
        <f t="shared" si="33"/>
        <v>2.3082820845012509E-5</v>
      </c>
      <c r="DT39">
        <f>((8*$H$1*$H$24)/(3.1415))*(((DS39)^4-(DR39)^4)-(((DS39)^2-(DR39)^2)^2/(LN(DS39/DR39))))^-1</f>
        <v>3.3775087569034543E+19</v>
      </c>
      <c r="DW39">
        <v>2</v>
      </c>
      <c r="DX39">
        <f>DY38</f>
        <v>1.9044582486217699E-5</v>
      </c>
      <c r="DY39">
        <f>$DX$38+DW39*$H$2</f>
        <v>1.9144582486217702E-5</v>
      </c>
      <c r="DZ39">
        <f t="shared" ref="DZ39:DZ42" si="54">((8*$F$1*$H$25)/(3.1415))*(((DY39)^4-(DX39)^4)-(((DY39)^2-(DX39)^2)^2/(LN(DY39/DX39))))^-1</f>
        <v>2.63430553636772E+19</v>
      </c>
      <c r="EC39">
        <v>2</v>
      </c>
      <c r="ED39">
        <f>EE38</f>
        <v>1.5784133001256723E-5</v>
      </c>
      <c r="EE39">
        <f>$ED$38+EC39*$H$2</f>
        <v>1.5884133001256725E-5</v>
      </c>
      <c r="EF39">
        <f t="shared" ref="EF39:EF41" si="55">((8*$F$1*$H$26)/(3.1415))*(((EE39)^4-(ED39)^4)-(((EE39)^2-(ED39)^2)^2/(LN(EE39/ED39))))^-1</f>
        <v>2.6300100601461256E+19</v>
      </c>
      <c r="EI39">
        <v>2</v>
      </c>
      <c r="EJ39">
        <f>EK38</f>
        <v>1.3084821818061774E-5</v>
      </c>
      <c r="EK39">
        <f>$EJ$38+EI39*$H$2</f>
        <v>1.3184821818061773E-5</v>
      </c>
      <c r="EL39">
        <f t="shared" ref="EL39" si="56">((8*$F$1*$H$27)/(3.1415))*(((EK39)^4-(EJ39)^4)-(((EK39)^2-(EJ39)^2)^2/(LN(EK39/EJ39))))^-1</f>
        <v>2.6248401448249754E+19</v>
      </c>
      <c r="EO39">
        <v>2</v>
      </c>
      <c r="EP39">
        <f>EQ38</f>
        <v>1.0850074462726315E-5</v>
      </c>
      <c r="EQ39">
        <f>$EP$38+EO39*$H$2</f>
        <v>1.0950074462726314E-5</v>
      </c>
      <c r="ER39">
        <f>((8*$F$1*$H$28)/(3.1415))*(((EQ39)^4-(EP39)^4)-(((EQ39)^2-(EP39)^2)^2/(LN(EQ39/EP39))))^-1</f>
        <v>2.6186223420643123E+19</v>
      </c>
      <c r="EU39">
        <v>2</v>
      </c>
      <c r="EV39">
        <f>EW38</f>
        <v>8.9999373709858547E-6</v>
      </c>
      <c r="EW39">
        <f>$EV$38+EU39*$H$2</f>
        <v>9.0999373709858537E-6</v>
      </c>
      <c r="EX39">
        <f t="shared" ref="EX39:EX40" si="57">((8*$F$1*$H$29)/(3.1415))*(((EW39)^4-(EV39)^4)-(((EW39)^2-(EV39)^2)^2/(LN(EW39/EV39))))^-1</f>
        <v>2.6111508561245135E+19</v>
      </c>
      <c r="FA39">
        <v>2</v>
      </c>
      <c r="FB39">
        <f>FC38</f>
        <v>7.4682173534807781E-6</v>
      </c>
      <c r="FC39">
        <f>$FB$38+FA39*$H$2</f>
        <v>7.568217353480778E-6</v>
      </c>
      <c r="FD39">
        <f>((8*$F$1*$H$30)/(3.1415))*(((FC39)^4-(FB39)^4)-(((FC39)^2-(FB39)^2)^2/(LN(FC39/FB39))))^-1</f>
        <v>2.6021824372172386E+19</v>
      </c>
      <c r="FG39">
        <v>2</v>
      </c>
      <c r="FH39">
        <f>FI38</f>
        <v>6.2001133721597715E-6</v>
      </c>
      <c r="FI39">
        <f>$FH$38+FG39*$H$2</f>
        <v>6.3001133721597714E-6</v>
      </c>
      <c r="FJ39">
        <f>((8*$F$1*$H$31)/(3.1415))*(((FI39)^4-(FH39)^4)-(((FI39)^2-(FH39)^2)^2/(LN(FI39/FH39))))^-1</f>
        <v>2.5914308758284071E+19</v>
      </c>
    </row>
    <row r="40" spans="1:173" x14ac:dyDescent="0.35">
      <c r="A40">
        <f t="shared" ref="A40:A56" si="58">A39+1</f>
        <v>3</v>
      </c>
      <c r="B40">
        <f t="shared" ref="B40:B57" si="59">C39</f>
        <v>1.0001999999999999E-3</v>
      </c>
      <c r="C40">
        <f t="shared" si="13"/>
        <v>1.0003E-3</v>
      </c>
      <c r="D40">
        <f t="shared" si="34"/>
        <v>5.9692984918578086E+19</v>
      </c>
      <c r="G40">
        <f t="shared" ref="G40:G54" si="60">G39+1</f>
        <v>3</v>
      </c>
      <c r="H40">
        <f t="shared" ref="H40:H57" si="61">I39</f>
        <v>8.2809541615219207E-4</v>
      </c>
      <c r="I40">
        <f t="shared" si="14"/>
        <v>8.2819541615219202E-4</v>
      </c>
      <c r="J40">
        <f t="shared" si="35"/>
        <v>2.6547691545631642E+19</v>
      </c>
      <c r="M40">
        <f t="shared" ref="M40:M54" si="62">M39+1</f>
        <v>3</v>
      </c>
      <c r="N40">
        <f t="shared" ref="N40:N57" si="63">O39</f>
        <v>6.8561082008581123E-4</v>
      </c>
      <c r="O40">
        <f t="shared" si="15"/>
        <v>6.8571082008581118E-4</v>
      </c>
      <c r="P40">
        <f t="shared" si="36"/>
        <v>3.3986639653253169E+19</v>
      </c>
      <c r="S40">
        <f t="shared" ref="S40:S54" si="64">S39+1</f>
        <v>3</v>
      </c>
      <c r="T40">
        <f t="shared" ref="T40:T57" si="65">U39</f>
        <v>5.6764847613015789E-4</v>
      </c>
      <c r="U40">
        <f t="shared" si="16"/>
        <v>5.6774847613015784E-4</v>
      </c>
      <c r="V40">
        <f t="shared" si="37"/>
        <v>2.6541537710460707E+19</v>
      </c>
      <c r="Y40">
        <f t="shared" ref="Y40:Y54" si="66">Y39+1</f>
        <v>3</v>
      </c>
      <c r="Z40">
        <f t="shared" ref="Z40:Z57" si="67">AA39</f>
        <v>4.699879922907043E-4</v>
      </c>
      <c r="AA40">
        <f t="shared" si="17"/>
        <v>4.700879922907043E-4</v>
      </c>
      <c r="AB40">
        <f t="shared" si="38"/>
        <v>2.6537373507987083E+19</v>
      </c>
      <c r="AE40">
        <f t="shared" ref="AE40:AE57" si="68">AE39+1</f>
        <v>3</v>
      </c>
      <c r="AF40">
        <f t="shared" ref="AF40:AF57" si="69">AG39</f>
        <v>3.8913532538081537E-4</v>
      </c>
      <c r="AG40">
        <f t="shared" si="18"/>
        <v>3.8923532538081537E-4</v>
      </c>
      <c r="AH40">
        <f t="shared" si="39"/>
        <v>2.6534642786686632E+19</v>
      </c>
      <c r="AK40">
        <f t="shared" ref="AK40:AK57" si="70">AK39+1</f>
        <v>3</v>
      </c>
      <c r="AL40">
        <f t="shared" ref="AL40:AL57" si="71">AM39</f>
        <v>3.2219777306243842E-4</v>
      </c>
      <c r="AM40">
        <f t="shared" si="19"/>
        <v>3.2229777306243843E-4</v>
      </c>
      <c r="AN40">
        <f t="shared" si="40"/>
        <v>2.6531097924214866E+19</v>
      </c>
      <c r="AQ40">
        <f t="shared" ref="AQ40:AQ57" si="72">AQ39+1</f>
        <v>3</v>
      </c>
      <c r="AR40">
        <f t="shared" ref="AR40:AR56" si="73">AS39</f>
        <v>2.6678048032960659E-4</v>
      </c>
      <c r="AS40">
        <f t="shared" si="20"/>
        <v>2.6688048032960659E-4</v>
      </c>
      <c r="AT40">
        <f t="shared" si="41"/>
        <v>2.6526599337640571E+19</v>
      </c>
      <c r="AW40">
        <f t="shared" ref="AW40:AW57" si="74">AW39+1</f>
        <v>3</v>
      </c>
      <c r="AX40">
        <f t="shared" ref="AX40:AX55" si="75">AY39</f>
        <v>2.2090075770053087E-4</v>
      </c>
      <c r="AY40">
        <f t="shared" si="21"/>
        <v>2.2100075770053088E-4</v>
      </c>
      <c r="AZ40">
        <f t="shared" si="42"/>
        <v>2.6521642469283189E+19</v>
      </c>
      <c r="BC40">
        <f t="shared" ref="BC40:BC56" si="76">BC39+1</f>
        <v>3</v>
      </c>
      <c r="BD40">
        <f t="shared" ref="BD40:BD54" si="77">BE39</f>
        <v>1.8291714564158508E-4</v>
      </c>
      <c r="BE40">
        <f t="shared" si="22"/>
        <v>1.8301714564158508E-4</v>
      </c>
      <c r="BF40">
        <f t="shared" si="43"/>
        <v>2.6515386901018296E+19</v>
      </c>
      <c r="BI40">
        <f t="shared" ref="BI40:BI55" si="78">BI39+1</f>
        <v>3</v>
      </c>
      <c r="BJ40">
        <f t="shared" ref="BJ40:BJ53" si="79">BK39</f>
        <v>1.5147068732908076E-4</v>
      </c>
      <c r="BK40">
        <f t="shared" si="23"/>
        <v>1.5157068732908076E-4</v>
      </c>
      <c r="BL40">
        <f t="shared" si="44"/>
        <v>2.6507849704919896E+19</v>
      </c>
      <c r="BO40">
        <f t="shared" ref="BO40:BO54" si="80">BO39+1</f>
        <v>3</v>
      </c>
      <c r="BP40">
        <f t="shared" ref="BP40:BP52" si="81">BQ39</f>
        <v>1.2543630863793746E-4</v>
      </c>
      <c r="BQ40">
        <f t="shared" si="24"/>
        <v>1.2553630863793746E-4</v>
      </c>
      <c r="BR40">
        <f t="shared" si="45"/>
        <v>2.6498757668401807E+19</v>
      </c>
      <c r="BU40">
        <f t="shared" ref="BU40:BU53" si="82">BU39+1</f>
        <v>3</v>
      </c>
      <c r="BV40">
        <f t="shared" ref="BV40:BV51" si="83">BW39</f>
        <v>1.0388256585716963E-4</v>
      </c>
      <c r="BW40">
        <f t="shared" si="25"/>
        <v>1.0398256585716961E-4</v>
      </c>
      <c r="BX40">
        <f t="shared" si="46"/>
        <v>2.6487790175245763E+19</v>
      </c>
      <c r="CA40">
        <f t="shared" ref="CA40:CA52" si="84">CA39+1</f>
        <v>3</v>
      </c>
      <c r="CB40">
        <f t="shared" ref="CB40:CB50" si="85">CC39</f>
        <v>8.603832100804849E-5</v>
      </c>
      <c r="CC40">
        <f t="shared" si="26"/>
        <v>8.6138321008048479E-5</v>
      </c>
      <c r="CD40">
        <f t="shared" si="47"/>
        <v>3.3897778533412786E+19</v>
      </c>
      <c r="CG40">
        <f t="shared" ref="CG40:CG51" si="86">CG39+1</f>
        <v>3</v>
      </c>
      <c r="CH40">
        <f t="shared" ref="CH40:CH49" si="87">CI39</f>
        <v>7.126515249276374E-5</v>
      </c>
      <c r="CI40">
        <f t="shared" si="27"/>
        <v>7.1365152492763729E-5</v>
      </c>
      <c r="CJ40">
        <f t="shared" si="48"/>
        <v>3.3877323956864881E+19</v>
      </c>
      <c r="CM40">
        <f t="shared" ref="CM40:CM50" si="88">CM39+1</f>
        <v>3</v>
      </c>
      <c r="CN40">
        <f t="shared" ref="CN40:CN48" si="89">CO39</f>
        <v>5.9034513996915598E-5</v>
      </c>
      <c r="CO40">
        <f t="shared" si="28"/>
        <v>5.91345139969156E-5</v>
      </c>
      <c r="CP40">
        <f t="shared" si="49"/>
        <v>3.3852650712344158E+19</v>
      </c>
      <c r="CS40">
        <f t="shared" ref="CS40:CS49" si="90">CS39+1</f>
        <v>3</v>
      </c>
      <c r="CT40">
        <f t="shared" ref="CT40:CT47" si="91">CU39</f>
        <v>4.8908824449588419E-5</v>
      </c>
      <c r="CU40">
        <f t="shared" si="29"/>
        <v>4.9008824449588422E-5</v>
      </c>
      <c r="CV40">
        <f t="shared" si="50"/>
        <v>3.3822900123091481E+19</v>
      </c>
      <c r="CY40">
        <f t="shared" ref="CY40:CY48" si="92">CY39+1</f>
        <v>3</v>
      </c>
      <c r="CZ40">
        <f t="shared" ref="CZ40:CZ46" si="93">DA39</f>
        <v>4.0525812487976071E-5</v>
      </c>
      <c r="DA40">
        <f t="shared" si="30"/>
        <v>4.0625812487976073E-5</v>
      </c>
      <c r="DB40">
        <f t="shared" si="51"/>
        <v>3.3787031984794821E+19</v>
      </c>
      <c r="DE40">
        <f t="shared" ref="DE40:DE47" si="94">DE39+1</f>
        <v>3</v>
      </c>
      <c r="DF40">
        <f t="shared" ref="DF40:DF45" si="95">DG39</f>
        <v>3.358555531140821E-5</v>
      </c>
      <c r="DG40">
        <f t="shared" si="31"/>
        <v>3.3685555311408212E-5</v>
      </c>
      <c r="DH40">
        <f t="shared" si="52"/>
        <v>3.3743811252105871E+19</v>
      </c>
      <c r="DK40">
        <f t="shared" ref="DK40:DK46" si="96">DK39+1</f>
        <v>3</v>
      </c>
      <c r="DL40">
        <f t="shared" ref="DL40:DL44" si="97">DM39</f>
        <v>2.7839748208010324E-5</v>
      </c>
      <c r="DM40">
        <f t="shared" si="32"/>
        <v>2.7939748208010324E-5</v>
      </c>
      <c r="DN40">
        <f t="shared" si="53"/>
        <v>3.369175110366865E+19</v>
      </c>
      <c r="DQ40">
        <f t="shared" ref="DQ40:DQ45" si="98">DQ39+1</f>
        <v>3</v>
      </c>
      <c r="DR40">
        <f t="shared" ref="DR40:DR43" si="99">DS39</f>
        <v>2.3082820845012509E-5</v>
      </c>
      <c r="DS40">
        <f t="shared" si="33"/>
        <v>2.3182820845012508E-5</v>
      </c>
      <c r="DT40">
        <f t="shared" ref="DT40:DT43" si="100">((8*$H$1*$H$24)/(3.1415))*(((DS40)^4-(DR40)^4)-(((DS40)^2-(DR40)^2)^2/(LN(DS40/DR40))))^-1</f>
        <v>3.3629082595291009E+19</v>
      </c>
      <c r="DW40">
        <v>3</v>
      </c>
      <c r="DX40">
        <f t="shared" ref="DX40:DX42" si="101">DY39</f>
        <v>1.9144582486217702E-5</v>
      </c>
      <c r="DY40">
        <f>$DX$38+DW40*$H$2</f>
        <v>1.9244582486217701E-5</v>
      </c>
      <c r="DZ40">
        <f t="shared" si="54"/>
        <v>2.6205813274378895E+19</v>
      </c>
      <c r="EC40">
        <v>3</v>
      </c>
      <c r="ED40">
        <f t="shared" ref="ED40:ED41" si="102">EE39</f>
        <v>1.5884133001256725E-5</v>
      </c>
      <c r="EE40">
        <f>$ED$38+EC40*$H$2</f>
        <v>1.5984133001256724E-5</v>
      </c>
      <c r="EF40">
        <f t="shared" si="55"/>
        <v>2.6135045700406288E+19</v>
      </c>
      <c r="EI40">
        <v>3</v>
      </c>
      <c r="EJ40">
        <f t="shared" ref="EJ40" si="103">EK39</f>
        <v>1.3184821818061773E-5</v>
      </c>
      <c r="EK40">
        <f>$EJ$38+EI40*$H$2</f>
        <v>1.3284821818061774E-5</v>
      </c>
      <c r="EL40">
        <f>((8*$F$1*$H$27)/(3.1415))*(((EK40)^4-(EJ40)^4)-(((EK40)^2-(EJ40)^2)^2/(LN(EK40/EJ40))))^-1</f>
        <v>2.6050073518635446E+19</v>
      </c>
      <c r="EO40">
        <v>3</v>
      </c>
      <c r="EP40">
        <f t="shared" ref="EP40:EP41" si="104">EQ39</f>
        <v>1.0950074462726314E-5</v>
      </c>
      <c r="EQ40">
        <f t="shared" ref="EQ40:EQ41" si="105">$EP$38+EO40*$H$2</f>
        <v>1.1050074462726315E-5</v>
      </c>
      <c r="ER40">
        <f t="shared" ref="ER40:ER41" si="106">((8*$F$1*$H$28)/(3.1415))*(((EQ40)^4-(EP40)^4)-(((EQ40)^2-(EP40)^2)^2/(LN(EQ40/EP40))))^-1</f>
        <v>2.5948169129469129E+19</v>
      </c>
      <c r="EU40">
        <v>3</v>
      </c>
      <c r="EV40">
        <f>EW39</f>
        <v>9.0999373709858537E-6</v>
      </c>
      <c r="EW40">
        <f>$EV$38+EU40*$H$2</f>
        <v>9.1999373709858545E-6</v>
      </c>
      <c r="EX40">
        <f t="shared" si="57"/>
        <v>2.5826136089018384E+19</v>
      </c>
      <c r="FA40">
        <v>3</v>
      </c>
      <c r="FB40">
        <f>FC39</f>
        <v>7.568217353480778E-6</v>
      </c>
      <c r="FC40">
        <f>$FB$38+FA40*$H$2</f>
        <v>7.6682173534807779E-6</v>
      </c>
      <c r="FD40">
        <f>((8*$F$1*$H$30)/(3.1415))*(((FC40)^4-(FB40)^4)-(((FC40)^2-(FB40)^2)^2/(LN(FC40/FB40))))^-1</f>
        <v>2.5680252676691939E+19</v>
      </c>
    </row>
    <row r="41" spans="1:173" x14ac:dyDescent="0.35">
      <c r="A41">
        <f t="shared" si="58"/>
        <v>4</v>
      </c>
      <c r="B41">
        <f t="shared" si="59"/>
        <v>1.0003E-3</v>
      </c>
      <c r="C41">
        <f t="shared" si="13"/>
        <v>1.0004E-3</v>
      </c>
      <c r="D41">
        <f t="shared" si="34"/>
        <v>5.9707306699110334E+19</v>
      </c>
      <c r="G41">
        <f t="shared" si="60"/>
        <v>4</v>
      </c>
      <c r="H41">
        <f t="shared" si="61"/>
        <v>8.2819541615219202E-4</v>
      </c>
      <c r="I41">
        <f t="shared" si="14"/>
        <v>8.2829541615219208E-4</v>
      </c>
      <c r="J41">
        <f t="shared" si="35"/>
        <v>2.6546166986339426E+19</v>
      </c>
      <c r="M41">
        <f t="shared" si="62"/>
        <v>4</v>
      </c>
      <c r="N41">
        <f t="shared" si="63"/>
        <v>6.8571082008581118E-4</v>
      </c>
      <c r="O41">
        <f t="shared" si="15"/>
        <v>6.8581082008581124E-4</v>
      </c>
      <c r="P41">
        <f t="shared" si="36"/>
        <v>3.398051197375302E+19</v>
      </c>
      <c r="S41">
        <f t="shared" si="64"/>
        <v>4</v>
      </c>
      <c r="T41">
        <f t="shared" si="65"/>
        <v>5.6774847613015784E-4</v>
      </c>
      <c r="U41">
        <f t="shared" si="16"/>
        <v>5.678484761301579E-4</v>
      </c>
      <c r="V41">
        <f t="shared" si="37"/>
        <v>2.6533925279706456E+19</v>
      </c>
      <c r="Y41">
        <f t="shared" si="66"/>
        <v>4</v>
      </c>
      <c r="Z41">
        <f t="shared" si="67"/>
        <v>4.700879922907043E-4</v>
      </c>
      <c r="AA41">
        <f t="shared" si="17"/>
        <v>4.7018799229070431E-4</v>
      </c>
      <c r="AB41">
        <f t="shared" si="38"/>
        <v>2.6533005753820246E+19</v>
      </c>
      <c r="AE41">
        <f t="shared" si="68"/>
        <v>4</v>
      </c>
      <c r="AF41">
        <f t="shared" si="69"/>
        <v>3.8923532538081537E-4</v>
      </c>
      <c r="AG41">
        <f t="shared" si="18"/>
        <v>3.8933532538081538E-4</v>
      </c>
      <c r="AH41">
        <f t="shared" si="39"/>
        <v>2.6528135709058294E+19</v>
      </c>
      <c r="AK41">
        <f t="shared" si="70"/>
        <v>4</v>
      </c>
      <c r="AL41">
        <f t="shared" si="71"/>
        <v>3.2229777306243843E-4</v>
      </c>
      <c r="AM41">
        <f t="shared" si="19"/>
        <v>3.2239777306243843E-4</v>
      </c>
      <c r="AN41">
        <f t="shared" si="40"/>
        <v>2.652255273817831E+19</v>
      </c>
      <c r="AQ41">
        <f t="shared" si="72"/>
        <v>4</v>
      </c>
      <c r="AR41">
        <f t="shared" si="73"/>
        <v>2.6688048032960659E-4</v>
      </c>
      <c r="AS41">
        <f t="shared" si="20"/>
        <v>2.669804803296066E-4</v>
      </c>
      <c r="AT41">
        <f t="shared" si="41"/>
        <v>2.6516868761167811E+19</v>
      </c>
      <c r="AW41">
        <f t="shared" si="74"/>
        <v>4</v>
      </c>
      <c r="AX41">
        <f t="shared" si="75"/>
        <v>2.2100075770053088E-4</v>
      </c>
      <c r="AY41">
        <f t="shared" si="21"/>
        <v>2.2110075770053088E-4</v>
      </c>
      <c r="AZ41">
        <f t="shared" si="42"/>
        <v>2.6509695778739835E+19</v>
      </c>
      <c r="BC41">
        <f t="shared" si="76"/>
        <v>4</v>
      </c>
      <c r="BD41">
        <f t="shared" si="77"/>
        <v>1.8301714564158508E-4</v>
      </c>
      <c r="BE41">
        <f t="shared" si="22"/>
        <v>1.8311714564158508E-4</v>
      </c>
      <c r="BF41">
        <f t="shared" si="43"/>
        <v>2.6500809586304647E+19</v>
      </c>
      <c r="BI41">
        <f t="shared" si="78"/>
        <v>4</v>
      </c>
      <c r="BJ41">
        <f t="shared" si="79"/>
        <v>1.5157068732908076E-4</v>
      </c>
      <c r="BK41">
        <f t="shared" si="23"/>
        <v>1.5167068732908077E-4</v>
      </c>
      <c r="BL41">
        <f t="shared" si="44"/>
        <v>2.6490336669091582E+19</v>
      </c>
      <c r="BO41">
        <f t="shared" si="80"/>
        <v>4</v>
      </c>
      <c r="BP41">
        <f t="shared" si="81"/>
        <v>1.2553630863793746E-4</v>
      </c>
      <c r="BQ41">
        <f t="shared" si="24"/>
        <v>1.2563630863793746E-4</v>
      </c>
      <c r="BR41">
        <f t="shared" si="45"/>
        <v>2.6477667453929255E+19</v>
      </c>
      <c r="BU41">
        <f t="shared" si="82"/>
        <v>4</v>
      </c>
      <c r="BV41">
        <f t="shared" si="83"/>
        <v>1.0398256585716961E-4</v>
      </c>
      <c r="BW41">
        <f t="shared" si="25"/>
        <v>1.0408256585716962E-4</v>
      </c>
      <c r="BX41">
        <f t="shared" si="46"/>
        <v>2.6462313300745478E+19</v>
      </c>
      <c r="CA41">
        <f t="shared" si="84"/>
        <v>4</v>
      </c>
      <c r="CB41">
        <f t="shared" si="85"/>
        <v>8.6138321008048479E-5</v>
      </c>
      <c r="CC41">
        <f t="shared" si="26"/>
        <v>8.6238321008048481E-5</v>
      </c>
      <c r="CD41">
        <f t="shared" si="47"/>
        <v>3.3858435989202907E+19</v>
      </c>
      <c r="CG41">
        <f t="shared" si="86"/>
        <v>4</v>
      </c>
      <c r="CH41">
        <f t="shared" si="87"/>
        <v>7.1365152492763729E-5</v>
      </c>
      <c r="CI41">
        <f t="shared" si="27"/>
        <v>7.1465152492763731E-5</v>
      </c>
      <c r="CJ41">
        <f t="shared" si="48"/>
        <v>3.3829887369569247E+19</v>
      </c>
      <c r="CM41">
        <f t="shared" si="88"/>
        <v>4</v>
      </c>
      <c r="CN41">
        <f t="shared" si="89"/>
        <v>5.91345139969156E-5</v>
      </c>
      <c r="CO41">
        <f t="shared" si="28"/>
        <v>5.9234513996915602E-5</v>
      </c>
      <c r="CP41">
        <f t="shared" si="49"/>
        <v>3.379545122466288E+19</v>
      </c>
      <c r="CS41">
        <f t="shared" si="90"/>
        <v>4</v>
      </c>
      <c r="CT41">
        <f t="shared" si="91"/>
        <v>4.9008824449588422E-5</v>
      </c>
      <c r="CU41">
        <f t="shared" si="29"/>
        <v>4.9108824449588424E-5</v>
      </c>
      <c r="CV41">
        <f t="shared" si="50"/>
        <v>3.3753955049146798E+19</v>
      </c>
      <c r="CY41">
        <f t="shared" si="92"/>
        <v>4</v>
      </c>
      <c r="CZ41">
        <f t="shared" si="93"/>
        <v>4.0625812487976073E-5</v>
      </c>
      <c r="DA41">
        <f t="shared" si="30"/>
        <v>4.0725812487976076E-5</v>
      </c>
      <c r="DB41">
        <f t="shared" si="51"/>
        <v>3.3703968444740112E+19</v>
      </c>
      <c r="DE41">
        <f t="shared" si="94"/>
        <v>4</v>
      </c>
      <c r="DF41">
        <f t="shared" si="95"/>
        <v>3.3685555311408212E-5</v>
      </c>
      <c r="DG41">
        <f t="shared" si="31"/>
        <v>3.3785555311408215E-5</v>
      </c>
      <c r="DH41">
        <f t="shared" si="52"/>
        <v>3.3643786720500244E+19</v>
      </c>
      <c r="DK41">
        <f t="shared" si="96"/>
        <v>4</v>
      </c>
      <c r="DL41">
        <f t="shared" si="97"/>
        <v>2.7939748208010324E-5</v>
      </c>
      <c r="DM41">
        <f t="shared" si="32"/>
        <v>2.8039748208010323E-5</v>
      </c>
      <c r="DN41">
        <f t="shared" si="53"/>
        <v>3.3571379221400953E+19</v>
      </c>
      <c r="DQ41">
        <f t="shared" si="98"/>
        <v>4</v>
      </c>
      <c r="DR41">
        <f t="shared" si="99"/>
        <v>2.3182820845012508E-5</v>
      </c>
      <c r="DS41">
        <f t="shared" si="33"/>
        <v>2.3282820845012508E-5</v>
      </c>
      <c r="DT41">
        <f t="shared" si="100"/>
        <v>3.3484334387592634E+19</v>
      </c>
      <c r="DW41">
        <v>4</v>
      </c>
      <c r="DX41">
        <f t="shared" si="101"/>
        <v>1.9244582486217701E-5</v>
      </c>
      <c r="DY41">
        <f>$DX$38+DW41*$H$2</f>
        <v>1.93445824862177E-5</v>
      </c>
      <c r="DZ41">
        <f t="shared" si="54"/>
        <v>2.6069993882733683E+19</v>
      </c>
      <c r="EC41">
        <v>4</v>
      </c>
      <c r="ED41">
        <f t="shared" si="102"/>
        <v>1.5984133001256724E-5</v>
      </c>
      <c r="EE41">
        <f>$ED$38+EC41*$H$2</f>
        <v>1.6084133001256723E-5</v>
      </c>
      <c r="EF41">
        <f t="shared" si="55"/>
        <v>2.5972049589613777E+19</v>
      </c>
      <c r="EI41">
        <v>4</v>
      </c>
      <c r="EJ41">
        <f t="shared" ref="EJ41:EJ42" si="107">EK40</f>
        <v>1.3284821818061774E-5</v>
      </c>
      <c r="EK41">
        <f>$EJ$38+EI41*$H$2</f>
        <v>1.3384821818061773E-5</v>
      </c>
      <c r="EL41">
        <f>((8*$F$1*$H$27)/(3.1415))*(((EK41)^4-(EJ41)^4)-(((EK41)^2-(EJ41)^2)^2/(LN(EK41/EJ41))))^-1</f>
        <v>2.5854720134611751E+19</v>
      </c>
      <c r="EO41">
        <v>4</v>
      </c>
      <c r="EP41">
        <f t="shared" si="104"/>
        <v>1.1050074462726315E-5</v>
      </c>
      <c r="EQ41">
        <f t="shared" si="105"/>
        <v>1.1150074462726314E-5</v>
      </c>
      <c r="ER41">
        <f t="shared" si="106"/>
        <v>2.5714404034749604E+19</v>
      </c>
      <c r="EU41">
        <v>4</v>
      </c>
      <c r="EV41">
        <f>EW40</f>
        <v>9.1999373709858545E-6</v>
      </c>
      <c r="EW41">
        <f>$EV$38+EU41*$H$2</f>
        <v>9.2999373709858535E-6</v>
      </c>
      <c r="EX41">
        <f t="shared" ref="EX41" si="108">((8*$F$1*$H$29)/(3.1415))*(((EW41)^4-(EV41)^4)-(((EW41)^2-(EV41)^2)^2/(LN(EW41/EV41))))^-1</f>
        <v>2.5546933816371311E+19</v>
      </c>
    </row>
    <row r="42" spans="1:173" x14ac:dyDescent="0.35">
      <c r="A42">
        <f t="shared" si="58"/>
        <v>5</v>
      </c>
      <c r="B42">
        <f t="shared" si="59"/>
        <v>1.0004E-3</v>
      </c>
      <c r="C42">
        <f t="shared" si="13"/>
        <v>1.0005000000000001E-3</v>
      </c>
      <c r="D42">
        <f t="shared" si="34"/>
        <v>5.9715039610420642E+19</v>
      </c>
      <c r="G42">
        <f t="shared" si="60"/>
        <v>5</v>
      </c>
      <c r="H42">
        <f t="shared" si="61"/>
        <v>8.2829541615219208E-4</v>
      </c>
      <c r="I42">
        <f t="shared" si="14"/>
        <v>8.2839541615219202E-4</v>
      </c>
      <c r="J42">
        <f t="shared" si="35"/>
        <v>2.6535818602296132E+19</v>
      </c>
      <c r="M42">
        <f t="shared" si="62"/>
        <v>5</v>
      </c>
      <c r="N42">
        <f t="shared" si="63"/>
        <v>6.8581082008581124E-4</v>
      </c>
      <c r="O42">
        <f t="shared" si="15"/>
        <v>6.8591082008581119E-4</v>
      </c>
      <c r="P42">
        <f t="shared" si="36"/>
        <v>3.3972668434099491E+19</v>
      </c>
      <c r="S42">
        <f t="shared" si="64"/>
        <v>5</v>
      </c>
      <c r="T42">
        <f t="shared" si="65"/>
        <v>5.678484761301579E-4</v>
      </c>
      <c r="U42">
        <f t="shared" si="16"/>
        <v>5.6794847613015785E-4</v>
      </c>
      <c r="V42">
        <f t="shared" si="37"/>
        <v>2.6530773472980177E+19</v>
      </c>
      <c r="Y42">
        <f t="shared" si="66"/>
        <v>5</v>
      </c>
      <c r="Z42">
        <f t="shared" si="67"/>
        <v>4.7018799229070431E-4</v>
      </c>
      <c r="AA42">
        <f t="shared" si="17"/>
        <v>4.7028799229070431E-4</v>
      </c>
      <c r="AB42">
        <f t="shared" si="38"/>
        <v>2.6527007784417047E+19</v>
      </c>
      <c r="AE42">
        <f t="shared" si="68"/>
        <v>5</v>
      </c>
      <c r="AF42">
        <f t="shared" si="69"/>
        <v>3.8933532538081538E-4</v>
      </c>
      <c r="AG42">
        <f t="shared" si="18"/>
        <v>3.8943532538081538E-4</v>
      </c>
      <c r="AH42">
        <f t="shared" si="39"/>
        <v>2.6521130456446169E+19</v>
      </c>
      <c r="AK42">
        <f t="shared" si="70"/>
        <v>5</v>
      </c>
      <c r="AL42">
        <f t="shared" si="71"/>
        <v>3.2239777306243843E-4</v>
      </c>
      <c r="AM42">
        <f t="shared" si="19"/>
        <v>3.2249777306243843E-4</v>
      </c>
      <c r="AN42">
        <f t="shared" si="40"/>
        <v>2.6514509429557338E+19</v>
      </c>
      <c r="AQ42">
        <f t="shared" si="72"/>
        <v>5</v>
      </c>
      <c r="AR42">
        <f t="shared" si="73"/>
        <v>2.669804803296066E-4</v>
      </c>
      <c r="AS42">
        <f t="shared" si="20"/>
        <v>2.670804803296066E-4</v>
      </c>
      <c r="AT42">
        <f t="shared" si="41"/>
        <v>2.6507042427227943E+19</v>
      </c>
      <c r="AW42">
        <f t="shared" si="74"/>
        <v>5</v>
      </c>
      <c r="AX42">
        <f t="shared" si="75"/>
        <v>2.2110075770053088E-4</v>
      </c>
      <c r="AY42">
        <f t="shared" si="21"/>
        <v>2.2120075770053088E-4</v>
      </c>
      <c r="AZ42">
        <f t="shared" si="42"/>
        <v>2.6497698025255141E+19</v>
      </c>
      <c r="BC42">
        <f t="shared" si="76"/>
        <v>5</v>
      </c>
      <c r="BD42">
        <f t="shared" si="77"/>
        <v>1.8311714564158508E-4</v>
      </c>
      <c r="BE42">
        <f t="shared" si="22"/>
        <v>1.8321714564158509E-4</v>
      </c>
      <c r="BF42">
        <f t="shared" si="43"/>
        <v>2.6486423448917168E+19</v>
      </c>
      <c r="BI42">
        <f t="shared" si="78"/>
        <v>5</v>
      </c>
      <c r="BJ42">
        <f t="shared" si="79"/>
        <v>1.5167068732908077E-4</v>
      </c>
      <c r="BK42">
        <f t="shared" si="23"/>
        <v>1.5177068732908077E-4</v>
      </c>
      <c r="BL42">
        <f t="shared" si="44"/>
        <v>2.6472899030457696E+19</v>
      </c>
      <c r="BO42">
        <f t="shared" si="80"/>
        <v>5</v>
      </c>
      <c r="BP42">
        <f t="shared" si="81"/>
        <v>1.2563630863793746E-4</v>
      </c>
      <c r="BQ42">
        <f t="shared" si="24"/>
        <v>1.2573630863793746E-4</v>
      </c>
      <c r="BR42">
        <f t="shared" si="45"/>
        <v>2.6456585501995688E+19</v>
      </c>
      <c r="BU42">
        <f t="shared" si="82"/>
        <v>5</v>
      </c>
      <c r="BV42">
        <f t="shared" si="83"/>
        <v>1.0408256585716962E-4</v>
      </c>
      <c r="BW42">
        <f t="shared" si="25"/>
        <v>1.0418256585716962E-4</v>
      </c>
      <c r="BX42">
        <f t="shared" si="46"/>
        <v>2.6436903742181618E+19</v>
      </c>
      <c r="CA42">
        <f t="shared" si="84"/>
        <v>5</v>
      </c>
      <c r="CB42">
        <f t="shared" si="85"/>
        <v>8.6238321008048481E-5</v>
      </c>
      <c r="CC42">
        <f t="shared" si="26"/>
        <v>8.6338321008048484E-5</v>
      </c>
      <c r="CD42">
        <f t="shared" si="47"/>
        <v>3.3819201462631838E+19</v>
      </c>
      <c r="CG42">
        <f t="shared" si="86"/>
        <v>5</v>
      </c>
      <c r="CH42">
        <f t="shared" si="87"/>
        <v>7.1465152492763731E-5</v>
      </c>
      <c r="CI42">
        <f t="shared" si="27"/>
        <v>7.1565152492763734E-5</v>
      </c>
      <c r="CJ42">
        <f t="shared" si="48"/>
        <v>3.3782578930371473E+19</v>
      </c>
      <c r="CM42">
        <f t="shared" si="88"/>
        <v>5</v>
      </c>
      <c r="CN42">
        <f t="shared" si="89"/>
        <v>5.9234513996915602E-5</v>
      </c>
      <c r="CO42">
        <f t="shared" si="28"/>
        <v>5.9334513996915598E-5</v>
      </c>
      <c r="CP42">
        <f t="shared" si="49"/>
        <v>3.3738446853904806E+19</v>
      </c>
      <c r="CS42">
        <f t="shared" si="90"/>
        <v>5</v>
      </c>
      <c r="CT42">
        <f t="shared" si="91"/>
        <v>4.9108824449588424E-5</v>
      </c>
      <c r="CU42">
        <f t="shared" si="29"/>
        <v>4.920882444958842E-5</v>
      </c>
      <c r="CV42">
        <f t="shared" si="50"/>
        <v>3.3685290793027793E+19</v>
      </c>
      <c r="CY42">
        <f t="shared" si="92"/>
        <v>5</v>
      </c>
      <c r="CZ42">
        <f t="shared" si="93"/>
        <v>4.0725812487976076E-5</v>
      </c>
      <c r="DA42">
        <f t="shared" si="30"/>
        <v>4.0825812487976071E-5</v>
      </c>
      <c r="DB42">
        <f t="shared" si="51"/>
        <v>3.3621311892980634E+19</v>
      </c>
      <c r="DE42">
        <f t="shared" si="94"/>
        <v>5</v>
      </c>
      <c r="DF42">
        <f t="shared" si="95"/>
        <v>3.3785555311408215E-5</v>
      </c>
      <c r="DG42">
        <f t="shared" si="31"/>
        <v>3.388555531140821E-5</v>
      </c>
      <c r="DH42">
        <f t="shared" si="52"/>
        <v>3.3544353142029853E+19</v>
      </c>
      <c r="DK42">
        <f t="shared" si="96"/>
        <v>5</v>
      </c>
      <c r="DL42">
        <f t="shared" si="97"/>
        <v>2.8039748208010323E-5</v>
      </c>
      <c r="DM42">
        <f t="shared" si="32"/>
        <v>2.8139748208010322E-5</v>
      </c>
      <c r="DN42">
        <f t="shared" si="53"/>
        <v>3.3451864541264966E+19</v>
      </c>
      <c r="DQ42">
        <f t="shared" si="98"/>
        <v>5</v>
      </c>
      <c r="DR42">
        <f t="shared" si="99"/>
        <v>2.3282820845012508E-5</v>
      </c>
      <c r="DS42">
        <f t="shared" si="33"/>
        <v>2.3382820845012507E-5</v>
      </c>
      <c r="DT42">
        <f t="shared" si="100"/>
        <v>3.3340827069268394E+19</v>
      </c>
      <c r="DW42">
        <v>5</v>
      </c>
      <c r="DX42">
        <f t="shared" si="101"/>
        <v>1.93445824862177E-5</v>
      </c>
      <c r="DY42">
        <f>$DX$38+DW42*$H$2</f>
        <v>1.9444582486217699E-5</v>
      </c>
      <c r="DZ42">
        <f t="shared" si="54"/>
        <v>2.5935575073049571E+19</v>
      </c>
      <c r="EC42">
        <v>5</v>
      </c>
      <c r="ED42">
        <f t="shared" ref="ED42:ED43" si="109">EE41</f>
        <v>1.6084133001256723E-5</v>
      </c>
      <c r="EE42">
        <f t="shared" ref="EE42:EE43" si="110">$ED$38+EC42*$H$2</f>
        <v>1.6184133001256722E-5</v>
      </c>
      <c r="EF42">
        <f t="shared" ref="EF42:EF43" si="111">((8*$F$1*$H$26)/(3.1415))*(((EE42)^4-(ED42)^4)-(((EE42)^2-(ED42)^2)^2/(LN(EE42/ED42))))^-1</f>
        <v>2.5811073986861494E+19</v>
      </c>
      <c r="EI42">
        <v>5</v>
      </c>
      <c r="EJ42">
        <f t="shared" si="107"/>
        <v>1.3384821818061773E-5</v>
      </c>
      <c r="EK42">
        <f t="shared" ref="EK42" si="112">$EJ$38+EI42*$H$2</f>
        <v>1.3484821818061773E-5</v>
      </c>
      <c r="EL42">
        <f t="shared" ref="EL42" si="113">((8*$F$1*$H$27)/(3.1415))*(((EK42)^4-(EJ42)^4)-(((EK42)^2-(EJ42)^2)^2/(LN(EK42/EJ42))))^-1</f>
        <v>2.5662274900723159E+19</v>
      </c>
      <c r="EO42">
        <v>5</v>
      </c>
      <c r="EP42">
        <f t="shared" ref="EP42" si="114">EQ41</f>
        <v>1.1150074462726314E-5</v>
      </c>
      <c r="EQ42">
        <f t="shared" ref="EQ42" si="115">$EP$38+EO42*$H$2</f>
        <v>1.1250074462726315E-5</v>
      </c>
      <c r="ER42">
        <f t="shared" ref="ER42" si="116">((8*$F$1*$H$28)/(3.1415))*(((EQ42)^4-(EP42)^4)-(((EQ42)^2-(EP42)^2)^2/(LN(EQ42/EP42))))^-1</f>
        <v>2.5484813290558325E+19</v>
      </c>
    </row>
    <row r="43" spans="1:173" x14ac:dyDescent="0.35">
      <c r="A43">
        <f t="shared" si="58"/>
        <v>6</v>
      </c>
      <c r="B43">
        <f t="shared" si="59"/>
        <v>1.0005000000000001E-3</v>
      </c>
      <c r="C43">
        <f t="shared" si="13"/>
        <v>1.0005999999999999E-3</v>
      </c>
      <c r="D43">
        <f t="shared" si="34"/>
        <v>5.9705475281190699E+19</v>
      </c>
      <c r="G43">
        <f t="shared" si="60"/>
        <v>6</v>
      </c>
      <c r="H43">
        <f t="shared" si="61"/>
        <v>8.2839541615219202E-4</v>
      </c>
      <c r="I43">
        <f t="shared" si="14"/>
        <v>8.2849541615219208E-4</v>
      </c>
      <c r="J43">
        <f t="shared" si="35"/>
        <v>2.6537170200200692E+19</v>
      </c>
      <c r="M43">
        <f t="shared" si="62"/>
        <v>6</v>
      </c>
      <c r="N43">
        <f t="shared" si="63"/>
        <v>6.8591082008581119E-4</v>
      </c>
      <c r="O43">
        <f t="shared" si="15"/>
        <v>6.8601082008581124E-4</v>
      </c>
      <c r="P43">
        <f t="shared" si="36"/>
        <v>3.3968928845559177E+19</v>
      </c>
      <c r="S43">
        <f t="shared" si="64"/>
        <v>6</v>
      </c>
      <c r="T43">
        <f t="shared" si="65"/>
        <v>5.6794847613015785E-4</v>
      </c>
      <c r="U43">
        <f t="shared" si="16"/>
        <v>5.680484761301579E-4</v>
      </c>
      <c r="V43">
        <f t="shared" si="37"/>
        <v>2.6525652358404506E+19</v>
      </c>
      <c r="Y43">
        <f t="shared" si="66"/>
        <v>6</v>
      </c>
      <c r="Z43">
        <f t="shared" si="67"/>
        <v>4.7028799229070431E-4</v>
      </c>
      <c r="AA43">
        <f t="shared" si="17"/>
        <v>4.7038799229070431E-4</v>
      </c>
      <c r="AB43">
        <f t="shared" si="38"/>
        <v>2.6519876191052288E+19</v>
      </c>
      <c r="AE43">
        <f t="shared" si="68"/>
        <v>6</v>
      </c>
      <c r="AF43">
        <f t="shared" si="69"/>
        <v>3.8943532538081538E-4</v>
      </c>
      <c r="AG43">
        <f t="shared" si="18"/>
        <v>3.8953532538081538E-4</v>
      </c>
      <c r="AH43">
        <f t="shared" si="39"/>
        <v>2.6514282456168915E+19</v>
      </c>
      <c r="AK43">
        <f t="shared" si="70"/>
        <v>6</v>
      </c>
      <c r="AL43">
        <f t="shared" si="71"/>
        <v>3.2249777306243843E-4</v>
      </c>
      <c r="AM43">
        <f t="shared" si="19"/>
        <v>3.2259777306243843E-4</v>
      </c>
      <c r="AN43">
        <f t="shared" si="40"/>
        <v>2.6506085646527099E+19</v>
      </c>
      <c r="AQ43">
        <f t="shared" si="72"/>
        <v>6</v>
      </c>
      <c r="AR43">
        <f t="shared" si="73"/>
        <v>2.670804803296066E-4</v>
      </c>
      <c r="AS43">
        <f t="shared" si="20"/>
        <v>2.671804803296066E-4</v>
      </c>
      <c r="AT43">
        <f t="shared" si="41"/>
        <v>2.6496951145881952E+19</v>
      </c>
      <c r="AW43">
        <f t="shared" si="74"/>
        <v>6</v>
      </c>
      <c r="AX43">
        <f t="shared" si="75"/>
        <v>2.2120075770053088E-4</v>
      </c>
      <c r="AY43">
        <f t="shared" si="21"/>
        <v>2.2130075770053086E-4</v>
      </c>
      <c r="AZ43">
        <f t="shared" si="42"/>
        <v>2.6485599909031645E+19</v>
      </c>
      <c r="BC43">
        <f t="shared" si="76"/>
        <v>6</v>
      </c>
      <c r="BD43">
        <f t="shared" si="77"/>
        <v>1.8321714564158509E-4</v>
      </c>
      <c r="BE43">
        <f t="shared" si="22"/>
        <v>1.8331714564158506E-4</v>
      </c>
      <c r="BF43">
        <f t="shared" si="43"/>
        <v>2.6471920600811213E+19</v>
      </c>
      <c r="BI43">
        <f t="shared" si="78"/>
        <v>6</v>
      </c>
      <c r="BJ43">
        <f t="shared" si="79"/>
        <v>1.5177068732908077E-4</v>
      </c>
      <c r="BK43">
        <f t="shared" si="23"/>
        <v>1.5187068732908074E-4</v>
      </c>
      <c r="BL43">
        <f t="shared" si="44"/>
        <v>2.6455450882692264E+19</v>
      </c>
      <c r="BO43">
        <f t="shared" si="80"/>
        <v>6</v>
      </c>
      <c r="BP43">
        <f t="shared" si="81"/>
        <v>1.2573630863793746E-4</v>
      </c>
      <c r="BQ43">
        <f t="shared" si="24"/>
        <v>1.2583630863793744E-4</v>
      </c>
      <c r="BR43">
        <f t="shared" si="45"/>
        <v>2.6435539842235716E+19</v>
      </c>
      <c r="BU43">
        <f t="shared" si="82"/>
        <v>6</v>
      </c>
      <c r="BV43">
        <f t="shared" si="83"/>
        <v>1.0418256585716962E-4</v>
      </c>
      <c r="BW43">
        <f t="shared" si="25"/>
        <v>1.0428256585716962E-4</v>
      </c>
      <c r="BX43">
        <f t="shared" si="46"/>
        <v>2.641154447141718E+19</v>
      </c>
      <c r="CA43">
        <f t="shared" si="84"/>
        <v>6</v>
      </c>
      <c r="CB43">
        <f t="shared" si="85"/>
        <v>8.6338321008048484E-5</v>
      </c>
      <c r="CC43">
        <f t="shared" si="26"/>
        <v>8.6438321008048486E-5</v>
      </c>
      <c r="CD43">
        <f t="shared" si="47"/>
        <v>3.3780061035231506E+19</v>
      </c>
      <c r="CG43">
        <f t="shared" si="86"/>
        <v>6</v>
      </c>
      <c r="CH43">
        <f t="shared" si="87"/>
        <v>7.1565152492763734E-5</v>
      </c>
      <c r="CI43">
        <f t="shared" si="27"/>
        <v>7.1665152492763736E-5</v>
      </c>
      <c r="CJ43">
        <f t="shared" si="48"/>
        <v>3.3735411287634186E+19</v>
      </c>
      <c r="CM43">
        <f t="shared" si="88"/>
        <v>6</v>
      </c>
      <c r="CN43">
        <f t="shared" si="89"/>
        <v>5.9334513996915598E-5</v>
      </c>
      <c r="CO43">
        <f t="shared" si="28"/>
        <v>5.9434513996915601E-5</v>
      </c>
      <c r="CP43">
        <f t="shared" si="49"/>
        <v>3.3681630223540593E+19</v>
      </c>
      <c r="CS43">
        <f t="shared" si="90"/>
        <v>6</v>
      </c>
      <c r="CT43">
        <f t="shared" si="91"/>
        <v>4.920882444958842E-5</v>
      </c>
      <c r="CU43">
        <f t="shared" si="29"/>
        <v>4.9308824449588422E-5</v>
      </c>
      <c r="CV43">
        <f t="shared" si="50"/>
        <v>3.3616908498190598E+19</v>
      </c>
      <c r="CY43">
        <f t="shared" si="92"/>
        <v>6</v>
      </c>
      <c r="CZ43">
        <f t="shared" si="93"/>
        <v>4.0825812487976071E-5</v>
      </c>
      <c r="DA43">
        <f t="shared" si="30"/>
        <v>4.0925812487976074E-5</v>
      </c>
      <c r="DB43">
        <f t="shared" si="51"/>
        <v>3.3539059449338905E+19</v>
      </c>
      <c r="DE43">
        <f t="shared" si="94"/>
        <v>6</v>
      </c>
      <c r="DF43">
        <f t="shared" si="95"/>
        <v>3.388555531140821E-5</v>
      </c>
      <c r="DG43">
        <f t="shared" si="31"/>
        <v>3.3985555311408213E-5</v>
      </c>
      <c r="DH43">
        <f t="shared" si="52"/>
        <v>3.3445505713200714E+19</v>
      </c>
      <c r="DK43">
        <f t="shared" si="96"/>
        <v>6</v>
      </c>
      <c r="DL43">
        <f t="shared" si="97"/>
        <v>2.8139748208010322E-5</v>
      </c>
      <c r="DM43">
        <f t="shared" si="32"/>
        <v>2.8239748208010324E-5</v>
      </c>
      <c r="DN43">
        <f t="shared" si="53"/>
        <v>3.3333198093968585E+19</v>
      </c>
      <c r="DQ43">
        <f t="shared" si="98"/>
        <v>6</v>
      </c>
      <c r="DR43">
        <f t="shared" si="99"/>
        <v>2.3382820845012507E-5</v>
      </c>
      <c r="DS43">
        <f t="shared" si="33"/>
        <v>2.3482820845012509E-5</v>
      </c>
      <c r="DT43">
        <f t="shared" si="100"/>
        <v>3.3198544685333221E+19</v>
      </c>
      <c r="DW43">
        <v>6</v>
      </c>
      <c r="DX43">
        <f t="shared" ref="DX43:DX44" si="117">DY42</f>
        <v>1.9444582486217699E-5</v>
      </c>
      <c r="DY43">
        <f t="shared" ref="DY43:DY44" si="118">$DX$38+DW43*$H$2</f>
        <v>1.9544582486217701E-5</v>
      </c>
      <c r="DZ43">
        <f t="shared" ref="DZ43:DZ44" si="119">((8*$F$1*$H$25)/(3.1415))*(((DY43)^4-(DX43)^4)-(((DY43)^2-(DX43)^2)^2/(LN(DY43/DX43))))^-1</f>
        <v>2.5802535353674494E+19</v>
      </c>
      <c r="EC43">
        <v>6</v>
      </c>
      <c r="ED43">
        <f t="shared" si="109"/>
        <v>1.6184133001256722E-5</v>
      </c>
      <c r="EE43">
        <f t="shared" si="110"/>
        <v>1.6284133001256725E-5</v>
      </c>
      <c r="EF43">
        <f t="shared" si="111"/>
        <v>2.5652081604465402E+19</v>
      </c>
      <c r="EI43">
        <v>6</v>
      </c>
      <c r="EJ43">
        <f t="shared" ref="EJ43" si="120">EK42</f>
        <v>1.3484821818061773E-5</v>
      </c>
      <c r="EK43">
        <f t="shared" ref="EK43" si="121">$EJ$38+EI43*$H$2</f>
        <v>1.3584821818061773E-5</v>
      </c>
      <c r="EL43">
        <f t="shared" ref="EL43" si="122">((8*$F$1*$H$27)/(3.1415))*(((EK43)^4-(EJ43)^4)-(((EK43)^2-(EJ43)^2)^2/(LN(EK43/EJ43))))^-1</f>
        <v>2.5472673367558222E+19</v>
      </c>
    </row>
    <row r="44" spans="1:173" x14ac:dyDescent="0.35">
      <c r="A44">
        <f t="shared" si="58"/>
        <v>7</v>
      </c>
      <c r="B44">
        <f t="shared" si="59"/>
        <v>1.0005999999999999E-3</v>
      </c>
      <c r="C44">
        <f t="shared" si="13"/>
        <v>1.0007E-3</v>
      </c>
      <c r="D44">
        <f t="shared" si="34"/>
        <v>5.9691242595324682E+19</v>
      </c>
      <c r="G44">
        <f t="shared" si="60"/>
        <v>7</v>
      </c>
      <c r="H44">
        <f t="shared" si="61"/>
        <v>8.2849541615219208E-4</v>
      </c>
      <c r="I44">
        <f t="shared" si="14"/>
        <v>8.2859541615219203E-4</v>
      </c>
      <c r="J44">
        <f t="shared" si="35"/>
        <v>2.6524032015373947E+19</v>
      </c>
      <c r="M44">
        <f t="shared" si="62"/>
        <v>7</v>
      </c>
      <c r="N44">
        <f t="shared" si="63"/>
        <v>6.8601082008581124E-4</v>
      </c>
      <c r="O44">
        <f t="shared" si="15"/>
        <v>6.8611082008581119E-4</v>
      </c>
      <c r="P44">
        <f t="shared" si="36"/>
        <v>3.3963186462717534E+19</v>
      </c>
      <c r="S44">
        <f t="shared" si="64"/>
        <v>7</v>
      </c>
      <c r="T44">
        <f t="shared" si="65"/>
        <v>5.680484761301579E-4</v>
      </c>
      <c r="U44">
        <f t="shared" si="16"/>
        <v>5.6814847613015785E-4</v>
      </c>
      <c r="V44">
        <f t="shared" si="37"/>
        <v>2.6519831111721722E+19</v>
      </c>
      <c r="Y44">
        <f t="shared" si="66"/>
        <v>7</v>
      </c>
      <c r="Z44">
        <f t="shared" si="67"/>
        <v>4.7038799229070431E-4</v>
      </c>
      <c r="AA44">
        <f t="shared" si="17"/>
        <v>4.7048799229070431E-4</v>
      </c>
      <c r="AB44">
        <f t="shared" si="38"/>
        <v>2.6514880078342922E+19</v>
      </c>
      <c r="AE44">
        <f t="shared" si="68"/>
        <v>7</v>
      </c>
      <c r="AF44">
        <f t="shared" si="69"/>
        <v>3.8953532538081538E-4</v>
      </c>
      <c r="AG44">
        <f t="shared" si="18"/>
        <v>3.8963532538081538E-4</v>
      </c>
      <c r="AH44">
        <f t="shared" si="39"/>
        <v>2.6507135290204566E+19</v>
      </c>
      <c r="AK44">
        <f t="shared" si="70"/>
        <v>7</v>
      </c>
      <c r="AL44">
        <f t="shared" si="71"/>
        <v>3.2259777306243843E-4</v>
      </c>
      <c r="AM44">
        <f t="shared" si="19"/>
        <v>3.2269777306243844E-4</v>
      </c>
      <c r="AN44">
        <f t="shared" si="40"/>
        <v>2.6497818484580299E+19</v>
      </c>
      <c r="AQ44">
        <f t="shared" si="72"/>
        <v>7</v>
      </c>
      <c r="AR44">
        <f t="shared" si="73"/>
        <v>2.671804803296066E-4</v>
      </c>
      <c r="AS44">
        <f t="shared" si="20"/>
        <v>2.672804803296066E-4</v>
      </c>
      <c r="AT44">
        <f t="shared" si="41"/>
        <v>2.6486853801120412E+19</v>
      </c>
      <c r="AW44">
        <f t="shared" si="74"/>
        <v>7</v>
      </c>
      <c r="AX44">
        <f t="shared" si="75"/>
        <v>2.2130075770053086E-4</v>
      </c>
      <c r="AY44">
        <f t="shared" si="21"/>
        <v>2.2140075770053086E-4</v>
      </c>
      <c r="AZ44">
        <f t="shared" si="42"/>
        <v>2.6473710606031397E+19</v>
      </c>
      <c r="BC44">
        <f t="shared" si="76"/>
        <v>7</v>
      </c>
      <c r="BD44">
        <f t="shared" si="77"/>
        <v>1.8331714564158506E-4</v>
      </c>
      <c r="BE44">
        <f t="shared" si="22"/>
        <v>1.8341714564158506E-4</v>
      </c>
      <c r="BF44">
        <f t="shared" si="43"/>
        <v>2.6457534123810136E+19</v>
      </c>
      <c r="BI44">
        <f t="shared" si="78"/>
        <v>7</v>
      </c>
      <c r="BJ44">
        <f t="shared" si="79"/>
        <v>1.5187068732908074E-4</v>
      </c>
      <c r="BK44">
        <f t="shared" si="23"/>
        <v>1.5197068732908075E-4</v>
      </c>
      <c r="BL44">
        <f t="shared" si="44"/>
        <v>2.643803459310744E+19</v>
      </c>
      <c r="BO44">
        <f t="shared" si="80"/>
        <v>7</v>
      </c>
      <c r="BP44">
        <f t="shared" si="81"/>
        <v>1.2583630863793744E-4</v>
      </c>
      <c r="BQ44">
        <f t="shared" si="24"/>
        <v>1.2593630863793744E-4</v>
      </c>
      <c r="BR44">
        <f t="shared" si="45"/>
        <v>2.6414553355488117E+19</v>
      </c>
      <c r="BU44">
        <f t="shared" si="82"/>
        <v>7</v>
      </c>
      <c r="BV44">
        <f t="shared" si="83"/>
        <v>1.0428256585716962E-4</v>
      </c>
      <c r="BW44">
        <f t="shared" si="25"/>
        <v>1.0438256585716962E-4</v>
      </c>
      <c r="BX44">
        <f t="shared" si="46"/>
        <v>2.6386223430411747E+19</v>
      </c>
      <c r="CA44">
        <f t="shared" si="84"/>
        <v>7</v>
      </c>
      <c r="CB44">
        <f t="shared" si="85"/>
        <v>8.6438321008048486E-5</v>
      </c>
      <c r="CC44">
        <f t="shared" si="26"/>
        <v>8.6538321008048489E-5</v>
      </c>
      <c r="CD44">
        <f t="shared" si="47"/>
        <v>3.374100231015313E+19</v>
      </c>
      <c r="CG44">
        <f t="shared" si="86"/>
        <v>7</v>
      </c>
      <c r="CH44">
        <f t="shared" si="87"/>
        <v>7.1665152492763736E-5</v>
      </c>
      <c r="CI44">
        <f t="shared" si="27"/>
        <v>7.1765152492763739E-5</v>
      </c>
      <c r="CJ44">
        <f t="shared" si="48"/>
        <v>3.3688369524528144E+19</v>
      </c>
      <c r="CM44">
        <f t="shared" si="88"/>
        <v>7</v>
      </c>
      <c r="CN44">
        <f t="shared" si="89"/>
        <v>5.9434513996915601E-5</v>
      </c>
      <c r="CO44">
        <f t="shared" si="28"/>
        <v>5.9534513996915596E-5</v>
      </c>
      <c r="CP44">
        <f t="shared" si="49"/>
        <v>3.3625008450698867E+19</v>
      </c>
      <c r="CS44">
        <f t="shared" si="90"/>
        <v>7</v>
      </c>
      <c r="CT44">
        <f t="shared" si="91"/>
        <v>4.9308824449588422E-5</v>
      </c>
      <c r="CU44">
        <f t="shared" si="29"/>
        <v>4.9408824449588418E-5</v>
      </c>
      <c r="CV44">
        <f t="shared" si="50"/>
        <v>3.3548800148265505E+19</v>
      </c>
      <c r="CY44">
        <f t="shared" si="92"/>
        <v>7</v>
      </c>
      <c r="CZ44">
        <f t="shared" si="93"/>
        <v>4.0925812487976074E-5</v>
      </c>
      <c r="DA44">
        <f t="shared" si="30"/>
        <v>4.1025812487976069E-5</v>
      </c>
      <c r="DB44">
        <f t="shared" si="51"/>
        <v>3.345720712553343E+19</v>
      </c>
      <c r="DE44">
        <f t="shared" si="94"/>
        <v>7</v>
      </c>
      <c r="DF44">
        <f t="shared" si="95"/>
        <v>3.3985555311408213E-5</v>
      </c>
      <c r="DG44">
        <f t="shared" si="31"/>
        <v>3.4085555311408208E-5</v>
      </c>
      <c r="DH44">
        <f t="shared" si="52"/>
        <v>3.3347239609068712E+19</v>
      </c>
      <c r="DK44">
        <f t="shared" si="96"/>
        <v>7</v>
      </c>
      <c r="DL44">
        <f t="shared" si="97"/>
        <v>2.8239748208010324E-5</v>
      </c>
      <c r="DM44">
        <f t="shared" si="32"/>
        <v>2.8339748208010323E-5</v>
      </c>
      <c r="DN44">
        <f t="shared" si="53"/>
        <v>3.321537043600121E+19</v>
      </c>
      <c r="DQ44">
        <f t="shared" si="98"/>
        <v>7</v>
      </c>
      <c r="DR44">
        <f t="shared" ref="DR44:DR45" si="123">DS43</f>
        <v>2.3482820845012509E-5</v>
      </c>
      <c r="DS44">
        <f t="shared" ref="DS44:DS45" si="124">$DR$38+DQ44*$H$2</f>
        <v>2.3582820845012508E-5</v>
      </c>
      <c r="DT44">
        <f t="shared" ref="DT44:DT45" si="125">((8*$H$1*$H$24)/(3.1415))*(((DS44)^4-(DR44)^4)-(((DS44)^2-(DR44)^2)^2/(LN(DS44/DR44))))^-1</f>
        <v>3.3057471282877071E+19</v>
      </c>
      <c r="DW44">
        <v>7</v>
      </c>
      <c r="DX44">
        <f t="shared" si="117"/>
        <v>1.9544582486217701E-5</v>
      </c>
      <c r="DY44">
        <f t="shared" si="118"/>
        <v>1.96445824862177E-5</v>
      </c>
      <c r="DZ44">
        <f t="shared" si="119"/>
        <v>2.5670853362918674E+19</v>
      </c>
      <c r="EC44">
        <v>7</v>
      </c>
      <c r="ED44">
        <f t="shared" ref="ED44" si="126">EE43</f>
        <v>1.6284133001256725E-5</v>
      </c>
      <c r="EE44">
        <f t="shared" ref="EE44" si="127">$ED$38+EC44*$H$2</f>
        <v>1.6384133001256724E-5</v>
      </c>
      <c r="EF44">
        <f t="shared" ref="EF44" si="128">((8*$F$1*$H$26)/(3.1415))*(((EE44)^4-(ED44)^4)-(((EE44)^2-(ED44)^2)^2/(LN(EE44/ED44))))^-1</f>
        <v>2.5495035893141262E+19</v>
      </c>
    </row>
    <row r="45" spans="1:173" x14ac:dyDescent="0.35">
      <c r="A45">
        <f t="shared" si="58"/>
        <v>8</v>
      </c>
      <c r="B45">
        <f t="shared" si="59"/>
        <v>1.0007E-3</v>
      </c>
      <c r="C45">
        <f t="shared" si="13"/>
        <v>1.0008E-3</v>
      </c>
      <c r="D45">
        <f t="shared" si="34"/>
        <v>5.9719732416019227E+19</v>
      </c>
      <c r="G45">
        <f t="shared" si="60"/>
        <v>8</v>
      </c>
      <c r="H45">
        <f t="shared" si="61"/>
        <v>8.2859541615219203E-4</v>
      </c>
      <c r="I45">
        <f t="shared" si="14"/>
        <v>8.2869541615219209E-4</v>
      </c>
      <c r="J45">
        <f t="shared" si="35"/>
        <v>2.6524600088692142E+19</v>
      </c>
      <c r="M45">
        <f t="shared" si="62"/>
        <v>8</v>
      </c>
      <c r="N45">
        <f t="shared" si="63"/>
        <v>6.8611082008581119E-4</v>
      </c>
      <c r="O45">
        <f t="shared" si="15"/>
        <v>6.8621082008581125E-4</v>
      </c>
      <c r="P45">
        <f t="shared" si="36"/>
        <v>3.3962355428981015E+19</v>
      </c>
      <c r="S45">
        <f t="shared" si="64"/>
        <v>8</v>
      </c>
      <c r="T45">
        <f t="shared" si="65"/>
        <v>5.6814847613015785E-4</v>
      </c>
      <c r="U45">
        <f t="shared" si="16"/>
        <v>5.6824847613015791E-4</v>
      </c>
      <c r="V45">
        <f t="shared" si="37"/>
        <v>2.6516666689630638E+19</v>
      </c>
      <c r="Y45">
        <f t="shared" si="66"/>
        <v>8</v>
      </c>
      <c r="Z45">
        <f t="shared" si="67"/>
        <v>4.7048799229070431E-4</v>
      </c>
      <c r="AA45">
        <f t="shared" si="17"/>
        <v>4.7058799229070432E-4</v>
      </c>
      <c r="AB45">
        <f t="shared" si="38"/>
        <v>2.6509787148976701E+19</v>
      </c>
      <c r="AE45">
        <f t="shared" si="68"/>
        <v>8</v>
      </c>
      <c r="AF45">
        <f t="shared" si="69"/>
        <v>3.8963532538081538E-4</v>
      </c>
      <c r="AG45">
        <f t="shared" si="18"/>
        <v>3.8973532538081538E-4</v>
      </c>
      <c r="AH45">
        <f t="shared" si="39"/>
        <v>2.6500549751948775E+19</v>
      </c>
      <c r="AK45">
        <f t="shared" si="70"/>
        <v>8</v>
      </c>
      <c r="AL45">
        <f t="shared" si="71"/>
        <v>3.2269777306243844E-4</v>
      </c>
      <c r="AM45">
        <f t="shared" si="19"/>
        <v>3.2279777306243844E-4</v>
      </c>
      <c r="AN45">
        <f t="shared" si="40"/>
        <v>2.6490222658956419E+19</v>
      </c>
      <c r="AQ45">
        <f t="shared" si="72"/>
        <v>8</v>
      </c>
      <c r="AR45">
        <f t="shared" si="73"/>
        <v>2.672804803296066E-4</v>
      </c>
      <c r="AS45">
        <f t="shared" si="20"/>
        <v>2.6738048032960661E-4</v>
      </c>
      <c r="AT45">
        <f t="shared" si="41"/>
        <v>2.6477389727355388E+19</v>
      </c>
      <c r="AW45">
        <f t="shared" si="74"/>
        <v>8</v>
      </c>
      <c r="AX45">
        <f t="shared" si="75"/>
        <v>2.2140075770053086E-4</v>
      </c>
      <c r="AY45">
        <f t="shared" si="21"/>
        <v>2.2150075770053086E-4</v>
      </c>
      <c r="AZ45">
        <f t="shared" si="42"/>
        <v>2.6461793930918474E+19</v>
      </c>
      <c r="BC45">
        <f t="shared" si="76"/>
        <v>8</v>
      </c>
      <c r="BD45">
        <f t="shared" si="77"/>
        <v>1.8341714564158506E-4</v>
      </c>
      <c r="BE45">
        <f t="shared" si="22"/>
        <v>1.8351714564158507E-4</v>
      </c>
      <c r="BF45">
        <f t="shared" si="43"/>
        <v>2.644310544053717E+19</v>
      </c>
      <c r="BI45">
        <f t="shared" si="78"/>
        <v>8</v>
      </c>
      <c r="BJ45">
        <f t="shared" si="79"/>
        <v>1.5197068732908075E-4</v>
      </c>
      <c r="BK45">
        <f t="shared" si="23"/>
        <v>1.5207068732908075E-4</v>
      </c>
      <c r="BL45">
        <f t="shared" si="44"/>
        <v>2.6420679302360175E+19</v>
      </c>
      <c r="BO45">
        <f t="shared" si="80"/>
        <v>8</v>
      </c>
      <c r="BP45">
        <f t="shared" si="81"/>
        <v>1.2593630863793744E-4</v>
      </c>
      <c r="BQ45">
        <f t="shared" si="24"/>
        <v>1.2603630863793744E-4</v>
      </c>
      <c r="BR45">
        <f t="shared" si="45"/>
        <v>2.6393585441794109E+19</v>
      </c>
      <c r="BU45">
        <f t="shared" si="82"/>
        <v>8</v>
      </c>
      <c r="BV45">
        <f t="shared" si="83"/>
        <v>1.0438256585716962E-4</v>
      </c>
      <c r="BW45">
        <f t="shared" si="25"/>
        <v>1.0448256585716963E-4</v>
      </c>
      <c r="BX45">
        <f t="shared" si="46"/>
        <v>2.6360970017756017E+19</v>
      </c>
      <c r="CA45">
        <f t="shared" si="84"/>
        <v>8</v>
      </c>
      <c r="CB45">
        <f t="shared" si="85"/>
        <v>8.6538321008048489E-5</v>
      </c>
      <c r="CC45">
        <f t="shared" si="26"/>
        <v>8.6638321008048491E-5</v>
      </c>
      <c r="CD45">
        <f t="shared" si="47"/>
        <v>3.3702027972354728E+19</v>
      </c>
      <c r="CG45">
        <f t="shared" si="86"/>
        <v>8</v>
      </c>
      <c r="CH45">
        <f t="shared" si="87"/>
        <v>7.1765152492763739E-5</v>
      </c>
      <c r="CI45">
        <f t="shared" si="27"/>
        <v>7.1865152492763741E-5</v>
      </c>
      <c r="CJ45">
        <f t="shared" si="48"/>
        <v>3.3641454483655672E+19</v>
      </c>
      <c r="CM45">
        <f t="shared" si="88"/>
        <v>8</v>
      </c>
      <c r="CN45">
        <f t="shared" si="89"/>
        <v>5.9534513996915596E-5</v>
      </c>
      <c r="CO45">
        <f t="shared" si="28"/>
        <v>5.9634513996915599E-5</v>
      </c>
      <c r="CP45">
        <f t="shared" si="49"/>
        <v>3.3568577707211641E+19</v>
      </c>
      <c r="CS45">
        <f t="shared" si="90"/>
        <v>8</v>
      </c>
      <c r="CT45">
        <f t="shared" si="91"/>
        <v>4.9408824449588418E-5</v>
      </c>
      <c r="CU45">
        <f t="shared" si="29"/>
        <v>4.9508824449588421E-5</v>
      </c>
      <c r="CV45">
        <f t="shared" si="50"/>
        <v>3.3480969004935094E+19</v>
      </c>
      <c r="CY45">
        <f t="shared" si="92"/>
        <v>8</v>
      </c>
      <c r="CZ45">
        <f t="shared" si="93"/>
        <v>4.1025812487976069E-5</v>
      </c>
      <c r="DA45">
        <f t="shared" si="30"/>
        <v>4.1125812487976072E-5</v>
      </c>
      <c r="DB45">
        <f t="shared" si="51"/>
        <v>3.3375755592452608E+19</v>
      </c>
      <c r="DE45">
        <f t="shared" si="94"/>
        <v>8</v>
      </c>
      <c r="DF45">
        <f t="shared" si="95"/>
        <v>3.4085555311408208E-5</v>
      </c>
      <c r="DG45">
        <f t="shared" si="31"/>
        <v>3.4185555311408211E-5</v>
      </c>
      <c r="DH45">
        <f t="shared" si="52"/>
        <v>3.3249548878912135E+19</v>
      </c>
      <c r="DK45">
        <f t="shared" si="96"/>
        <v>8</v>
      </c>
      <c r="DL45">
        <f t="shared" ref="DL45:DL46" si="129">DM44</f>
        <v>2.8339748208010323E-5</v>
      </c>
      <c r="DM45">
        <f t="shared" ref="DM45:DM46" si="130">$DL$38+DK45*$H$2</f>
        <v>2.8439748208010322E-5</v>
      </c>
      <c r="DN45">
        <f t="shared" ref="DN45:DN46" si="131">((8*$H$1*$H$23)/(3.1415))*(((DM45)^4-(DL45)^4)-(((DM45)^2-(DL45)^2)^2/(LN(DM45/DL45))))^-1</f>
        <v>3.3098372440814023E+19</v>
      </c>
      <c r="DQ45">
        <f t="shared" si="98"/>
        <v>8</v>
      </c>
      <c r="DR45">
        <f t="shared" si="123"/>
        <v>2.3582820845012508E-5</v>
      </c>
      <c r="DS45">
        <f t="shared" si="124"/>
        <v>2.3682820845012507E-5</v>
      </c>
      <c r="DT45">
        <f t="shared" si="125"/>
        <v>3.2917591902224892E+19</v>
      </c>
      <c r="DW45">
        <v>8</v>
      </c>
      <c r="DX45">
        <f t="shared" ref="DX45" si="132">DY44</f>
        <v>1.96445824862177E-5</v>
      </c>
      <c r="DY45">
        <f t="shared" ref="DY45" si="133">$DX$38+DW45*$H$2</f>
        <v>1.9744582486217699E-5</v>
      </c>
      <c r="DZ45">
        <f t="shared" ref="DZ45" si="134">((8*$F$1*$H$25)/(3.1415))*(((DY45)^4-(DX45)^4)-(((DY45)^2-(DX45)^2)^2/(LN(DY45/DX45))))^-1</f>
        <v>2.5540508731128918E+19</v>
      </c>
    </row>
    <row r="46" spans="1:173" x14ac:dyDescent="0.35">
      <c r="A46">
        <f t="shared" si="58"/>
        <v>9</v>
      </c>
      <c r="B46">
        <f t="shared" si="59"/>
        <v>1.0008E-3</v>
      </c>
      <c r="C46">
        <f t="shared" si="13"/>
        <v>1.0009000000000001E-3</v>
      </c>
      <c r="D46">
        <f t="shared" si="34"/>
        <v>5.9706059998799151E+19</v>
      </c>
      <c r="G46">
        <f t="shared" si="60"/>
        <v>9</v>
      </c>
      <c r="H46">
        <f t="shared" si="61"/>
        <v>8.2869541615219209E-4</v>
      </c>
      <c r="I46">
        <f t="shared" si="14"/>
        <v>8.2879541615219203E-4</v>
      </c>
      <c r="J46">
        <f t="shared" si="35"/>
        <v>2.652399414468456E+19</v>
      </c>
      <c r="M46">
        <f t="shared" si="62"/>
        <v>9</v>
      </c>
      <c r="N46">
        <f t="shared" si="63"/>
        <v>6.8621082008581125E-4</v>
      </c>
      <c r="O46">
        <f t="shared" si="15"/>
        <v>6.863108200858112E-4</v>
      </c>
      <c r="P46">
        <f t="shared" si="36"/>
        <v>3.3956724142067618E+19</v>
      </c>
      <c r="S46">
        <f t="shared" si="64"/>
        <v>9</v>
      </c>
      <c r="T46">
        <f t="shared" si="65"/>
        <v>5.6824847613015791E-4</v>
      </c>
      <c r="U46">
        <f t="shared" si="16"/>
        <v>5.6834847613015786E-4</v>
      </c>
      <c r="V46">
        <f t="shared" si="37"/>
        <v>2.6510446621105037E+19</v>
      </c>
      <c r="Y46">
        <f t="shared" si="66"/>
        <v>9</v>
      </c>
      <c r="Z46">
        <f t="shared" si="67"/>
        <v>4.7058799229070432E-4</v>
      </c>
      <c r="AA46">
        <f t="shared" si="17"/>
        <v>4.7068799229070432E-4</v>
      </c>
      <c r="AB46">
        <f t="shared" si="38"/>
        <v>2.6503715073929277E+19</v>
      </c>
      <c r="AE46">
        <f t="shared" si="68"/>
        <v>9</v>
      </c>
      <c r="AF46">
        <f t="shared" si="69"/>
        <v>3.8973532538081538E-4</v>
      </c>
      <c r="AG46">
        <f t="shared" si="18"/>
        <v>3.8983532538081539E-4</v>
      </c>
      <c r="AH46">
        <f t="shared" si="39"/>
        <v>2.6493101165466104E+19</v>
      </c>
      <c r="AK46">
        <f t="shared" si="70"/>
        <v>9</v>
      </c>
      <c r="AL46">
        <f t="shared" si="71"/>
        <v>3.2279777306243844E-4</v>
      </c>
      <c r="AM46">
        <f t="shared" si="19"/>
        <v>3.2289777306243844E-4</v>
      </c>
      <c r="AN46">
        <f t="shared" si="40"/>
        <v>2.6481684063526126E+19</v>
      </c>
      <c r="AQ46">
        <f t="shared" si="72"/>
        <v>9</v>
      </c>
      <c r="AR46">
        <f t="shared" si="73"/>
        <v>2.6738048032960661E-4</v>
      </c>
      <c r="AS46">
        <f t="shared" si="20"/>
        <v>2.6748048032960661E-4</v>
      </c>
      <c r="AT46">
        <f t="shared" si="41"/>
        <v>2.646738916829107E+19</v>
      </c>
      <c r="AW46">
        <f t="shared" si="74"/>
        <v>9</v>
      </c>
      <c r="AX46">
        <f t="shared" si="75"/>
        <v>2.2150075770053086E-4</v>
      </c>
      <c r="AY46">
        <f t="shared" si="21"/>
        <v>2.2160075770053086E-4</v>
      </c>
      <c r="AZ46">
        <f t="shared" si="42"/>
        <v>2.6449765197876257E+19</v>
      </c>
      <c r="BC46">
        <f t="shared" si="76"/>
        <v>9</v>
      </c>
      <c r="BD46">
        <f t="shared" si="77"/>
        <v>1.8351714564158507E-4</v>
      </c>
      <c r="BE46">
        <f t="shared" si="22"/>
        <v>1.8361714564158507E-4</v>
      </c>
      <c r="BF46">
        <f t="shared" si="43"/>
        <v>2.6428737156267405E+19</v>
      </c>
      <c r="BI46">
        <f t="shared" si="78"/>
        <v>9</v>
      </c>
      <c r="BJ46">
        <f t="shared" si="79"/>
        <v>1.5207068732908075E-4</v>
      </c>
      <c r="BK46">
        <f t="shared" si="23"/>
        <v>1.5217068732908075E-4</v>
      </c>
      <c r="BL46">
        <f t="shared" si="44"/>
        <v>2.6403275079319908E+19</v>
      </c>
      <c r="BO46">
        <f t="shared" si="80"/>
        <v>9</v>
      </c>
      <c r="BP46">
        <f t="shared" si="81"/>
        <v>1.2603630863793744E-4</v>
      </c>
      <c r="BQ46">
        <f t="shared" si="24"/>
        <v>1.2613630863793745E-4</v>
      </c>
      <c r="BR46">
        <f t="shared" si="45"/>
        <v>2.6372662392051491E+19</v>
      </c>
      <c r="BU46">
        <f t="shared" si="82"/>
        <v>9</v>
      </c>
      <c r="BV46">
        <f t="shared" si="83"/>
        <v>1.0448256585716963E-4</v>
      </c>
      <c r="BW46">
        <f t="shared" si="25"/>
        <v>1.0458256585716962E-4</v>
      </c>
      <c r="BX46">
        <f t="shared" si="46"/>
        <v>2.6335739569099416E+19</v>
      </c>
      <c r="CA46">
        <f t="shared" si="84"/>
        <v>9</v>
      </c>
      <c r="CB46">
        <f t="shared" si="85"/>
        <v>8.6638321008048491E-5</v>
      </c>
      <c r="CC46">
        <f t="shared" si="26"/>
        <v>8.673832100804848E-5</v>
      </c>
      <c r="CD46">
        <f t="shared" si="47"/>
        <v>3.3663147972601844E+19</v>
      </c>
      <c r="CG46">
        <f t="shared" si="86"/>
        <v>9</v>
      </c>
      <c r="CH46">
        <f t="shared" si="87"/>
        <v>7.1865152492763741E-5</v>
      </c>
      <c r="CI46">
        <f t="shared" si="27"/>
        <v>7.196515249276373E-5</v>
      </c>
      <c r="CJ46">
        <f t="shared" si="48"/>
        <v>3.3594673675493392E+19</v>
      </c>
      <c r="CM46">
        <f t="shared" si="88"/>
        <v>9</v>
      </c>
      <c r="CN46">
        <f t="shared" si="89"/>
        <v>5.9634513996915599E-5</v>
      </c>
      <c r="CO46">
        <f t="shared" si="28"/>
        <v>5.9734513996915601E-5</v>
      </c>
      <c r="CP46">
        <f t="shared" si="49"/>
        <v>3.3512335431251689E+19</v>
      </c>
      <c r="CS46">
        <f t="shared" si="90"/>
        <v>9</v>
      </c>
      <c r="CT46">
        <f t="shared" si="91"/>
        <v>4.9508824449588421E-5</v>
      </c>
      <c r="CU46">
        <f t="shared" si="29"/>
        <v>4.9608824449588423E-5</v>
      </c>
      <c r="CV46">
        <f t="shared" si="50"/>
        <v>3.341341132810999E+19</v>
      </c>
      <c r="CY46">
        <f t="shared" si="92"/>
        <v>9</v>
      </c>
      <c r="CZ46">
        <f t="shared" si="93"/>
        <v>4.1125812487976072E-5</v>
      </c>
      <c r="DA46">
        <f t="shared" si="30"/>
        <v>4.1225812487976074E-5</v>
      </c>
      <c r="DB46">
        <f t="shared" si="51"/>
        <v>3.3294699387911913E+19</v>
      </c>
      <c r="DE46">
        <f t="shared" si="94"/>
        <v>9</v>
      </c>
      <c r="DF46">
        <f t="shared" ref="DF46:DF47" si="135">DG45</f>
        <v>3.4185555311408211E-5</v>
      </c>
      <c r="DG46">
        <f t="shared" ref="DG46:DG47" si="136">$DF$38+DE46*$H$2</f>
        <v>3.4285555311408213E-5</v>
      </c>
      <c r="DH46">
        <f t="shared" ref="DH46:DH47" si="137">((8*$H$1*$H$22)/(3.1415))*(((DG46)^4-(DF46)^4)-(((DG46)^2-(DF46)^2)^2/(LN(DG46/DF46))))^-1</f>
        <v>3.3152429273016381E+19</v>
      </c>
      <c r="DK46">
        <f t="shared" si="96"/>
        <v>9</v>
      </c>
      <c r="DL46">
        <f t="shared" si="129"/>
        <v>2.8439748208010322E-5</v>
      </c>
      <c r="DM46">
        <f t="shared" si="130"/>
        <v>2.8539748208010325E-5</v>
      </c>
      <c r="DN46">
        <f t="shared" si="131"/>
        <v>3.2982196367837106E+19</v>
      </c>
      <c r="DQ46">
        <v>9</v>
      </c>
      <c r="DR46">
        <f t="shared" ref="DR46" si="138">DS45</f>
        <v>2.3682820845012507E-5</v>
      </c>
      <c r="DS46">
        <f t="shared" ref="DS46" si="139">$DR$38+DQ46*$H$2</f>
        <v>2.3782820845012509E-5</v>
      </c>
      <c r="DT46">
        <f t="shared" ref="DT46" si="140">((8*$H$1*$H$24)/(3.1415))*(((DS46)^4-(DR46)^4)-(((DS46)^2-(DR46)^2)^2/(LN(DS46/DR46))))^-1</f>
        <v>3.2778891332918501E+19</v>
      </c>
    </row>
    <row r="47" spans="1:173" x14ac:dyDescent="0.35">
      <c r="A47">
        <f t="shared" si="58"/>
        <v>10</v>
      </c>
      <c r="B47">
        <f t="shared" si="59"/>
        <v>1.0009000000000001E-3</v>
      </c>
      <c r="C47">
        <f t="shared" si="13"/>
        <v>1.0009999999999999E-3</v>
      </c>
      <c r="D47">
        <f t="shared" si="34"/>
        <v>5.969048614993295E+19</v>
      </c>
      <c r="G47">
        <f t="shared" si="60"/>
        <v>10</v>
      </c>
      <c r="H47">
        <f t="shared" si="61"/>
        <v>8.2879541615219203E-4</v>
      </c>
      <c r="I47">
        <f t="shared" si="14"/>
        <v>8.2889541615219209E-4</v>
      </c>
      <c r="J47">
        <f t="shared" si="35"/>
        <v>2.6524323149909803E+19</v>
      </c>
      <c r="M47">
        <f t="shared" si="62"/>
        <v>10</v>
      </c>
      <c r="N47">
        <f t="shared" si="63"/>
        <v>6.863108200858112E-4</v>
      </c>
      <c r="O47">
        <f t="shared" si="15"/>
        <v>6.8641082008581125E-4</v>
      </c>
      <c r="P47">
        <f t="shared" si="36"/>
        <v>3.39504993240972E+19</v>
      </c>
      <c r="S47">
        <f t="shared" si="64"/>
        <v>10</v>
      </c>
      <c r="T47">
        <f t="shared" si="65"/>
        <v>5.6834847613015786E-4</v>
      </c>
      <c r="U47">
        <f t="shared" si="16"/>
        <v>5.6844847613015791E-4</v>
      </c>
      <c r="V47">
        <f t="shared" si="37"/>
        <v>2.6506561044890378E+19</v>
      </c>
      <c r="Y47">
        <f t="shared" si="66"/>
        <v>10</v>
      </c>
      <c r="Z47">
        <f t="shared" si="67"/>
        <v>4.7068799229070432E-4</v>
      </c>
      <c r="AA47">
        <f t="shared" si="17"/>
        <v>4.7078799229070432E-4</v>
      </c>
      <c r="AB47">
        <f t="shared" si="38"/>
        <v>2.6498813256316707E+19</v>
      </c>
      <c r="AE47">
        <f t="shared" si="68"/>
        <v>10</v>
      </c>
      <c r="AF47">
        <f t="shared" si="69"/>
        <v>3.8983532538081539E-4</v>
      </c>
      <c r="AG47">
        <f t="shared" si="18"/>
        <v>3.8993532538081539E-4</v>
      </c>
      <c r="AH47">
        <f t="shared" si="39"/>
        <v>2.648696283635241E+19</v>
      </c>
      <c r="AK47">
        <f t="shared" si="70"/>
        <v>10</v>
      </c>
      <c r="AL47">
        <f t="shared" si="71"/>
        <v>3.2289777306243844E-4</v>
      </c>
      <c r="AM47">
        <f t="shared" si="19"/>
        <v>3.2299777306243844E-4</v>
      </c>
      <c r="AN47">
        <f t="shared" si="40"/>
        <v>2.6473737228798394E+19</v>
      </c>
      <c r="AQ47">
        <f t="shared" si="72"/>
        <v>10</v>
      </c>
      <c r="AR47">
        <f t="shared" si="73"/>
        <v>2.6748048032960661E-4</v>
      </c>
      <c r="AS47">
        <f t="shared" si="20"/>
        <v>2.6758048032960661E-4</v>
      </c>
      <c r="AT47">
        <f t="shared" si="41"/>
        <v>2.6457128179485348E+19</v>
      </c>
      <c r="AW47">
        <f t="shared" si="74"/>
        <v>10</v>
      </c>
      <c r="AX47">
        <f t="shared" si="75"/>
        <v>2.2160075770053086E-4</v>
      </c>
      <c r="AY47">
        <f t="shared" si="21"/>
        <v>2.2170075770053087E-4</v>
      </c>
      <c r="AZ47">
        <f t="shared" si="42"/>
        <v>2.6437851595933774E+19</v>
      </c>
      <c r="BC47">
        <f t="shared" si="76"/>
        <v>10</v>
      </c>
      <c r="BD47">
        <f t="shared" si="77"/>
        <v>1.8361714564158507E-4</v>
      </c>
      <c r="BE47">
        <f t="shared" si="22"/>
        <v>1.8371714564158507E-4</v>
      </c>
      <c r="BF47">
        <f t="shared" si="43"/>
        <v>2.6414291080173335E+19</v>
      </c>
      <c r="BI47">
        <f t="shared" si="78"/>
        <v>10</v>
      </c>
      <c r="BJ47">
        <f t="shared" si="79"/>
        <v>1.5217068732908075E-4</v>
      </c>
      <c r="BK47">
        <f t="shared" si="23"/>
        <v>1.5227068732908075E-4</v>
      </c>
      <c r="BL47">
        <f t="shared" si="44"/>
        <v>2.6385906715359621E+19</v>
      </c>
      <c r="BO47">
        <f t="shared" si="80"/>
        <v>10</v>
      </c>
      <c r="BP47">
        <f t="shared" si="81"/>
        <v>1.2613630863793745E-4</v>
      </c>
      <c r="BQ47">
        <f t="shared" si="24"/>
        <v>1.2623630863793745E-4</v>
      </c>
      <c r="BR47">
        <f t="shared" si="45"/>
        <v>2.6351773981945573E+19</v>
      </c>
      <c r="BU47">
        <f t="shared" si="82"/>
        <v>10</v>
      </c>
      <c r="BV47">
        <f t="shared" si="83"/>
        <v>1.0458256585716962E-4</v>
      </c>
      <c r="BW47">
        <f t="shared" si="25"/>
        <v>1.0468256585716962E-4</v>
      </c>
      <c r="BX47">
        <f>((8*$F$1*$H$16)/(3.1415))*(((BW47)^4-(BV47)^4)-(((BW47)^2-(BV47)^2)^2/(LN(BW47/BV47))))^-1</f>
        <v>2.6310569575137473E+19</v>
      </c>
      <c r="CA47">
        <f t="shared" si="84"/>
        <v>10</v>
      </c>
      <c r="CB47">
        <f t="shared" si="85"/>
        <v>8.673832100804848E-5</v>
      </c>
      <c r="CC47">
        <f t="shared" si="26"/>
        <v>8.6838321008048482E-5</v>
      </c>
      <c r="CD47">
        <f t="shared" si="47"/>
        <v>3.3624364515813626E+19</v>
      </c>
      <c r="CG47">
        <f t="shared" si="86"/>
        <v>10</v>
      </c>
      <c r="CH47">
        <f t="shared" si="87"/>
        <v>7.196515249276373E-5</v>
      </c>
      <c r="CI47">
        <f t="shared" si="27"/>
        <v>7.2065152492763732E-5</v>
      </c>
      <c r="CJ47">
        <f t="shared" si="48"/>
        <v>3.3548027913054028E+19</v>
      </c>
      <c r="CM47">
        <f t="shared" si="88"/>
        <v>10</v>
      </c>
      <c r="CN47">
        <f t="shared" si="89"/>
        <v>5.9734513996915601E-5</v>
      </c>
      <c r="CO47">
        <f t="shared" si="28"/>
        <v>5.9834513996915597E-5</v>
      </c>
      <c r="CP47">
        <f t="shared" si="49"/>
        <v>3.3456279993153311E+19</v>
      </c>
      <c r="CS47">
        <f t="shared" si="90"/>
        <v>10</v>
      </c>
      <c r="CT47">
        <f t="shared" si="91"/>
        <v>4.9608824449588423E-5</v>
      </c>
      <c r="CU47">
        <f t="shared" si="29"/>
        <v>4.9708824449588419E-5</v>
      </c>
      <c r="CV47">
        <f t="shared" si="50"/>
        <v>3.3346124958141346E+19</v>
      </c>
      <c r="CY47">
        <f t="shared" si="92"/>
        <v>10</v>
      </c>
      <c r="CZ47">
        <f t="shared" ref="CZ47:CZ48" si="141">DA46</f>
        <v>4.1225812487976074E-5</v>
      </c>
      <c r="DA47">
        <f t="shared" ref="DA47:DA48" si="142">$CZ$38+CY47*$H$2</f>
        <v>4.132581248797607E-5</v>
      </c>
      <c r="DB47">
        <f t="shared" ref="DB47:DB48" si="143">((8*$H$1*$H$21)/(3.1415))*(((DA47)^4-(CZ47)^4)-(((DA47)^2-(CZ47)^2)^2/(LN(DA47/CZ47))))^-1</f>
        <v>3.321403459830376E+19</v>
      </c>
      <c r="DE47">
        <f t="shared" si="94"/>
        <v>10</v>
      </c>
      <c r="DF47">
        <f t="shared" si="135"/>
        <v>3.4285555311408213E-5</v>
      </c>
      <c r="DG47">
        <f t="shared" si="136"/>
        <v>3.4385555311408209E-5</v>
      </c>
      <c r="DH47">
        <f t="shared" si="137"/>
        <v>3.3055875234816733E+19</v>
      </c>
      <c r="DK47">
        <v>10</v>
      </c>
      <c r="DL47">
        <f t="shared" ref="DL47" si="144">DM46</f>
        <v>2.8539748208010325E-5</v>
      </c>
      <c r="DM47">
        <f t="shared" ref="DM47" si="145">$DL$38+DK47*$H$2</f>
        <v>2.8639748208010324E-5</v>
      </c>
      <c r="DN47">
        <f t="shared" ref="DN47" si="146">((8*$H$1*$H$23)/(3.1415))*(((DM47)^4-(DL47)^4)-(((DM47)^2-(DL47)^2)^2/(LN(DM47/DL47))))^-1</f>
        <v>3.2866832430375588E+19</v>
      </c>
    </row>
    <row r="48" spans="1:173" x14ac:dyDescent="0.35">
      <c r="A48">
        <f t="shared" si="58"/>
        <v>11</v>
      </c>
      <c r="B48">
        <f t="shared" si="59"/>
        <v>1.0009999999999999E-3</v>
      </c>
      <c r="C48">
        <f t="shared" si="13"/>
        <v>1.0011E-3</v>
      </c>
      <c r="D48">
        <f t="shared" si="34"/>
        <v>5.9671074338712797E+19</v>
      </c>
      <c r="G48">
        <f t="shared" si="60"/>
        <v>11</v>
      </c>
      <c r="H48">
        <f t="shared" si="61"/>
        <v>8.2889541615219209E-4</v>
      </c>
      <c r="I48">
        <f t="shared" si="14"/>
        <v>8.2899541615219204E-4</v>
      </c>
      <c r="J48">
        <f t="shared" si="35"/>
        <v>2.6515597806601834E+19</v>
      </c>
      <c r="M48">
        <f t="shared" si="62"/>
        <v>11</v>
      </c>
      <c r="N48">
        <f t="shared" si="63"/>
        <v>6.8641082008581125E-4</v>
      </c>
      <c r="O48">
        <f t="shared" si="15"/>
        <v>6.865108200858112E-4</v>
      </c>
      <c r="P48">
        <f t="shared" si="36"/>
        <v>3.3946961205601853E+19</v>
      </c>
      <c r="S48">
        <f t="shared" si="64"/>
        <v>11</v>
      </c>
      <c r="T48">
        <f t="shared" si="65"/>
        <v>5.6844847613015791E-4</v>
      </c>
      <c r="U48">
        <f t="shared" si="16"/>
        <v>5.6854847613015786E-4</v>
      </c>
      <c r="V48">
        <f t="shared" si="37"/>
        <v>2.6504608770203304E+19</v>
      </c>
      <c r="Y48">
        <f t="shared" si="66"/>
        <v>11</v>
      </c>
      <c r="Z48">
        <f t="shared" si="67"/>
        <v>4.7078799229070432E-4</v>
      </c>
      <c r="AA48">
        <f t="shared" si="17"/>
        <v>4.7088799229070432E-4</v>
      </c>
      <c r="AB48">
        <f t="shared" si="38"/>
        <v>2.6493105386571829E+19</v>
      </c>
      <c r="AE48">
        <f t="shared" si="68"/>
        <v>11</v>
      </c>
      <c r="AF48">
        <f t="shared" si="69"/>
        <v>3.8993532538081539E-4</v>
      </c>
      <c r="AG48">
        <f t="shared" si="18"/>
        <v>3.9003532538081539E-4</v>
      </c>
      <c r="AH48">
        <f t="shared" si="39"/>
        <v>2.6480607488859824E+19</v>
      </c>
      <c r="AK48">
        <f t="shared" si="70"/>
        <v>11</v>
      </c>
      <c r="AL48">
        <f t="shared" si="71"/>
        <v>3.2299777306243844E-4</v>
      </c>
      <c r="AM48">
        <f t="shared" si="19"/>
        <v>3.2309777306243845E-4</v>
      </c>
      <c r="AN48">
        <f t="shared" si="40"/>
        <v>2.6465024278060749E+19</v>
      </c>
      <c r="AQ48">
        <f t="shared" si="72"/>
        <v>11</v>
      </c>
      <c r="AR48">
        <f t="shared" si="73"/>
        <v>2.6758048032960661E-4</v>
      </c>
      <c r="AS48">
        <f t="shared" si="20"/>
        <v>2.6768048032960661E-4</v>
      </c>
      <c r="AT48">
        <f t="shared" si="41"/>
        <v>2.644769698056278E+19</v>
      </c>
      <c r="AW48">
        <f t="shared" si="74"/>
        <v>11</v>
      </c>
      <c r="AX48">
        <f t="shared" si="75"/>
        <v>2.2170075770053087E-4</v>
      </c>
      <c r="AY48">
        <f t="shared" si="21"/>
        <v>2.2180075770053087E-4</v>
      </c>
      <c r="AZ48">
        <f t="shared" si="42"/>
        <v>2.6425973577725915E+19</v>
      </c>
      <c r="BC48">
        <f t="shared" si="76"/>
        <v>11</v>
      </c>
      <c r="BD48">
        <f t="shared" si="77"/>
        <v>1.8371714564158507E-4</v>
      </c>
      <c r="BE48">
        <f t="shared" si="22"/>
        <v>1.8381714564158507E-4</v>
      </c>
      <c r="BF48">
        <f t="shared" si="43"/>
        <v>2.6400000233963979E+19</v>
      </c>
      <c r="BI48">
        <f t="shared" si="78"/>
        <v>11</v>
      </c>
      <c r="BJ48">
        <f t="shared" si="79"/>
        <v>1.5227068732908075E-4</v>
      </c>
      <c r="BK48">
        <f t="shared" si="23"/>
        <v>1.5237068732908076E-4</v>
      </c>
      <c r="BL48">
        <f t="shared" si="44"/>
        <v>2.6368601894922691E+19</v>
      </c>
      <c r="BO48">
        <f t="shared" si="80"/>
        <v>11</v>
      </c>
      <c r="BP48">
        <f t="shared" si="81"/>
        <v>1.2623630863793745E-4</v>
      </c>
      <c r="BQ48">
        <f t="shared" si="24"/>
        <v>1.2633630863793745E-4</v>
      </c>
      <c r="BR48">
        <f t="shared" ref="BR48:BR52" si="147">((8*$H$1*$H$15)/(3.1415))*(((BQ48)^4-(BP48)^4)-(((BQ48)^2-(BP48)^2)^2/(LN(BQ48/BP48))))^-1</f>
        <v>3.37138229084119E+19</v>
      </c>
      <c r="BU48">
        <f t="shared" si="82"/>
        <v>11</v>
      </c>
      <c r="BV48">
        <f>BW47</f>
        <v>1.0468256585716962E-4</v>
      </c>
      <c r="BW48">
        <f t="shared" si="25"/>
        <v>1.0478256585716962E-4</v>
      </c>
      <c r="BX48">
        <f t="shared" ref="BX48:BX51" si="148">((8*$F$1*$H$16)/(3.1415))*(((BW48)^4-(BV48)^4)-(((BW48)^2-(BV48)^2)^2/(LN(BW48/BV48))))^-1</f>
        <v>2.6285451924706488E+19</v>
      </c>
      <c r="CA48">
        <f t="shared" si="84"/>
        <v>11</v>
      </c>
      <c r="CB48">
        <f t="shared" si="85"/>
        <v>8.6838321008048482E-5</v>
      </c>
      <c r="CC48">
        <f t="shared" si="26"/>
        <v>8.6938321008048485E-5</v>
      </c>
      <c r="CD48">
        <f t="shared" si="47"/>
        <v>3.3585671200735551E+19</v>
      </c>
      <c r="CG48">
        <f t="shared" si="86"/>
        <v>11</v>
      </c>
      <c r="CH48">
        <f t="shared" si="87"/>
        <v>7.2065152492763732E-5</v>
      </c>
      <c r="CI48">
        <f t="shared" si="27"/>
        <v>7.2165152492763735E-5</v>
      </c>
      <c r="CJ48">
        <f t="shared" si="48"/>
        <v>3.3501503410807497E+19</v>
      </c>
      <c r="CM48">
        <f t="shared" si="88"/>
        <v>11</v>
      </c>
      <c r="CN48">
        <f t="shared" si="89"/>
        <v>5.9834513996915597E-5</v>
      </c>
      <c r="CO48">
        <f t="shared" si="28"/>
        <v>5.9934513996915599E-5</v>
      </c>
      <c r="CP48">
        <f t="shared" si="49"/>
        <v>3.3400413640716214E+19</v>
      </c>
      <c r="CS48">
        <f t="shared" si="90"/>
        <v>11</v>
      </c>
      <c r="CT48">
        <f t="shared" ref="CT48:CT49" si="149">CU47</f>
        <v>4.9708824449588419E-5</v>
      </c>
      <c r="CU48">
        <f t="shared" ref="CU48:CU49" si="150">$CT$38+CS48*$H$2</f>
        <v>4.9808824449588421E-5</v>
      </c>
      <c r="CV48">
        <f t="shared" ref="CV48:CV49" si="151">((8*$H$1*$H$20)/(3.1415))*(((CU48)^4-(CT48)^4)-(((CU48)^2-(CT48)^2)^2/(LN(CU48/CT48))))^-1</f>
        <v>3.3279109323639091E+19</v>
      </c>
      <c r="CY48">
        <f t="shared" si="92"/>
        <v>11</v>
      </c>
      <c r="CZ48">
        <f t="shared" si="141"/>
        <v>4.132581248797607E-5</v>
      </c>
      <c r="DA48">
        <f t="shared" si="142"/>
        <v>4.1425812487976072E-5</v>
      </c>
      <c r="DB48">
        <f t="shared" si="143"/>
        <v>3.3133760770193609E+19</v>
      </c>
      <c r="DE48">
        <v>11</v>
      </c>
      <c r="DF48">
        <f t="shared" ref="DF48" si="152">DG47</f>
        <v>3.4385555311408209E-5</v>
      </c>
      <c r="DG48">
        <f t="shared" ref="DG48" si="153">$DF$38+DE48*$H$2</f>
        <v>3.4485555311408211E-5</v>
      </c>
      <c r="DH48">
        <f t="shared" ref="DH48" si="154">((8*$H$1*$H$22)/(3.1415))*(((DG48)^4-(DF48)^4)-(((DG48)^2-(DF48)^2)^2/(LN(DG48/DF48))))^-1</f>
        <v>3.2959881438711165E+19</v>
      </c>
    </row>
    <row r="49" spans="1:106" x14ac:dyDescent="0.35">
      <c r="A49">
        <f t="shared" si="58"/>
        <v>12</v>
      </c>
      <c r="B49">
        <f t="shared" si="59"/>
        <v>1.0011E-3</v>
      </c>
      <c r="C49">
        <f t="shared" si="13"/>
        <v>1.0012E-3</v>
      </c>
      <c r="D49">
        <f t="shared" si="34"/>
        <v>5.9663161118571839E+19</v>
      </c>
      <c r="G49">
        <f t="shared" si="60"/>
        <v>12</v>
      </c>
      <c r="H49">
        <f t="shared" si="61"/>
        <v>8.2899541615219204E-4</v>
      </c>
      <c r="I49">
        <f t="shared" si="14"/>
        <v>8.290954161521921E-4</v>
      </c>
      <c r="J49">
        <f t="shared" si="35"/>
        <v>2.651123906076534E+19</v>
      </c>
      <c r="M49">
        <f t="shared" si="62"/>
        <v>12</v>
      </c>
      <c r="N49">
        <f t="shared" si="63"/>
        <v>6.865108200858112E-4</v>
      </c>
      <c r="O49">
        <f t="shared" si="15"/>
        <v>6.8661082008581126E-4</v>
      </c>
      <c r="P49">
        <f t="shared" si="36"/>
        <v>3.3940385319129362E+19</v>
      </c>
      <c r="S49">
        <f t="shared" si="64"/>
        <v>12</v>
      </c>
      <c r="T49">
        <f t="shared" si="65"/>
        <v>5.6854847613015786E-4</v>
      </c>
      <c r="U49">
        <f t="shared" si="16"/>
        <v>5.6864847613015792E-4</v>
      </c>
      <c r="V49">
        <f t="shared" si="37"/>
        <v>2.649716612571818E+19</v>
      </c>
      <c r="Y49">
        <f t="shared" si="66"/>
        <v>12</v>
      </c>
      <c r="Z49">
        <f t="shared" si="67"/>
        <v>4.7088799229070432E-4</v>
      </c>
      <c r="AA49">
        <f t="shared" si="17"/>
        <v>4.7098799229070427E-4</v>
      </c>
      <c r="AB49">
        <f t="shared" si="38"/>
        <v>2.6487157677752734E+19</v>
      </c>
      <c r="AE49">
        <f t="shared" si="68"/>
        <v>12</v>
      </c>
      <c r="AF49">
        <f t="shared" si="69"/>
        <v>3.9003532538081539E-4</v>
      </c>
      <c r="AG49">
        <f t="shared" si="18"/>
        <v>3.9013532538081534E-4</v>
      </c>
      <c r="AH49">
        <f t="shared" si="39"/>
        <v>2.6473709657503523E+19</v>
      </c>
      <c r="AK49">
        <f t="shared" si="70"/>
        <v>12</v>
      </c>
      <c r="AL49">
        <f t="shared" si="71"/>
        <v>3.2309777306243845E-4</v>
      </c>
      <c r="AM49">
        <f t="shared" si="19"/>
        <v>3.2319777306243839E-4</v>
      </c>
      <c r="AN49">
        <f t="shared" si="40"/>
        <v>2.6457303052668715E+19</v>
      </c>
      <c r="AQ49">
        <f t="shared" si="72"/>
        <v>12</v>
      </c>
      <c r="AR49">
        <f t="shared" si="73"/>
        <v>2.6768048032960661E-4</v>
      </c>
      <c r="AS49">
        <f t="shared" si="20"/>
        <v>2.6778048032960656E-4</v>
      </c>
      <c r="AT49">
        <f t="shared" si="41"/>
        <v>2.6437476925851038E+19</v>
      </c>
      <c r="AW49">
        <f t="shared" si="74"/>
        <v>12</v>
      </c>
      <c r="AX49">
        <f t="shared" si="75"/>
        <v>2.2180075770053087E-4</v>
      </c>
      <c r="AY49">
        <f t="shared" si="21"/>
        <v>2.2190075770053087E-4</v>
      </c>
      <c r="AZ49">
        <f t="shared" si="42"/>
        <v>2.6414101549996265E+19</v>
      </c>
      <c r="BC49">
        <f t="shared" si="76"/>
        <v>12</v>
      </c>
      <c r="BD49">
        <f t="shared" si="77"/>
        <v>1.8381714564158507E-4</v>
      </c>
      <c r="BE49">
        <f t="shared" si="22"/>
        <v>1.8391714564158508E-4</v>
      </c>
      <c r="BF49">
        <f t="shared" si="43"/>
        <v>2.638552991296793E+19</v>
      </c>
      <c r="BI49">
        <f t="shared" si="78"/>
        <v>12</v>
      </c>
      <c r="BJ49">
        <f t="shared" si="79"/>
        <v>1.5237068732908076E-4</v>
      </c>
      <c r="BK49">
        <f t="shared" si="23"/>
        <v>1.5247068732908076E-4</v>
      </c>
      <c r="BL49">
        <f t="shared" si="44"/>
        <v>2.6351321580833497E+19</v>
      </c>
      <c r="BO49">
        <f t="shared" si="80"/>
        <v>12</v>
      </c>
      <c r="BP49">
        <f t="shared" si="81"/>
        <v>1.2633630863793745E-4</v>
      </c>
      <c r="BQ49">
        <f t="shared" si="24"/>
        <v>1.2643630863793745E-4</v>
      </c>
      <c r="BR49">
        <f t="shared" si="147"/>
        <v>3.3687168308898664E+19</v>
      </c>
      <c r="BU49">
        <f t="shared" si="82"/>
        <v>12</v>
      </c>
      <c r="BV49">
        <f t="shared" si="83"/>
        <v>1.0478256585716962E-4</v>
      </c>
      <c r="BW49">
        <f t="shared" si="25"/>
        <v>1.0488256585716962E-4</v>
      </c>
      <c r="BX49">
        <f t="shared" si="148"/>
        <v>2.6260372380536488E+19</v>
      </c>
      <c r="CA49">
        <f t="shared" si="84"/>
        <v>12</v>
      </c>
      <c r="CB49">
        <f t="shared" si="85"/>
        <v>8.6938321008048485E-5</v>
      </c>
      <c r="CC49">
        <f t="shared" si="26"/>
        <v>8.7038321008048487E-5</v>
      </c>
      <c r="CD49">
        <f t="shared" si="47"/>
        <v>3.3547067504602755E+19</v>
      </c>
      <c r="CG49">
        <f t="shared" si="86"/>
        <v>12</v>
      </c>
      <c r="CH49">
        <f t="shared" si="87"/>
        <v>7.2165152492763735E-5</v>
      </c>
      <c r="CI49">
        <f t="shared" si="27"/>
        <v>7.2265152492763737E-5</v>
      </c>
      <c r="CJ49">
        <f t="shared" si="48"/>
        <v>3.3455112538312671E+19</v>
      </c>
      <c r="CM49">
        <f t="shared" si="88"/>
        <v>12</v>
      </c>
      <c r="CN49">
        <f t="shared" ref="CN49:CN50" si="155">CO48</f>
        <v>5.9934513996915599E-5</v>
      </c>
      <c r="CO49">
        <f t="shared" ref="CO49:CO50" si="156">$CN$38+CM49*$H$2</f>
        <v>6.0034513996915602E-5</v>
      </c>
      <c r="CP49">
        <f t="shared" ref="CP49:CP50" si="157">((8*$H$1*$H$19)/(3.1415))*(((CO49)^4-(CN49)^4)-(((CO49)^2-(CN49)^2)^2/(LN(CO49/CN49))))^-1</f>
        <v>3.334473090732281E+19</v>
      </c>
      <c r="CS49">
        <f t="shared" si="90"/>
        <v>12</v>
      </c>
      <c r="CT49">
        <f t="shared" si="149"/>
        <v>4.9808824449588421E-5</v>
      </c>
      <c r="CU49">
        <f t="shared" si="150"/>
        <v>4.9908824449588423E-5</v>
      </c>
      <c r="CV49">
        <f t="shared" si="151"/>
        <v>3.3212362270687519E+19</v>
      </c>
      <c r="CY49">
        <v>12</v>
      </c>
      <c r="CZ49">
        <f t="shared" ref="CZ49" si="158">DA48</f>
        <v>4.1425812487976072E-5</v>
      </c>
      <c r="DA49">
        <f t="shared" ref="DA49" si="159">$CZ$38+CY49*$H$2</f>
        <v>4.1525812487976075E-5</v>
      </c>
      <c r="DB49">
        <f t="shared" ref="DB49" si="160">((8*$H$1*$H$21)/(3.1415))*(((DA49)^4-(CZ49)^4)-(((DA49)^2-(CZ49)^2)^2/(LN(DA49/CZ49))))^-1</f>
        <v>3.3053873679572451E+19</v>
      </c>
    </row>
    <row r="50" spans="1:106" x14ac:dyDescent="0.35">
      <c r="A50">
        <f t="shared" si="58"/>
        <v>13</v>
      </c>
      <c r="B50">
        <f t="shared" si="59"/>
        <v>1.0012E-3</v>
      </c>
      <c r="C50">
        <f t="shared" si="13"/>
        <v>1.0013000000000001E-3</v>
      </c>
      <c r="D50">
        <f t="shared" si="34"/>
        <v>5.9665078080339927E+19</v>
      </c>
      <c r="G50">
        <f t="shared" si="60"/>
        <v>13</v>
      </c>
      <c r="H50">
        <f t="shared" si="61"/>
        <v>8.290954161521921E-4</v>
      </c>
      <c r="I50">
        <f t="shared" si="14"/>
        <v>8.2919541615219204E-4</v>
      </c>
      <c r="J50">
        <f t="shared" si="35"/>
        <v>2.6512598797817373E+19</v>
      </c>
      <c r="M50">
        <f t="shared" si="62"/>
        <v>13</v>
      </c>
      <c r="N50">
        <f t="shared" si="63"/>
        <v>6.8661082008581126E-4</v>
      </c>
      <c r="O50">
        <f t="shared" si="15"/>
        <v>6.8671082008581121E-4</v>
      </c>
      <c r="P50">
        <f t="shared" si="36"/>
        <v>3.3937728443993403E+19</v>
      </c>
      <c r="S50">
        <f t="shared" si="64"/>
        <v>13</v>
      </c>
      <c r="T50">
        <f t="shared" si="65"/>
        <v>5.6864847613015792E-4</v>
      </c>
      <c r="U50">
        <f t="shared" si="16"/>
        <v>5.6874847613015787E-4</v>
      </c>
      <c r="V50">
        <f t="shared" si="37"/>
        <v>2.6493199601306194E+19</v>
      </c>
      <c r="Y50">
        <f t="shared" si="66"/>
        <v>13</v>
      </c>
      <c r="Z50">
        <f t="shared" si="67"/>
        <v>4.7098799229070427E-4</v>
      </c>
      <c r="AA50">
        <f t="shared" si="17"/>
        <v>4.7108799229070427E-4</v>
      </c>
      <c r="AB50">
        <f t="shared" si="38"/>
        <v>2.6481646346956796E+19</v>
      </c>
      <c r="AE50">
        <f t="shared" si="68"/>
        <v>13</v>
      </c>
      <c r="AF50">
        <f t="shared" si="69"/>
        <v>3.9013532538081534E-4</v>
      </c>
      <c r="AG50">
        <f t="shared" si="18"/>
        <v>3.9023532538081534E-4</v>
      </c>
      <c r="AH50">
        <f t="shared" si="39"/>
        <v>2.6467180065200271E+19</v>
      </c>
      <c r="AK50">
        <f t="shared" si="70"/>
        <v>13</v>
      </c>
      <c r="AL50">
        <f t="shared" si="71"/>
        <v>3.2319777306243839E-4</v>
      </c>
      <c r="AM50">
        <f t="shared" si="19"/>
        <v>3.232977730624384E-4</v>
      </c>
      <c r="AN50">
        <f t="shared" si="40"/>
        <v>2.6449010030276936E+19</v>
      </c>
      <c r="AQ50">
        <f t="shared" si="72"/>
        <v>13</v>
      </c>
      <c r="AR50">
        <f t="shared" si="73"/>
        <v>2.6778048032960656E-4</v>
      </c>
      <c r="AS50">
        <f t="shared" si="20"/>
        <v>2.6788048032960656E-4</v>
      </c>
      <c r="AT50">
        <f t="shared" si="41"/>
        <v>2.6427809331525984E+19</v>
      </c>
      <c r="AW50">
        <f t="shared" si="74"/>
        <v>13</v>
      </c>
      <c r="AX50">
        <f t="shared" si="75"/>
        <v>2.2190075770053087E-4</v>
      </c>
      <c r="AY50">
        <f t="shared" si="21"/>
        <v>2.2200075770053087E-4</v>
      </c>
      <c r="AZ50">
        <f t="shared" si="42"/>
        <v>2.6402041349485191E+19</v>
      </c>
      <c r="BC50">
        <f t="shared" si="76"/>
        <v>13</v>
      </c>
      <c r="BD50">
        <f t="shared" si="77"/>
        <v>1.8391714564158508E-4</v>
      </c>
      <c r="BE50">
        <f t="shared" si="22"/>
        <v>1.8401714564158508E-4</v>
      </c>
      <c r="BF50">
        <f t="shared" si="43"/>
        <v>2.637123608076875E+19</v>
      </c>
      <c r="BI50">
        <f t="shared" si="78"/>
        <v>13</v>
      </c>
      <c r="BJ50">
        <f t="shared" si="79"/>
        <v>1.5247068732908076E-4</v>
      </c>
      <c r="BK50">
        <f t="shared" si="23"/>
        <v>1.5257068732908076E-4</v>
      </c>
      <c r="BL50">
        <f t="shared" si="44"/>
        <v>2.6334041529867301E+19</v>
      </c>
      <c r="BO50">
        <f t="shared" si="80"/>
        <v>13</v>
      </c>
      <c r="BP50">
        <f t="shared" si="81"/>
        <v>1.2643630863793745E-4</v>
      </c>
      <c r="BQ50">
        <f t="shared" si="24"/>
        <v>1.2653630863793746E-4</v>
      </c>
      <c r="BR50">
        <f t="shared" si="147"/>
        <v>3.3660533393512129E+19</v>
      </c>
      <c r="BU50">
        <f t="shared" si="82"/>
        <v>13</v>
      </c>
      <c r="BV50">
        <f t="shared" si="83"/>
        <v>1.0488256585716962E-4</v>
      </c>
      <c r="BW50">
        <f t="shared" si="25"/>
        <v>1.0498256585716963E-4</v>
      </c>
      <c r="BX50">
        <f t="shared" si="148"/>
        <v>2.6235350381447889E+19</v>
      </c>
      <c r="CA50">
        <f t="shared" si="84"/>
        <v>13</v>
      </c>
      <c r="CB50">
        <f t="shared" si="85"/>
        <v>8.7038321008048487E-5</v>
      </c>
      <c r="CC50">
        <f t="shared" si="26"/>
        <v>8.713832100804849E-5</v>
      </c>
      <c r="CD50">
        <f t="shared" si="47"/>
        <v>3.3508532927984542E+19</v>
      </c>
      <c r="CG50">
        <f t="shared" si="86"/>
        <v>13</v>
      </c>
      <c r="CH50">
        <f t="shared" ref="CH50:CH51" si="161">CI49</f>
        <v>7.2265152492763737E-5</v>
      </c>
      <c r="CI50">
        <f t="shared" ref="CI50:CI51" si="162">$CH$38+CG50*$H$2</f>
        <v>7.236515249276374E-5</v>
      </c>
      <c r="CJ50">
        <f t="shared" ref="CJ50:CJ51" si="163">((8*$H$1*$H$18)/(3.1415))*(((CI50)^4-(CH50)^4)-(((CI50)^2-(CH50)^2)^2/(LN(CI50/CH50))))^-1</f>
        <v>3.3408852444174213E+19</v>
      </c>
      <c r="CM50">
        <f t="shared" si="88"/>
        <v>13</v>
      </c>
      <c r="CN50">
        <f t="shared" si="155"/>
        <v>6.0034513996915602E-5</v>
      </c>
      <c r="CO50">
        <f t="shared" si="156"/>
        <v>6.0134513996915597E-5</v>
      </c>
      <c r="CP50">
        <f t="shared" si="157"/>
        <v>3.3289232379904934E+19</v>
      </c>
      <c r="CS50">
        <v>13</v>
      </c>
      <c r="CT50">
        <f t="shared" ref="CT50" si="164">CU49</f>
        <v>4.9908824449588423E-5</v>
      </c>
      <c r="CU50">
        <f t="shared" ref="CU50" si="165">$CT$38+CS50*$H$2</f>
        <v>5.0008824449588419E-5</v>
      </c>
      <c r="CV50">
        <f t="shared" ref="CV50" si="166">((8*$H$1*$H$20)/(3.1415))*(((CU50)^4-(CT50)^4)-(((CU50)^2-(CT50)^2)^2/(LN(CU50/CT50))))^-1</f>
        <v>3.3145882520331305E+19</v>
      </c>
    </row>
    <row r="51" spans="1:106" x14ac:dyDescent="0.35">
      <c r="A51">
        <f t="shared" si="58"/>
        <v>14</v>
      </c>
      <c r="B51">
        <f t="shared" si="59"/>
        <v>1.0013000000000001E-3</v>
      </c>
      <c r="C51">
        <f t="shared" si="13"/>
        <v>1.0013999999999999E-3</v>
      </c>
      <c r="D51">
        <f t="shared" si="34"/>
        <v>5.9668337198066016E+19</v>
      </c>
      <c r="G51">
        <f t="shared" si="60"/>
        <v>14</v>
      </c>
      <c r="H51">
        <f t="shared" si="61"/>
        <v>8.2919541615219204E-4</v>
      </c>
      <c r="I51">
        <f t="shared" si="14"/>
        <v>8.292954161521921E-4</v>
      </c>
      <c r="J51">
        <f t="shared" si="35"/>
        <v>2.6513033943132541E+19</v>
      </c>
      <c r="M51">
        <f t="shared" si="62"/>
        <v>14</v>
      </c>
      <c r="N51">
        <f t="shared" si="63"/>
        <v>6.8671082008581121E-4</v>
      </c>
      <c r="O51">
        <f t="shared" si="15"/>
        <v>6.8681082008581126E-4</v>
      </c>
      <c r="P51">
        <f t="shared" si="36"/>
        <v>3.3928816738835554E+19</v>
      </c>
      <c r="S51">
        <f t="shared" si="64"/>
        <v>14</v>
      </c>
      <c r="T51">
        <f t="shared" si="65"/>
        <v>5.6874847613015787E-4</v>
      </c>
      <c r="U51">
        <f t="shared" si="16"/>
        <v>5.6884847613015792E-4</v>
      </c>
      <c r="V51">
        <f t="shared" si="37"/>
        <v>2.6489089607237456E+19</v>
      </c>
      <c r="Y51">
        <f t="shared" si="66"/>
        <v>14</v>
      </c>
      <c r="Z51">
        <f t="shared" si="67"/>
        <v>4.7108799229070427E-4</v>
      </c>
      <c r="AA51">
        <f t="shared" si="17"/>
        <v>4.7118799229070428E-4</v>
      </c>
      <c r="AB51">
        <f t="shared" si="38"/>
        <v>2.6474817029224337E+19</v>
      </c>
      <c r="AE51">
        <f t="shared" si="68"/>
        <v>14</v>
      </c>
      <c r="AF51">
        <f t="shared" si="69"/>
        <v>3.9023532538081534E-4</v>
      </c>
      <c r="AG51">
        <f t="shared" si="18"/>
        <v>3.9033532538081535E-4</v>
      </c>
      <c r="AH51">
        <f t="shared" si="39"/>
        <v>2.646013974479725E+19</v>
      </c>
      <c r="AK51">
        <f t="shared" si="70"/>
        <v>14</v>
      </c>
      <c r="AL51">
        <f t="shared" si="71"/>
        <v>3.232977730624384E-4</v>
      </c>
      <c r="AM51">
        <f t="shared" si="19"/>
        <v>3.233977730624384E-4</v>
      </c>
      <c r="AN51">
        <f t="shared" si="40"/>
        <v>2.6440716441142505E+19</v>
      </c>
      <c r="AQ51">
        <f t="shared" si="72"/>
        <v>14</v>
      </c>
      <c r="AR51">
        <f t="shared" si="73"/>
        <v>2.6788048032960656E-4</v>
      </c>
      <c r="AS51">
        <f t="shared" si="20"/>
        <v>2.6798048032960657E-4</v>
      </c>
      <c r="AT51">
        <f t="shared" si="41"/>
        <v>2.6417837296439828E+19</v>
      </c>
      <c r="AW51">
        <f t="shared" si="74"/>
        <v>14</v>
      </c>
      <c r="AX51">
        <f t="shared" si="75"/>
        <v>2.2200075770053087E-4</v>
      </c>
      <c r="AY51">
        <f t="shared" si="21"/>
        <v>2.2210075770053088E-4</v>
      </c>
      <c r="AZ51">
        <f t="shared" si="42"/>
        <v>2.6390264491071226E+19</v>
      </c>
      <c r="BC51">
        <f t="shared" si="76"/>
        <v>14</v>
      </c>
      <c r="BD51">
        <f t="shared" si="77"/>
        <v>1.8401714564158508E-4</v>
      </c>
      <c r="BE51">
        <f t="shared" si="22"/>
        <v>1.8411714564158508E-4</v>
      </c>
      <c r="BF51">
        <f t="shared" si="43"/>
        <v>2.635692728107692E+19</v>
      </c>
      <c r="BI51">
        <f t="shared" si="78"/>
        <v>14</v>
      </c>
      <c r="BJ51">
        <f t="shared" si="79"/>
        <v>1.5257068732908076E-4</v>
      </c>
      <c r="BK51">
        <f t="shared" si="23"/>
        <v>1.5267068732908076E-4</v>
      </c>
      <c r="BL51">
        <f t="shared" si="44"/>
        <v>2.6316804500989985E+19</v>
      </c>
      <c r="BO51">
        <f t="shared" si="80"/>
        <v>14</v>
      </c>
      <c r="BP51">
        <f t="shared" si="81"/>
        <v>1.2653630863793746E-4</v>
      </c>
      <c r="BQ51">
        <f t="shared" si="24"/>
        <v>1.2663630863793746E-4</v>
      </c>
      <c r="BR51">
        <f t="shared" si="147"/>
        <v>3.3633928300827005E+19</v>
      </c>
      <c r="BU51">
        <f t="shared" si="82"/>
        <v>14</v>
      </c>
      <c r="BV51">
        <f t="shared" si="83"/>
        <v>1.0498256585716963E-4</v>
      </c>
      <c r="BW51">
        <f t="shared" si="25"/>
        <v>1.0508256585716961E-4</v>
      </c>
      <c r="BX51">
        <f t="shared" si="148"/>
        <v>2.6210380526704083E+19</v>
      </c>
      <c r="CA51">
        <f t="shared" si="84"/>
        <v>14</v>
      </c>
      <c r="CB51">
        <f t="shared" ref="CB51:CB52" si="167">CC50</f>
        <v>8.713832100804849E-5</v>
      </c>
      <c r="CC51">
        <f t="shared" ref="CC51:CC52" si="168">$CB$38+CA51*$H$2</f>
        <v>8.7238321008048479E-5</v>
      </c>
      <c r="CD51">
        <f t="shared" ref="CD51:CD52" si="169">((8*$H$1*$H$17)/(3.1415))*(((CC51)^4-(CB51)^4)-(((CC51)^2-(CB51)^2)^2/(LN(CC51/CB51))))^-1</f>
        <v>3.3470093015075754E+19</v>
      </c>
      <c r="CG51">
        <f t="shared" si="86"/>
        <v>14</v>
      </c>
      <c r="CH51">
        <f t="shared" si="161"/>
        <v>7.236515249276374E-5</v>
      </c>
      <c r="CI51">
        <f t="shared" si="162"/>
        <v>7.2465152492763728E-5</v>
      </c>
      <c r="CJ51">
        <f t="shared" si="163"/>
        <v>3.3362715746893779E+19</v>
      </c>
      <c r="CM51">
        <v>14</v>
      </c>
      <c r="CN51">
        <f t="shared" ref="CN51" si="170">CO50</f>
        <v>6.0134513996915597E-5</v>
      </c>
      <c r="CO51">
        <f t="shared" ref="CO51" si="171">$CN$38+CM51*$H$2</f>
        <v>6.02345139969156E-5</v>
      </c>
      <c r="CP51">
        <f t="shared" ref="CP51" si="172">((8*$H$1*$H$19)/(3.1415))*(((CO51)^4-(CN51)^4)-(((CO51)^2-(CN51)^2)^2/(LN(CO51/CN51))))^-1</f>
        <v>3.3233923352456557E+19</v>
      </c>
    </row>
    <row r="52" spans="1:106" x14ac:dyDescent="0.35">
      <c r="A52">
        <f t="shared" si="58"/>
        <v>15</v>
      </c>
      <c r="B52">
        <f t="shared" si="59"/>
        <v>1.0013999999999999E-3</v>
      </c>
      <c r="C52">
        <f t="shared" si="13"/>
        <v>1.0015E-3</v>
      </c>
      <c r="D52">
        <f t="shared" si="34"/>
        <v>5.9656961582248436E+19</v>
      </c>
      <c r="G52">
        <f t="shared" si="60"/>
        <v>15</v>
      </c>
      <c r="H52">
        <f t="shared" si="61"/>
        <v>8.292954161521921E-4</v>
      </c>
      <c r="I52">
        <f t="shared" si="14"/>
        <v>8.2939541615219205E-4</v>
      </c>
      <c r="J52">
        <f t="shared" si="35"/>
        <v>2.6500891894382453E+19</v>
      </c>
      <c r="M52">
        <f t="shared" si="62"/>
        <v>15</v>
      </c>
      <c r="N52">
        <f t="shared" si="63"/>
        <v>6.8681082008581126E-4</v>
      </c>
      <c r="O52">
        <f t="shared" si="15"/>
        <v>6.8691082008581121E-4</v>
      </c>
      <c r="P52">
        <f t="shared" si="36"/>
        <v>3.3927179080392098E+19</v>
      </c>
      <c r="S52">
        <f t="shared" si="64"/>
        <v>15</v>
      </c>
      <c r="T52">
        <f t="shared" si="65"/>
        <v>5.6884847613015792E-4</v>
      </c>
      <c r="U52">
        <f t="shared" si="16"/>
        <v>5.6894847613015787E-4</v>
      </c>
      <c r="V52">
        <f t="shared" si="37"/>
        <v>2.6484224282467635E+19</v>
      </c>
      <c r="Y52">
        <f t="shared" si="66"/>
        <v>15</v>
      </c>
      <c r="Z52">
        <f t="shared" si="67"/>
        <v>4.7118799229070428E-4</v>
      </c>
      <c r="AA52">
        <f t="shared" si="17"/>
        <v>4.7128799229070428E-4</v>
      </c>
      <c r="AB52">
        <f t="shared" si="38"/>
        <v>2.6469372622755611E+19</v>
      </c>
      <c r="AE52">
        <f t="shared" si="68"/>
        <v>15</v>
      </c>
      <c r="AF52">
        <f t="shared" si="69"/>
        <v>3.9033532538081535E-4</v>
      </c>
      <c r="AG52">
        <f t="shared" si="18"/>
        <v>3.9043532538081535E-4</v>
      </c>
      <c r="AH52">
        <f t="shared" si="39"/>
        <v>2.6453233308420166E+19</v>
      </c>
      <c r="AK52">
        <f t="shared" si="70"/>
        <v>15</v>
      </c>
      <c r="AL52">
        <f t="shared" si="71"/>
        <v>3.233977730624384E-4</v>
      </c>
      <c r="AM52">
        <f t="shared" si="19"/>
        <v>3.234977730624384E-4</v>
      </c>
      <c r="AN52">
        <f t="shared" si="40"/>
        <v>2.6432472340521759E+19</v>
      </c>
      <c r="AQ52">
        <f t="shared" si="72"/>
        <v>15</v>
      </c>
      <c r="AR52">
        <f t="shared" si="73"/>
        <v>2.6798048032960657E-4</v>
      </c>
      <c r="AS52">
        <f t="shared" si="20"/>
        <v>2.6808048032960657E-4</v>
      </c>
      <c r="AT52">
        <f t="shared" si="41"/>
        <v>2.6407863448213893E+19</v>
      </c>
      <c r="AW52">
        <f t="shared" si="74"/>
        <v>15</v>
      </c>
      <c r="AX52">
        <f t="shared" si="75"/>
        <v>2.2210075770053088E-4</v>
      </c>
      <c r="AY52">
        <f t="shared" si="21"/>
        <v>2.2220075770053088E-4</v>
      </c>
      <c r="AZ52">
        <f t="shared" si="42"/>
        <v>2.63782183591267E+19</v>
      </c>
      <c r="BC52">
        <f t="shared" si="76"/>
        <v>15</v>
      </c>
      <c r="BD52">
        <f t="shared" si="77"/>
        <v>1.8411714564158508E-4</v>
      </c>
      <c r="BE52">
        <f t="shared" si="22"/>
        <v>1.8421714564158508E-4</v>
      </c>
      <c r="BF52">
        <f t="shared" si="43"/>
        <v>2.6342641975733387E+19</v>
      </c>
      <c r="BI52">
        <f t="shared" si="78"/>
        <v>15</v>
      </c>
      <c r="BJ52">
        <f t="shared" si="79"/>
        <v>1.5267068732908076E-4</v>
      </c>
      <c r="BK52">
        <f t="shared" si="23"/>
        <v>1.5277068732908077E-4</v>
      </c>
      <c r="BL52">
        <f t="shared" si="44"/>
        <v>2.6299548905055539E+19</v>
      </c>
      <c r="BO52">
        <f t="shared" si="80"/>
        <v>15</v>
      </c>
      <c r="BP52">
        <f t="shared" si="81"/>
        <v>1.2663630863793746E-4</v>
      </c>
      <c r="BQ52">
        <f t="shared" si="24"/>
        <v>1.2673630863793746E-4</v>
      </c>
      <c r="BR52">
        <f t="shared" si="147"/>
        <v>3.3607399316114514E+19</v>
      </c>
      <c r="BU52">
        <f t="shared" si="82"/>
        <v>15</v>
      </c>
      <c r="BV52">
        <f t="shared" ref="BV52:BV53" si="173">BW51</f>
        <v>1.0508256585716961E-4</v>
      </c>
      <c r="BW52">
        <f t="shared" ref="BW52:BW53" si="174">$BV$38+BU52*$H$2</f>
        <v>1.0518256585716962E-4</v>
      </c>
      <c r="BX52">
        <f t="shared" ref="BX52:BX53" si="175">((8*$F$1*$H$16)/(3.1415))*(((BW52)^4-(BV52)^4)-(((BW52)^2-(BV52)^2)^2/(LN(BW52/BV52))))^-1</f>
        <v>2.618543421490015E+19</v>
      </c>
      <c r="CA52">
        <f t="shared" si="84"/>
        <v>15</v>
      </c>
      <c r="CB52">
        <f t="shared" si="167"/>
        <v>8.7238321008048479E-5</v>
      </c>
      <c r="CC52">
        <f t="shared" si="168"/>
        <v>8.7338321008048481E-5</v>
      </c>
      <c r="CD52">
        <f t="shared" si="169"/>
        <v>3.3431771304650723E+19</v>
      </c>
      <c r="CG52">
        <v>15</v>
      </c>
      <c r="CH52">
        <f t="shared" ref="CH52" si="176">CI51</f>
        <v>7.2465152492763728E-5</v>
      </c>
      <c r="CI52">
        <f t="shared" ref="CI52" si="177">$CH$38+CG52*$H$2</f>
        <v>7.2565152492763731E-5</v>
      </c>
      <c r="CJ52">
        <f t="shared" ref="CJ52" si="178">((8*$H$1*$H$18)/(3.1415))*(((CI52)^4-(CH52)^4)-(((CI52)^2-(CH52)^2)^2/(LN(CI52/CH52))))^-1</f>
        <v>3.3316708565562175E+19</v>
      </c>
    </row>
    <row r="53" spans="1:106" x14ac:dyDescent="0.35">
      <c r="A53">
        <f t="shared" si="58"/>
        <v>16</v>
      </c>
      <c r="B53">
        <f t="shared" si="59"/>
        <v>1.0015E-3</v>
      </c>
      <c r="C53">
        <f t="shared" si="13"/>
        <v>1.0016000000000001E-3</v>
      </c>
      <c r="D53">
        <f t="shared" si="34"/>
        <v>5.9667876625007313E+19</v>
      </c>
      <c r="G53">
        <f t="shared" si="60"/>
        <v>16</v>
      </c>
      <c r="H53">
        <f t="shared" si="61"/>
        <v>8.2939541615219205E-4</v>
      </c>
      <c r="I53">
        <f t="shared" si="14"/>
        <v>8.2949541615219211E-4</v>
      </c>
      <c r="J53">
        <f t="shared" si="35"/>
        <v>2.6507056674622939E+19</v>
      </c>
      <c r="M53">
        <f t="shared" si="62"/>
        <v>16</v>
      </c>
      <c r="N53">
        <f t="shared" si="63"/>
        <v>6.8691082008581121E-4</v>
      </c>
      <c r="O53">
        <f t="shared" si="15"/>
        <v>6.8701082008581127E-4</v>
      </c>
      <c r="P53">
        <f t="shared" si="36"/>
        <v>3.3922659671099019E+19</v>
      </c>
      <c r="S53">
        <f t="shared" si="64"/>
        <v>16</v>
      </c>
      <c r="T53">
        <f t="shared" si="65"/>
        <v>5.6894847613015787E-4</v>
      </c>
      <c r="U53">
        <f t="shared" si="16"/>
        <v>5.6904847613015793E-4</v>
      </c>
      <c r="V53">
        <f t="shared" si="37"/>
        <v>2.6478748142142001E+19</v>
      </c>
      <c r="Y53">
        <f t="shared" si="66"/>
        <v>16</v>
      </c>
      <c r="Z53">
        <f t="shared" si="67"/>
        <v>4.7128799229070428E-4</v>
      </c>
      <c r="AA53">
        <f t="shared" si="17"/>
        <v>4.7138799229070428E-4</v>
      </c>
      <c r="AB53">
        <f t="shared" si="38"/>
        <v>2.6464307799216873E+19</v>
      </c>
      <c r="AE53">
        <f t="shared" si="68"/>
        <v>16</v>
      </c>
      <c r="AF53">
        <f t="shared" si="69"/>
        <v>3.9043532538081535E-4</v>
      </c>
      <c r="AG53">
        <f t="shared" si="18"/>
        <v>3.9053532538081535E-4</v>
      </c>
      <c r="AH53">
        <f t="shared" si="39"/>
        <v>2.6445750250994958E+19</v>
      </c>
      <c r="AK53">
        <f t="shared" si="70"/>
        <v>16</v>
      </c>
      <c r="AL53">
        <f t="shared" si="71"/>
        <v>3.234977730624384E-4</v>
      </c>
      <c r="AM53">
        <f t="shared" si="19"/>
        <v>3.235977730624384E-4</v>
      </c>
      <c r="AN53">
        <f t="shared" si="40"/>
        <v>2.6424582284394349E+19</v>
      </c>
      <c r="AQ53">
        <f t="shared" si="72"/>
        <v>16</v>
      </c>
      <c r="AR53">
        <f t="shared" si="73"/>
        <v>2.6808048032960657E-4</v>
      </c>
      <c r="AS53">
        <f t="shared" si="20"/>
        <v>2.6818048032960657E-4</v>
      </c>
      <c r="AT53">
        <f t="shared" si="41"/>
        <v>2.6398118745299173E+19</v>
      </c>
      <c r="AW53">
        <f t="shared" si="74"/>
        <v>16</v>
      </c>
      <c r="AX53">
        <f t="shared" si="75"/>
        <v>2.2220075770053088E-4</v>
      </c>
      <c r="AY53">
        <f t="shared" si="21"/>
        <v>2.2230075770053088E-4</v>
      </c>
      <c r="AZ53">
        <f t="shared" si="42"/>
        <v>2.6366600033874768E+19</v>
      </c>
      <c r="BC53">
        <f t="shared" si="76"/>
        <v>16</v>
      </c>
      <c r="BD53">
        <f t="shared" si="77"/>
        <v>1.8421714564158508E-4</v>
      </c>
      <c r="BE53">
        <f t="shared" si="22"/>
        <v>1.8431714564158509E-4</v>
      </c>
      <c r="BF53">
        <f t="shared" si="43"/>
        <v>2.6328305072023421E+19</v>
      </c>
      <c r="BI53">
        <f t="shared" si="78"/>
        <v>16</v>
      </c>
      <c r="BJ53">
        <f t="shared" si="79"/>
        <v>1.5277068732908077E-4</v>
      </c>
      <c r="BK53">
        <f t="shared" si="23"/>
        <v>1.5287068732908077E-4</v>
      </c>
      <c r="BL53">
        <f t="shared" si="44"/>
        <v>2.6282308917464781E+19</v>
      </c>
      <c r="BO53">
        <f t="shared" si="80"/>
        <v>16</v>
      </c>
      <c r="BP53">
        <f t="shared" ref="BP53:BP54" si="179">BQ52</f>
        <v>1.2673630863793746E-4</v>
      </c>
      <c r="BQ53">
        <f t="shared" ref="BQ53:BQ54" si="180">$BP$38+BO53*$H$2</f>
        <v>1.2683630863793746E-4</v>
      </c>
      <c r="BR53">
        <f t="shared" ref="BR53:BR54" si="181">((8*$H$1*$H$15)/(3.1415))*(((BQ53)^4-(BP53)^4)-(((BQ53)^2-(BP53)^2)^2/(LN(BQ53/BP53))))^-1</f>
        <v>3.3580873928545133E+19</v>
      </c>
      <c r="BU53">
        <f t="shared" si="82"/>
        <v>16</v>
      </c>
      <c r="BV53">
        <f t="shared" si="173"/>
        <v>1.0518256585716962E-4</v>
      </c>
      <c r="BW53">
        <f t="shared" si="174"/>
        <v>1.0528256585716962E-4</v>
      </c>
      <c r="BX53">
        <f t="shared" si="175"/>
        <v>2.6160574466772824E+19</v>
      </c>
      <c r="CA53">
        <v>16</v>
      </c>
      <c r="CB53">
        <f t="shared" ref="CB53" si="182">CC52</f>
        <v>8.7338321008048481E-5</v>
      </c>
      <c r="CC53">
        <f t="shared" ref="CC53" si="183">$CB$38+CA53*$H$2</f>
        <v>8.7438321008048483E-5</v>
      </c>
      <c r="CD53">
        <f t="shared" ref="CD53" si="184">((8*$H$1*$H$17)/(3.1415))*(((CC53)^4-(CB53)^4)-(((CC53)^2-(CB53)^2)^2/(LN(CC53/CB53))))^-1</f>
        <v>3.3393494497443168E+19</v>
      </c>
    </row>
    <row r="54" spans="1:106" x14ac:dyDescent="0.35">
      <c r="A54">
        <f t="shared" si="58"/>
        <v>17</v>
      </c>
      <c r="B54">
        <f t="shared" si="59"/>
        <v>1.0016000000000001E-3</v>
      </c>
      <c r="C54">
        <f t="shared" si="13"/>
        <v>1.0017000000000001E-3</v>
      </c>
      <c r="D54">
        <f t="shared" si="34"/>
        <v>5.9627312401279312E+19</v>
      </c>
      <c r="G54">
        <f t="shared" si="60"/>
        <v>17</v>
      </c>
      <c r="H54">
        <f t="shared" si="61"/>
        <v>8.2949541615219211E-4</v>
      </c>
      <c r="I54">
        <f t="shared" si="14"/>
        <v>8.2959541615219205E-4</v>
      </c>
      <c r="J54">
        <f t="shared" si="35"/>
        <v>2.6497926920475267E+19</v>
      </c>
      <c r="M54">
        <f t="shared" si="62"/>
        <v>17</v>
      </c>
      <c r="N54">
        <f t="shared" si="63"/>
        <v>6.8701082008581127E-4</v>
      </c>
      <c r="O54">
        <f t="shared" si="15"/>
        <v>6.8711082008581122E-4</v>
      </c>
      <c r="P54">
        <f t="shared" si="36"/>
        <v>3.3914292491643814E+19</v>
      </c>
      <c r="S54">
        <f t="shared" si="64"/>
        <v>17</v>
      </c>
      <c r="T54">
        <f t="shared" si="65"/>
        <v>5.6904847613015793E-4</v>
      </c>
      <c r="U54">
        <f t="shared" si="16"/>
        <v>5.6914847613015788E-4</v>
      </c>
      <c r="V54">
        <f t="shared" si="37"/>
        <v>2.647302400216116E+19</v>
      </c>
      <c r="Y54">
        <f t="shared" si="66"/>
        <v>17</v>
      </c>
      <c r="Z54">
        <f t="shared" si="67"/>
        <v>4.7138799229070428E-4</v>
      </c>
      <c r="AA54">
        <f t="shared" si="17"/>
        <v>4.7148799229070428E-4</v>
      </c>
      <c r="AB54">
        <f t="shared" si="38"/>
        <v>2.6458753310741266E+19</v>
      </c>
      <c r="AE54">
        <f t="shared" si="68"/>
        <v>17</v>
      </c>
      <c r="AF54">
        <f t="shared" si="69"/>
        <v>3.9053532538081535E-4</v>
      </c>
      <c r="AG54">
        <f t="shared" si="18"/>
        <v>3.9063532538081535E-4</v>
      </c>
      <c r="AH54">
        <f t="shared" si="39"/>
        <v>2.6439542477719339E+19</v>
      </c>
      <c r="AK54">
        <f t="shared" si="70"/>
        <v>17</v>
      </c>
      <c r="AL54">
        <f t="shared" si="71"/>
        <v>3.235977730624384E-4</v>
      </c>
      <c r="AM54">
        <f t="shared" si="19"/>
        <v>3.2369777306243841E-4</v>
      </c>
      <c r="AN54">
        <f t="shared" si="40"/>
        <v>2.6416392663944098E+19</v>
      </c>
      <c r="AQ54">
        <f t="shared" si="72"/>
        <v>17</v>
      </c>
      <c r="AR54">
        <f t="shared" si="73"/>
        <v>2.6818048032960657E-4</v>
      </c>
      <c r="AS54">
        <f t="shared" si="20"/>
        <v>2.6828048032960657E-4</v>
      </c>
      <c r="AT54">
        <f t="shared" si="41"/>
        <v>2.6388102255122293E+19</v>
      </c>
      <c r="AW54">
        <f t="shared" si="74"/>
        <v>17</v>
      </c>
      <c r="AX54">
        <f t="shared" si="75"/>
        <v>2.2230075770053088E-4</v>
      </c>
      <c r="AY54">
        <f t="shared" si="21"/>
        <v>2.2240075770053086E-4</v>
      </c>
      <c r="AZ54">
        <f t="shared" si="42"/>
        <v>2.6354550632075039E+19</v>
      </c>
      <c r="BC54">
        <f t="shared" si="76"/>
        <v>17</v>
      </c>
      <c r="BD54">
        <f t="shared" si="77"/>
        <v>1.8431714564158509E-4</v>
      </c>
      <c r="BE54">
        <f t="shared" si="22"/>
        <v>1.8441714564158506E-4</v>
      </c>
      <c r="BF54">
        <f t="shared" si="43"/>
        <v>2.6314078063331455E+19</v>
      </c>
      <c r="BI54">
        <f t="shared" si="78"/>
        <v>17</v>
      </c>
      <c r="BJ54">
        <f t="shared" ref="BJ54:BJ55" si="185">BK53</f>
        <v>1.5287068732908077E-4</v>
      </c>
      <c r="BK54">
        <f t="shared" ref="BK54:BK55" si="186">$BJ$38+BI54*$H$2</f>
        <v>1.5297068732908074E-4</v>
      </c>
      <c r="BL54">
        <f t="shared" ref="BL54:BL55" si="187">((8*$F$1*$H$14)/(3.1415))*(((BK54)^4-(BJ54)^4)-(((BK54)^2-(BJ54)^2)^2/(LN(BK54/BJ54))))^-1</f>
        <v>2.6265179714640179E+19</v>
      </c>
      <c r="BO54">
        <f t="shared" si="80"/>
        <v>17</v>
      </c>
      <c r="BP54">
        <f t="shared" si="179"/>
        <v>1.2683630863793746E-4</v>
      </c>
      <c r="BQ54">
        <f t="shared" si="180"/>
        <v>1.2693630863793744E-4</v>
      </c>
      <c r="BR54">
        <f t="shared" si="181"/>
        <v>3.3554419104073548E+19</v>
      </c>
      <c r="BU54">
        <v>17</v>
      </c>
      <c r="BV54">
        <f t="shared" ref="BV54" si="188">BW53</f>
        <v>1.0528256585716962E-4</v>
      </c>
      <c r="BW54">
        <f t="shared" ref="BW54" si="189">$BV$38+BU54*$H$2</f>
        <v>1.0538256585716962E-4</v>
      </c>
      <c r="BX54">
        <f t="shared" ref="BX54" si="190">((8*$F$1*$H$16)/(3.1415))*(((BW54)^4-(BV54)^4)-(((BW54)^2-(BV54)^2)^2/(LN(BW54/BV54))))^-1</f>
        <v>2.6135716215427486E+19</v>
      </c>
    </row>
    <row r="55" spans="1:106" x14ac:dyDescent="0.35">
      <c r="A55">
        <f>A54+1</f>
        <v>18</v>
      </c>
      <c r="B55">
        <f t="shared" si="59"/>
        <v>1.0017000000000001E-3</v>
      </c>
      <c r="C55">
        <f t="shared" si="13"/>
        <v>1.0018E-3</v>
      </c>
      <c r="D55">
        <f t="shared" si="34"/>
        <v>5.9631998031185625E+19</v>
      </c>
      <c r="G55">
        <f>G54+1</f>
        <v>18</v>
      </c>
      <c r="H55">
        <f t="shared" si="61"/>
        <v>8.2959541615219205E-4</v>
      </c>
      <c r="I55">
        <f t="shared" si="14"/>
        <v>8.2969541615219211E-4</v>
      </c>
      <c r="J55">
        <f t="shared" si="35"/>
        <v>2.6499333723779994E+19</v>
      </c>
      <c r="M55">
        <f>M54+1</f>
        <v>18</v>
      </c>
      <c r="N55">
        <f t="shared" si="63"/>
        <v>6.8711082008581122E-4</v>
      </c>
      <c r="O55">
        <f t="shared" si="15"/>
        <v>6.8721082008581127E-4</v>
      </c>
      <c r="P55">
        <f t="shared" si="36"/>
        <v>3.3908534809060082E+19</v>
      </c>
      <c r="S55">
        <f>S54+1</f>
        <v>18</v>
      </c>
      <c r="T55">
        <f t="shared" si="65"/>
        <v>5.6914847613015788E-4</v>
      </c>
      <c r="U55">
        <f t="shared" si="16"/>
        <v>5.6924847613015793E-4</v>
      </c>
      <c r="V55">
        <f t="shared" si="37"/>
        <v>2.6470565046598816E+19</v>
      </c>
      <c r="Y55">
        <f>Y54+1</f>
        <v>18</v>
      </c>
      <c r="Z55">
        <f t="shared" si="67"/>
        <v>4.7148799229070428E-4</v>
      </c>
      <c r="AA55">
        <f t="shared" si="17"/>
        <v>4.7158799229070429E-4</v>
      </c>
      <c r="AB55">
        <f t="shared" si="38"/>
        <v>2.6453379558049923E+19</v>
      </c>
      <c r="AE55">
        <f t="shared" si="68"/>
        <v>18</v>
      </c>
      <c r="AF55">
        <f t="shared" si="69"/>
        <v>3.9063532538081535E-4</v>
      </c>
      <c r="AG55">
        <f t="shared" si="18"/>
        <v>3.9073532538081536E-4</v>
      </c>
      <c r="AH55">
        <f t="shared" si="39"/>
        <v>2.6432904633269166E+19</v>
      </c>
      <c r="AK55">
        <f t="shared" si="70"/>
        <v>18</v>
      </c>
      <c r="AL55">
        <f t="shared" si="71"/>
        <v>3.2369777306243841E-4</v>
      </c>
      <c r="AM55">
        <f t="shared" si="19"/>
        <v>3.2379777306243841E-4</v>
      </c>
      <c r="AN55">
        <f t="shared" si="40"/>
        <v>2.6408011023041913E+19</v>
      </c>
      <c r="AQ55">
        <f t="shared" si="72"/>
        <v>18</v>
      </c>
      <c r="AR55">
        <f t="shared" si="73"/>
        <v>2.6828048032960657E-4</v>
      </c>
      <c r="AS55">
        <f t="shared" si="20"/>
        <v>2.6838048032960658E-4</v>
      </c>
      <c r="AT55">
        <f t="shared" si="41"/>
        <v>2.6378574787215495E+19</v>
      </c>
      <c r="AW55">
        <f t="shared" si="74"/>
        <v>18</v>
      </c>
      <c r="AX55">
        <f t="shared" si="75"/>
        <v>2.2240075770053086E-4</v>
      </c>
      <c r="AY55">
        <f t="shared" si="21"/>
        <v>2.2250075770053086E-4</v>
      </c>
      <c r="AZ55">
        <f t="shared" si="42"/>
        <v>2.6342796593395835E+19</v>
      </c>
      <c r="BC55">
        <f t="shared" si="76"/>
        <v>18</v>
      </c>
      <c r="BD55">
        <f t="shared" ref="BD55:BD56" si="191">BE54</f>
        <v>1.8441714564158506E-4</v>
      </c>
      <c r="BE55">
        <f t="shared" ref="BE55:BE56" si="192">$BD$38+BC55*$H$2</f>
        <v>1.8451714564158506E-4</v>
      </c>
      <c r="BF55">
        <f t="shared" ref="BF55:BF56" si="193">((8*$H$13*$F$1)/(3.1415))*(((BE55)^4-(BD55)^4)-(((BE55)^2-(BD55)^2)^2/(LN(BE55/BD55))))^-1</f>
        <v>2.6299720247505129E+19</v>
      </c>
      <c r="BI55">
        <f t="shared" si="78"/>
        <v>18</v>
      </c>
      <c r="BJ55">
        <f t="shared" si="185"/>
        <v>1.5297068732908074E-4</v>
      </c>
      <c r="BK55">
        <f t="shared" si="186"/>
        <v>1.5307068732908075E-4</v>
      </c>
      <c r="BL55">
        <f t="shared" si="187"/>
        <v>2.6248012889158582E+19</v>
      </c>
      <c r="BO55">
        <v>18</v>
      </c>
      <c r="BP55">
        <f t="shared" ref="BP55" si="194">BQ54</f>
        <v>1.2693630863793744E-4</v>
      </c>
      <c r="BQ55">
        <f t="shared" ref="BQ55" si="195">$BP$38+BO55*$H$2</f>
        <v>1.2703630863793744E-4</v>
      </c>
      <c r="BR55">
        <f t="shared" ref="BR55" si="196">((8*$H$1*$H$15)/(3.1415))*(((BQ55)^4-(BP55)^4)-(((BQ55)^2-(BP55)^2)^2/(LN(BQ55/BP55))))^-1</f>
        <v>3.3528002172168319E+19</v>
      </c>
    </row>
    <row r="56" spans="1:106" x14ac:dyDescent="0.35">
      <c r="A56">
        <f t="shared" si="58"/>
        <v>19</v>
      </c>
      <c r="B56">
        <f t="shared" si="59"/>
        <v>1.0018E-3</v>
      </c>
      <c r="C56">
        <f t="shared" si="13"/>
        <v>1.0019E-3</v>
      </c>
      <c r="D56">
        <f t="shared" si="34"/>
        <v>5.9626137257805799E+19</v>
      </c>
      <c r="G56">
        <f t="shared" ref="G56" si="197">G55+1</f>
        <v>19</v>
      </c>
      <c r="H56">
        <f t="shared" si="61"/>
        <v>8.2969541615219211E-4</v>
      </c>
      <c r="I56">
        <f t="shared" si="14"/>
        <v>8.2979541615219206E-4</v>
      </c>
      <c r="J56">
        <f t="shared" si="35"/>
        <v>2.649504999447554E+19</v>
      </c>
      <c r="M56">
        <f t="shared" ref="M56" si="198">M55+1</f>
        <v>19</v>
      </c>
      <c r="N56">
        <f t="shared" si="63"/>
        <v>6.8721082008581127E-4</v>
      </c>
      <c r="O56">
        <f t="shared" si="15"/>
        <v>6.8731082008581122E-4</v>
      </c>
      <c r="P56">
        <f t="shared" si="36"/>
        <v>3.3905389440130064E+19</v>
      </c>
      <c r="S56">
        <f t="shared" ref="S56:S57" si="199">S55+1</f>
        <v>19</v>
      </c>
      <c r="T56">
        <f t="shared" si="65"/>
        <v>5.6924847613015793E-4</v>
      </c>
      <c r="U56">
        <f t="shared" si="16"/>
        <v>5.6934847613015788E-4</v>
      </c>
      <c r="V56">
        <f t="shared" si="37"/>
        <v>2.6465816114208735E+19</v>
      </c>
      <c r="Y56">
        <f t="shared" ref="Y56:Y57" si="200">Y55+1</f>
        <v>19</v>
      </c>
      <c r="Z56">
        <f t="shared" si="67"/>
        <v>4.7158799229070429E-4</v>
      </c>
      <c r="AA56">
        <f t="shared" si="17"/>
        <v>4.7168799229070429E-4</v>
      </c>
      <c r="AB56">
        <f t="shared" si="38"/>
        <v>2.6447896011406311E+19</v>
      </c>
      <c r="AE56">
        <f t="shared" si="68"/>
        <v>19</v>
      </c>
      <c r="AF56">
        <f t="shared" si="69"/>
        <v>3.9073532538081536E-4</v>
      </c>
      <c r="AG56">
        <f t="shared" si="18"/>
        <v>3.9083532538081536E-4</v>
      </c>
      <c r="AH56">
        <f t="shared" si="39"/>
        <v>2.6426160563767415E+19</v>
      </c>
      <c r="AK56">
        <f t="shared" si="70"/>
        <v>19</v>
      </c>
      <c r="AL56">
        <f t="shared" si="71"/>
        <v>3.2379777306243841E-4</v>
      </c>
      <c r="AM56">
        <f t="shared" si="19"/>
        <v>3.2389777306243841E-4</v>
      </c>
      <c r="AN56">
        <f t="shared" si="40"/>
        <v>2.6400047859632718E+19</v>
      </c>
      <c r="AQ56">
        <f t="shared" si="72"/>
        <v>19</v>
      </c>
      <c r="AR56">
        <f t="shared" si="73"/>
        <v>2.6838048032960658E-4</v>
      </c>
      <c r="AS56">
        <f t="shared" si="20"/>
        <v>2.6848048032960658E-4</v>
      </c>
      <c r="AT56">
        <f t="shared" si="41"/>
        <v>2.6368711266149908E+19</v>
      </c>
      <c r="AW56">
        <f t="shared" si="74"/>
        <v>19</v>
      </c>
      <c r="AX56">
        <f t="shared" ref="AX56:AX57" si="201">AY55</f>
        <v>2.2250075770053086E-4</v>
      </c>
      <c r="AY56">
        <f t="shared" ref="AY56:AY57" si="202">$AX$38+AW56*$H$2</f>
        <v>2.2260075770053086E-4</v>
      </c>
      <c r="AZ56">
        <f t="shared" ref="AZ56:AZ57" si="203">((8*$F$1*$H$12)/(3.1415))*(((AY56)^4-(AX56)^4)-(((AY56)^2-(AX56)^2)^2/(LN(AY56/AX56))))^-1</f>
        <v>2.6330858141266399E+19</v>
      </c>
      <c r="BC56">
        <f t="shared" si="76"/>
        <v>19</v>
      </c>
      <c r="BD56">
        <f t="shared" si="191"/>
        <v>1.8451714564158506E-4</v>
      </c>
      <c r="BE56">
        <f t="shared" si="192"/>
        <v>1.8461714564158507E-4</v>
      </c>
      <c r="BF56">
        <f t="shared" si="193"/>
        <v>2.628555689732291E+19</v>
      </c>
      <c r="BI56">
        <v>19</v>
      </c>
      <c r="BJ56">
        <f t="shared" ref="BJ56" si="204">BK55</f>
        <v>1.5307068732908075E-4</v>
      </c>
      <c r="BK56">
        <f t="shared" ref="BK56" si="205">$BJ$38+BI56*$H$2</f>
        <v>1.5317068732908075E-4</v>
      </c>
      <c r="BL56">
        <f t="shared" ref="BL56" si="206">((8*$F$1*$H$14)/(3.1415))*(((BK56)^4-(BJ56)^4)-(((BK56)^2-(BJ56)^2)^2/(LN(BK56/BJ56))))^-1</f>
        <v>2.62308225139398E+19</v>
      </c>
    </row>
    <row r="57" spans="1:106" x14ac:dyDescent="0.35">
      <c r="A57">
        <f>A56+1</f>
        <v>20</v>
      </c>
      <c r="B57">
        <f t="shared" si="59"/>
        <v>1.0019E-3</v>
      </c>
      <c r="C57">
        <f t="shared" si="13"/>
        <v>1.0020000000000001E-3</v>
      </c>
      <c r="D57">
        <f t="shared" si="34"/>
        <v>5.9650659820702007E+19</v>
      </c>
      <c r="G57">
        <f>G56+1</f>
        <v>20</v>
      </c>
      <c r="H57">
        <f t="shared" si="61"/>
        <v>8.2979541615219206E-4</v>
      </c>
      <c r="I57">
        <f t="shared" si="14"/>
        <v>8.2989541615219212E-4</v>
      </c>
      <c r="J57">
        <f t="shared" si="35"/>
        <v>2.6493908136711107E+19</v>
      </c>
      <c r="M57">
        <f>M56+1</f>
        <v>20</v>
      </c>
      <c r="N57">
        <f t="shared" si="63"/>
        <v>6.8731082008581122E-4</v>
      </c>
      <c r="O57">
        <f t="shared" si="15"/>
        <v>6.8741082008581128E-4</v>
      </c>
      <c r="P57">
        <f t="shared" si="36"/>
        <v>3.3900387972922085E+19</v>
      </c>
      <c r="S57">
        <f t="shared" si="199"/>
        <v>20</v>
      </c>
      <c r="T57">
        <f t="shared" si="65"/>
        <v>5.6934847613015788E-4</v>
      </c>
      <c r="U57">
        <f t="shared" si="16"/>
        <v>5.6944847613015794E-4</v>
      </c>
      <c r="V57">
        <f t="shared" si="37"/>
        <v>2.6459360420278608E+19</v>
      </c>
      <c r="Y57">
        <f t="shared" si="200"/>
        <v>20</v>
      </c>
      <c r="Z57">
        <f t="shared" si="67"/>
        <v>4.7168799229070429E-4</v>
      </c>
      <c r="AA57">
        <f t="shared" si="17"/>
        <v>4.7178799229070429E-4</v>
      </c>
      <c r="AB57">
        <f t="shared" si="38"/>
        <v>2.6441687216351564E+19</v>
      </c>
      <c r="AE57">
        <f t="shared" si="68"/>
        <v>20</v>
      </c>
      <c r="AF57">
        <f t="shared" si="69"/>
        <v>3.9083532538081536E-4</v>
      </c>
      <c r="AG57">
        <f t="shared" si="18"/>
        <v>3.9093532538081536E-4</v>
      </c>
      <c r="AH57">
        <f t="shared" si="39"/>
        <v>2.6419099715056845E+19</v>
      </c>
      <c r="AK57">
        <f t="shared" si="70"/>
        <v>20</v>
      </c>
      <c r="AL57">
        <f t="shared" si="71"/>
        <v>3.2389777306243841E-4</v>
      </c>
      <c r="AM57">
        <f t="shared" si="19"/>
        <v>3.2399777306243841E-4</v>
      </c>
      <c r="AN57">
        <f t="shared" si="40"/>
        <v>2.639198791573246E+19</v>
      </c>
      <c r="AQ57">
        <f t="shared" si="72"/>
        <v>20</v>
      </c>
      <c r="AR57">
        <f t="shared" ref="AR57" si="207">AS56</f>
        <v>2.6848048032960658E-4</v>
      </c>
      <c r="AS57">
        <f t="shared" ref="AS57" si="208">$AR$38+AQ57*$H$2</f>
        <v>2.6858048032960658E-4</v>
      </c>
      <c r="AT57">
        <f t="shared" ref="AT57" si="209">((8*$F$1*$H$11)/(3.1415))*(((AS57)^4-(AR57)^4)-(((AS57)^2-(AR57)^2)^2/(LN(AS57/AR57))))^-1</f>
        <v>2.6358957432263602E+19</v>
      </c>
      <c r="AW57">
        <f t="shared" si="74"/>
        <v>20</v>
      </c>
      <c r="AX57">
        <f t="shared" si="201"/>
        <v>2.2260075770053086E-4</v>
      </c>
      <c r="AY57">
        <f t="shared" si="202"/>
        <v>2.2270075770053086E-4</v>
      </c>
      <c r="AZ57">
        <f t="shared" si="203"/>
        <v>2.6319086770083598E+19</v>
      </c>
      <c r="BC57">
        <v>20</v>
      </c>
      <c r="BD57">
        <f t="shared" ref="BD57" si="210">BE56</f>
        <v>1.8461714564158507E-4</v>
      </c>
      <c r="BE57">
        <f t="shared" ref="BE57" si="211">$BD$38+BC57*$H$2</f>
        <v>1.8471714564158507E-4</v>
      </c>
      <c r="BF57">
        <f t="shared" ref="BF57" si="212">((8*$H$13*$F$1)/(3.1415))*(((BE57)^4-(BD57)^4)-(((BE57)^2-(BD57)^2)^2/(LN(BE57/BD57))))^-1</f>
        <v>2.627126585350896E+19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51"/>
  <sheetViews>
    <sheetView zoomScale="85" zoomScaleNormal="85" workbookViewId="0">
      <selection activeCell="W26" sqref="W26"/>
    </sheetView>
  </sheetViews>
  <sheetFormatPr defaultColWidth="8.81640625" defaultRowHeight="14.5" x14ac:dyDescent="0.35"/>
  <cols>
    <col min="1" max="1" width="11.81640625" style="5" customWidth="1"/>
    <col min="2" max="2" width="11.54296875" style="5" customWidth="1"/>
    <col min="3" max="3" width="12" style="5" customWidth="1"/>
    <col min="4" max="4" width="8.81640625" style="5" bestFit="1" customWidth="1"/>
    <col min="5" max="5" width="24.36328125" style="5" customWidth="1"/>
    <col min="6" max="6" width="14.08984375" style="5" customWidth="1"/>
    <col min="7" max="7" width="15.1796875" style="5" customWidth="1"/>
    <col min="8" max="8" width="13.81640625" style="5" customWidth="1"/>
    <col min="9" max="9" width="11.90625" style="5" customWidth="1"/>
    <col min="10" max="10" width="10.1796875" style="5" customWidth="1"/>
    <col min="11" max="11" width="9.36328125" style="5" customWidth="1"/>
    <col min="12" max="12" width="11.81640625" style="5" bestFit="1" customWidth="1"/>
    <col min="13" max="13" width="11.1796875" style="5" customWidth="1"/>
    <col min="14" max="14" width="12.453125" style="5" customWidth="1"/>
    <col min="15" max="15" width="13.81640625" style="5" customWidth="1"/>
    <col min="16" max="16" width="6.36328125" style="5" customWidth="1"/>
    <col min="17" max="17" width="14.08984375" style="5" customWidth="1"/>
    <col min="18" max="18" width="8.1796875" style="5" customWidth="1"/>
    <col min="19" max="19" width="12" style="5" bestFit="1" customWidth="1"/>
    <col min="20" max="21" width="8.81640625" style="5"/>
    <col min="22" max="22" width="15.1796875" style="5" customWidth="1"/>
    <col min="23" max="23" width="8.81640625" style="5" customWidth="1"/>
    <col min="24" max="26" width="10.1796875" style="5" customWidth="1"/>
    <col min="27" max="27" width="8.81640625" style="5"/>
    <col min="28" max="30" width="12.453125" style="5" bestFit="1" customWidth="1"/>
    <col min="31" max="48" width="8.81640625" style="5"/>
    <col min="49" max="49" width="10.453125" style="5" customWidth="1"/>
    <col min="50" max="50" width="11.36328125" style="5" customWidth="1"/>
    <col min="51" max="16384" width="8.81640625" style="5"/>
  </cols>
  <sheetData>
    <row r="1" spans="1:50" x14ac:dyDescent="0.35">
      <c r="W1" s="37" t="s">
        <v>90</v>
      </c>
      <c r="Z1" s="5" t="s">
        <v>69</v>
      </c>
      <c r="AQ1" s="37" t="s">
        <v>68</v>
      </c>
      <c r="AW1" s="37" t="s">
        <v>41</v>
      </c>
      <c r="AX1" s="37" t="s">
        <v>112</v>
      </c>
    </row>
    <row r="2" spans="1:50" ht="15" thickBot="1" x14ac:dyDescent="0.4">
      <c r="AC2" s="5" t="s">
        <v>70</v>
      </c>
      <c r="AQ2" s="37" t="s">
        <v>44</v>
      </c>
      <c r="AR2" s="37" t="s">
        <v>70</v>
      </c>
      <c r="AV2" s="37" t="s">
        <v>9</v>
      </c>
      <c r="AW2" s="5">
        <f>0.5*'PCA2-Para'!L25*9.81*1000</f>
        <v>56095966991670.547</v>
      </c>
      <c r="AX2" s="5">
        <f>'PCA2-Para'!N9</f>
        <v>187103421574.81854</v>
      </c>
    </row>
    <row r="3" spans="1:50" ht="13.75" customHeight="1" x14ac:dyDescent="0.35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7" t="s">
        <v>58</v>
      </c>
      <c r="G3" s="8" t="s">
        <v>57</v>
      </c>
      <c r="H3" s="9" t="s">
        <v>23</v>
      </c>
      <c r="I3" s="10" t="s">
        <v>24</v>
      </c>
      <c r="J3" s="37" t="s">
        <v>87</v>
      </c>
      <c r="N3" s="37" t="s">
        <v>89</v>
      </c>
      <c r="O3" s="5" t="s">
        <v>52</v>
      </c>
      <c r="P3" s="11"/>
      <c r="Q3" s="12" t="s">
        <v>55</v>
      </c>
      <c r="R3" s="13"/>
      <c r="V3" s="11" t="s">
        <v>71</v>
      </c>
      <c r="W3" s="12" t="s">
        <v>72</v>
      </c>
      <c r="X3" s="13" t="s">
        <v>44</v>
      </c>
      <c r="Y3" s="11" t="s">
        <v>71</v>
      </c>
      <c r="Z3" s="12" t="s">
        <v>72</v>
      </c>
      <c r="AA3" s="13" t="s">
        <v>44</v>
      </c>
      <c r="AC3" s="5" t="s">
        <v>73</v>
      </c>
      <c r="AD3" s="5" t="s">
        <v>74</v>
      </c>
      <c r="AQ3" s="22">
        <v>0.40566401134976871</v>
      </c>
      <c r="AR3" s="23">
        <v>5.9999999999999997E-7</v>
      </c>
      <c r="AV3" s="37" t="s">
        <v>10</v>
      </c>
      <c r="AW3" s="5">
        <f>0.5*'MCA-Para'!L26*9.81*1000</f>
        <v>14899627384.258654</v>
      </c>
      <c r="AX3" s="5">
        <f>'MCA-Para'!N10</f>
        <v>28069740.454417255</v>
      </c>
    </row>
    <row r="4" spans="1:50" x14ac:dyDescent="0.35">
      <c r="A4" s="39" t="s">
        <v>5</v>
      </c>
      <c r="B4" s="14">
        <v>125</v>
      </c>
      <c r="C4" s="14">
        <v>2.5</v>
      </c>
      <c r="D4" s="14">
        <v>24</v>
      </c>
      <c r="E4" s="14">
        <f>(D4-1)/10000</f>
        <v>2.3E-3</v>
      </c>
      <c r="F4" s="14">
        <f>B4/1000</f>
        <v>0.125</v>
      </c>
      <c r="G4" s="15">
        <f>(C4*0.5)/1000</f>
        <v>1.25E-3</v>
      </c>
      <c r="H4" s="16">
        <f>E4/1000</f>
        <v>2.3E-6</v>
      </c>
      <c r="I4" s="16"/>
      <c r="J4" s="5">
        <v>384.38716442023349</v>
      </c>
      <c r="N4" s="5">
        <f>(160*$B$16)/($B$17*9.81*3.1415*G4^3)</f>
        <v>2365.7774007268122</v>
      </c>
      <c r="O4" s="5">
        <f>N4*J4</f>
        <v>909374.46671484981</v>
      </c>
      <c r="P4" s="17"/>
      <c r="Q4" s="18">
        <f>(8*$B$19*F4)/(3.1415*$B$20*9.81*G4^4)</f>
        <v>15560.059637556451</v>
      </c>
      <c r="R4" s="19"/>
      <c r="V4" s="20">
        <v>1E-14</v>
      </c>
      <c r="W4" s="21">
        <f>$J$20*V4</f>
        <v>1.7896181739228174</v>
      </c>
      <c r="X4" s="22">
        <f>W4*0.00750061683</f>
        <v>1.3423240194599352E-2</v>
      </c>
      <c r="Y4" s="20">
        <v>1E-14</v>
      </c>
      <c r="Z4" s="21">
        <f>$R$18*Y4</f>
        <v>1.7805137918350977E-6</v>
      </c>
      <c r="AA4" s="22">
        <f>Z4*0.00750061683</f>
        <v>1.335495171308545E-8</v>
      </c>
      <c r="AC4" s="23">
        <f>V4*60000000</f>
        <v>5.9999999999999997E-7</v>
      </c>
      <c r="AD4" s="23">
        <f>Y4*60000000</f>
        <v>5.9999999999999997E-7</v>
      </c>
      <c r="AQ4" s="22">
        <v>4.0566401134976875</v>
      </c>
      <c r="AR4" s="23">
        <v>6.0000000000000002E-6</v>
      </c>
      <c r="AV4" s="37" t="s">
        <v>12</v>
      </c>
      <c r="AW4" s="5">
        <f>0.5*'ACA2-Para'!L25*1000*9.81</f>
        <v>57069616821.17981</v>
      </c>
      <c r="AX4" s="5">
        <f>'ACA2-Para'!N10</f>
        <v>122018133.05398364</v>
      </c>
    </row>
    <row r="5" spans="1:50" x14ac:dyDescent="0.35">
      <c r="A5" s="39" t="s">
        <v>6</v>
      </c>
      <c r="B5" s="14">
        <v>142</v>
      </c>
      <c r="C5" s="14">
        <v>3.6</v>
      </c>
      <c r="D5" s="14">
        <v>24</v>
      </c>
      <c r="E5" s="14">
        <f t="shared" ref="E5:E13" si="0">(D5-1)/10000</f>
        <v>2.3E-3</v>
      </c>
      <c r="F5" s="14">
        <f t="shared" ref="F5:F12" si="1">B5/1000</f>
        <v>0.14199999999999999</v>
      </c>
      <c r="G5" s="15">
        <f t="shared" ref="G5:G13" si="2">(C5*0.5)/1000</f>
        <v>1.8E-3</v>
      </c>
      <c r="H5" s="16">
        <f t="shared" ref="H5:H13" si="3">E5/1000</f>
        <v>2.3E-6</v>
      </c>
      <c r="I5" s="16"/>
      <c r="J5" s="5">
        <v>384.38716442023349</v>
      </c>
      <c r="N5" s="5">
        <f t="shared" ref="N5:N7" si="4">(160*$B$16)/($B$17*9.81*3.1415*G5^3)</f>
        <v>792.29406477958787</v>
      </c>
      <c r="O5" s="5">
        <f t="shared" ref="O5:O7" si="5">N5*J5</f>
        <v>304547.66894760658</v>
      </c>
      <c r="P5" s="17"/>
      <c r="Q5" s="18">
        <f t="shared" ref="Q5:Q7" si="6">(8*$B$19*F5)/(3.1415*$B$20*9.81*G5^4)</f>
        <v>4110.9256307189708</v>
      </c>
      <c r="R5" s="19"/>
      <c r="V5" s="20">
        <f>V4*10</f>
        <v>1E-13</v>
      </c>
      <c r="W5" s="21">
        <f t="shared" ref="W5:W16" si="7">$J$20*V5</f>
        <v>17.896181739228176</v>
      </c>
      <c r="X5" s="22">
        <f t="shared" ref="X5:X16" si="8">W5*0.00750061683</f>
        <v>0.13423240194599353</v>
      </c>
      <c r="Y5" s="20">
        <f>Y4*10</f>
        <v>1E-13</v>
      </c>
      <c r="Z5" s="21">
        <f t="shared" ref="Z5:Z16" si="9">$R$18*Y5</f>
        <v>1.7805137918350978E-5</v>
      </c>
      <c r="AA5" s="22">
        <f t="shared" ref="AA5:AA13" si="10">Z5*0.00750061683</f>
        <v>1.3354951713085452E-7</v>
      </c>
      <c r="AC5" s="23">
        <f t="shared" ref="AC5:AC16" si="11">V5*60000000</f>
        <v>6.0000000000000002E-6</v>
      </c>
      <c r="AD5" s="23">
        <f t="shared" ref="AD5:AD16" si="12">Y5*60000000</f>
        <v>6.0000000000000002E-6</v>
      </c>
      <c r="AQ5" s="22">
        <v>14.198240397241905</v>
      </c>
      <c r="AR5" s="23">
        <v>2.1000000000000002E-5</v>
      </c>
    </row>
    <row r="6" spans="1:50" x14ac:dyDescent="0.35">
      <c r="A6" s="39" t="s">
        <v>7</v>
      </c>
      <c r="B6" s="14">
        <v>28</v>
      </c>
      <c r="C6" s="14">
        <v>3.3</v>
      </c>
      <c r="D6" s="14">
        <v>24</v>
      </c>
      <c r="E6" s="14">
        <f t="shared" si="0"/>
        <v>2.3E-3</v>
      </c>
      <c r="F6" s="14">
        <f t="shared" si="1"/>
        <v>2.8000000000000001E-2</v>
      </c>
      <c r="G6" s="15">
        <f t="shared" si="2"/>
        <v>1.65E-3</v>
      </c>
      <c r="H6" s="16">
        <f t="shared" si="3"/>
        <v>2.3E-6</v>
      </c>
      <c r="I6" s="16"/>
      <c r="J6" s="5">
        <v>384.38716442023349</v>
      </c>
      <c r="N6" s="5">
        <f t="shared" si="4"/>
        <v>1028.6131810211327</v>
      </c>
      <c r="O6" s="5">
        <f t="shared" si="5"/>
        <v>395385.70393798954</v>
      </c>
      <c r="P6" s="17"/>
      <c r="Q6" s="18">
        <f t="shared" si="6"/>
        <v>1148.05726375213</v>
      </c>
      <c r="R6" s="19"/>
      <c r="V6" s="20">
        <v>3.5000000000000002E-13</v>
      </c>
      <c r="W6" s="21">
        <f t="shared" si="7"/>
        <v>62.636636087298619</v>
      </c>
      <c r="X6" s="22">
        <f t="shared" si="8"/>
        <v>0.46981340681097739</v>
      </c>
      <c r="Y6" s="20">
        <f t="shared" ref="Y6:Y12" si="13">Y5*10</f>
        <v>9.9999999999999998E-13</v>
      </c>
      <c r="Z6" s="21">
        <f t="shared" si="9"/>
        <v>1.7805137918350977E-4</v>
      </c>
      <c r="AA6" s="22">
        <f t="shared" si="10"/>
        <v>1.335495171308545E-6</v>
      </c>
      <c r="AC6" s="23">
        <f t="shared" si="11"/>
        <v>2.1000000000000002E-5</v>
      </c>
      <c r="AD6" s="23">
        <f t="shared" si="12"/>
        <v>6.0000000000000002E-5</v>
      </c>
      <c r="AQ6" s="22">
        <v>40.566401134976871</v>
      </c>
      <c r="AR6" s="23">
        <v>6.0000000000000002E-5</v>
      </c>
    </row>
    <row r="7" spans="1:50" x14ac:dyDescent="0.35">
      <c r="A7" s="39" t="s">
        <v>8</v>
      </c>
      <c r="B7" s="14">
        <v>13</v>
      </c>
      <c r="C7" s="14">
        <v>2</v>
      </c>
      <c r="D7" s="14">
        <v>24</v>
      </c>
      <c r="E7" s="14">
        <f t="shared" si="0"/>
        <v>2.3E-3</v>
      </c>
      <c r="F7" s="14">
        <f t="shared" si="1"/>
        <v>1.2999999999999999E-2</v>
      </c>
      <c r="G7" s="15">
        <f t="shared" si="2"/>
        <v>1E-3</v>
      </c>
      <c r="H7" s="16">
        <f t="shared" si="3"/>
        <v>2.3E-6</v>
      </c>
      <c r="I7" s="16"/>
      <c r="J7" s="5">
        <v>384.38716442023349</v>
      </c>
      <c r="N7" s="5">
        <f t="shared" si="4"/>
        <v>4620.6589857945555</v>
      </c>
      <c r="O7" s="5">
        <f t="shared" si="5"/>
        <v>1776122.0053024411</v>
      </c>
      <c r="P7" s="17"/>
      <c r="Q7" s="18">
        <f t="shared" si="6"/>
        <v>3950.7963923483171</v>
      </c>
      <c r="R7" s="19"/>
      <c r="V7" s="20">
        <f>V5*10</f>
        <v>9.9999999999999998E-13</v>
      </c>
      <c r="W7" s="21">
        <f t="shared" si="7"/>
        <v>178.96181739228174</v>
      </c>
      <c r="X7" s="22">
        <f t="shared" si="8"/>
        <v>1.3423240194599351</v>
      </c>
      <c r="Y7" s="20">
        <f t="shared" si="13"/>
        <v>9.9999999999999994E-12</v>
      </c>
      <c r="Z7" s="21">
        <f t="shared" si="9"/>
        <v>1.7805137918350976E-3</v>
      </c>
      <c r="AA7" s="22">
        <f t="shared" si="10"/>
        <v>1.335495171308545E-5</v>
      </c>
      <c r="AC7" s="23">
        <f t="shared" si="11"/>
        <v>6.0000000000000002E-5</v>
      </c>
      <c r="AD7" s="23">
        <f t="shared" si="12"/>
        <v>5.9999999999999995E-4</v>
      </c>
      <c r="AQ7" s="22">
        <v>405.66401134976871</v>
      </c>
      <c r="AR7" s="23">
        <v>5.9999999999999995E-4</v>
      </c>
      <c r="AV7" s="37" t="s">
        <v>29</v>
      </c>
      <c r="AW7" s="5">
        <f>J20</f>
        <v>178961817392281.75</v>
      </c>
    </row>
    <row r="8" spans="1:50" x14ac:dyDescent="0.35">
      <c r="A8" s="40" t="s">
        <v>9</v>
      </c>
      <c r="B8" s="14">
        <v>60</v>
      </c>
      <c r="C8" s="14">
        <v>2</v>
      </c>
      <c r="D8" s="14">
        <f>I8+1</f>
        <v>23</v>
      </c>
      <c r="E8" s="14">
        <f>(D8-1)/10000</f>
        <v>2.2000000000000001E-3</v>
      </c>
      <c r="F8" s="14">
        <f t="shared" si="1"/>
        <v>0.06</v>
      </c>
      <c r="G8" s="15">
        <f t="shared" si="2"/>
        <v>1E-3</v>
      </c>
      <c r="H8" s="16">
        <f>I8/10000000</f>
        <v>2.2000000000000001E-6</v>
      </c>
      <c r="I8" s="16">
        <f>ROUNDUP((LN(G13/G8)*3)/LN(0.5),0)</f>
        <v>22</v>
      </c>
      <c r="P8" s="17"/>
      <c r="Q8" s="18"/>
      <c r="R8" s="19"/>
      <c r="V8" s="20">
        <f t="shared" ref="V8:V16" si="14">V7*10</f>
        <v>9.9999999999999994E-12</v>
      </c>
      <c r="W8" s="21">
        <f t="shared" si="7"/>
        <v>1789.6181739228175</v>
      </c>
      <c r="X8" s="22">
        <f t="shared" si="8"/>
        <v>13.423240194599352</v>
      </c>
      <c r="Y8" s="20">
        <f t="shared" si="13"/>
        <v>9.9999999999999991E-11</v>
      </c>
      <c r="Z8" s="21">
        <f t="shared" si="9"/>
        <v>1.7805137918350974E-2</v>
      </c>
      <c r="AA8" s="22">
        <f t="shared" si="10"/>
        <v>1.3354951713085447E-4</v>
      </c>
      <c r="AC8" s="23">
        <f t="shared" si="11"/>
        <v>5.9999999999999995E-4</v>
      </c>
      <c r="AD8" s="23">
        <f t="shared" si="12"/>
        <v>5.9999999999999993E-3</v>
      </c>
      <c r="AQ8" s="22">
        <v>4056.6401134976868</v>
      </c>
      <c r="AR8" s="23">
        <v>5.9999999999999993E-3</v>
      </c>
    </row>
    <row r="9" spans="1:50" x14ac:dyDescent="0.35">
      <c r="A9" s="40" t="s">
        <v>10</v>
      </c>
      <c r="B9" s="14">
        <v>51</v>
      </c>
      <c r="C9" s="14">
        <v>3</v>
      </c>
      <c r="D9" s="14">
        <f>I9+1</f>
        <v>24</v>
      </c>
      <c r="E9" s="14">
        <f>(D9-1)/10000</f>
        <v>2.3E-3</v>
      </c>
      <c r="F9" s="14">
        <f t="shared" si="1"/>
        <v>5.0999999999999997E-2</v>
      </c>
      <c r="G9" s="15">
        <f t="shared" si="2"/>
        <v>1.5E-3</v>
      </c>
      <c r="H9" s="16">
        <f>I9/10000000</f>
        <v>2.3E-6</v>
      </c>
      <c r="I9" s="16">
        <f>ROUNDUP((LN(G13/G9)*3)/LN(0.5),0)</f>
        <v>23</v>
      </c>
      <c r="P9" s="17"/>
      <c r="Q9" s="18"/>
      <c r="R9" s="19"/>
      <c r="V9" s="20">
        <f t="shared" si="14"/>
        <v>9.9999999999999991E-11</v>
      </c>
      <c r="W9" s="21">
        <f t="shared" si="7"/>
        <v>17896.181739228174</v>
      </c>
      <c r="X9" s="22">
        <f t="shared" si="8"/>
        <v>134.2324019459935</v>
      </c>
      <c r="Y9" s="20">
        <f t="shared" si="13"/>
        <v>9.9999999999999986E-10</v>
      </c>
      <c r="Z9" s="21">
        <f t="shared" si="9"/>
        <v>0.17805137918350974</v>
      </c>
      <c r="AA9" s="22">
        <f t="shared" si="10"/>
        <v>1.335495171308545E-3</v>
      </c>
      <c r="AC9" s="23">
        <f t="shared" si="11"/>
        <v>5.9999999999999993E-3</v>
      </c>
      <c r="AD9" s="23">
        <f t="shared" si="12"/>
        <v>5.9999999999999991E-2</v>
      </c>
      <c r="AQ9" s="22">
        <v>40566.401134976863</v>
      </c>
      <c r="AR9" s="23">
        <v>5.9999999999999991E-2</v>
      </c>
    </row>
    <row r="10" spans="1:50" x14ac:dyDescent="0.35">
      <c r="A10" s="14" t="s">
        <v>11</v>
      </c>
      <c r="B10" s="14">
        <v>20</v>
      </c>
      <c r="C10" s="14">
        <v>2</v>
      </c>
      <c r="D10" s="14">
        <v>24</v>
      </c>
      <c r="E10" s="14">
        <f t="shared" si="0"/>
        <v>2.3E-3</v>
      </c>
      <c r="F10" s="14">
        <f t="shared" si="1"/>
        <v>0.02</v>
      </c>
      <c r="G10" s="15">
        <f t="shared" si="2"/>
        <v>1E-3</v>
      </c>
      <c r="H10" s="16">
        <f t="shared" si="3"/>
        <v>2.3E-6</v>
      </c>
      <c r="I10" s="16"/>
      <c r="P10" s="17" t="s">
        <v>5</v>
      </c>
      <c r="Q10" s="18">
        <f>Q4/2</f>
        <v>7780.0298187782255</v>
      </c>
      <c r="R10" s="19"/>
      <c r="V10" s="20">
        <f t="shared" si="14"/>
        <v>9.9999999999999986E-10</v>
      </c>
      <c r="W10" s="21">
        <f t="shared" si="7"/>
        <v>178961.81739228172</v>
      </c>
      <c r="X10" s="22">
        <f t="shared" si="8"/>
        <v>1342.324019459935</v>
      </c>
      <c r="Y10" s="20">
        <f t="shared" si="13"/>
        <v>9.9999999999999986E-9</v>
      </c>
      <c r="Z10" s="21">
        <f t="shared" si="9"/>
        <v>1.7805137918350975</v>
      </c>
      <c r="AA10" s="22">
        <f t="shared" si="10"/>
        <v>1.3354951713085449E-2</v>
      </c>
      <c r="AC10" s="23">
        <f t="shared" si="11"/>
        <v>5.9999999999999991E-2</v>
      </c>
      <c r="AD10" s="23">
        <f t="shared" si="12"/>
        <v>0.59999999999999987</v>
      </c>
      <c r="AQ10" s="22">
        <v>405664.01134976867</v>
      </c>
      <c r="AR10" s="23">
        <v>0.59999999999999987</v>
      </c>
    </row>
    <row r="11" spans="1:50" x14ac:dyDescent="0.35">
      <c r="A11" s="40" t="s">
        <v>12</v>
      </c>
      <c r="B11" s="14">
        <v>45</v>
      </c>
      <c r="C11" s="14">
        <v>2</v>
      </c>
      <c r="D11" s="14">
        <f>I11+1</f>
        <v>23</v>
      </c>
      <c r="E11" s="14">
        <f>(D11-1)/10000</f>
        <v>2.2000000000000001E-3</v>
      </c>
      <c r="F11" s="14">
        <f t="shared" si="1"/>
        <v>4.4999999999999998E-2</v>
      </c>
      <c r="G11" s="15">
        <f t="shared" si="2"/>
        <v>1E-3</v>
      </c>
      <c r="H11" s="16">
        <f>I11/10000000</f>
        <v>2.2000000000000001E-6</v>
      </c>
      <c r="I11" s="16">
        <f>ROUNDUP((LN(G13/G11)*3)/LN(0.5),0)</f>
        <v>22</v>
      </c>
      <c r="P11" s="17" t="s">
        <v>8</v>
      </c>
      <c r="Q11" s="18">
        <f>Q7/2</f>
        <v>1975.3981961741586</v>
      </c>
      <c r="R11" s="19"/>
      <c r="V11" s="20">
        <f t="shared" si="14"/>
        <v>9.9999999999999986E-9</v>
      </c>
      <c r="W11" s="21">
        <f t="shared" si="7"/>
        <v>1789618.1739228172</v>
      </c>
      <c r="X11" s="22">
        <f t="shared" si="8"/>
        <v>13423.24019459935</v>
      </c>
      <c r="Y11" s="20">
        <f t="shared" si="13"/>
        <v>9.9999999999999982E-8</v>
      </c>
      <c r="Z11" s="21">
        <f t="shared" si="9"/>
        <v>17.805137918350972</v>
      </c>
      <c r="AA11" s="22">
        <f t="shared" si="10"/>
        <v>0.13354951713085447</v>
      </c>
      <c r="AC11" s="23">
        <f t="shared" si="11"/>
        <v>0.59999999999999987</v>
      </c>
      <c r="AD11" s="23">
        <f t="shared" si="12"/>
        <v>5.9999999999999991</v>
      </c>
      <c r="AQ11" s="22">
        <v>4056640.1134976866</v>
      </c>
      <c r="AR11" s="23">
        <v>5.9999999999999991</v>
      </c>
    </row>
    <row r="12" spans="1:50" x14ac:dyDescent="0.35">
      <c r="A12" s="14" t="s">
        <v>13</v>
      </c>
      <c r="B12" s="14">
        <v>1.5</v>
      </c>
      <c r="C12" s="14">
        <v>0.1</v>
      </c>
      <c r="D12" s="14">
        <v>3</v>
      </c>
      <c r="E12" s="14">
        <f t="shared" si="0"/>
        <v>2.0000000000000001E-4</v>
      </c>
      <c r="F12" s="14">
        <f t="shared" si="1"/>
        <v>1.5E-3</v>
      </c>
      <c r="G12" s="15">
        <f t="shared" si="2"/>
        <v>5.0000000000000002E-5</v>
      </c>
      <c r="H12" s="16">
        <f t="shared" si="3"/>
        <v>2.0000000000000002E-7</v>
      </c>
      <c r="I12" s="16"/>
      <c r="P12" s="17" t="s">
        <v>20</v>
      </c>
      <c r="Q12" s="18">
        <f>Q11+Q10+Q6</f>
        <v>10903.485278704513</v>
      </c>
      <c r="R12" s="19"/>
      <c r="V12" s="20">
        <f t="shared" si="14"/>
        <v>9.9999999999999982E-8</v>
      </c>
      <c r="W12" s="21">
        <f t="shared" si="7"/>
        <v>17896181.73922817</v>
      </c>
      <c r="X12" s="22">
        <f t="shared" si="8"/>
        <v>134232.40194599348</v>
      </c>
      <c r="Y12" s="20">
        <f t="shared" si="13"/>
        <v>9.9999999999999974E-7</v>
      </c>
      <c r="Z12" s="21">
        <f t="shared" si="9"/>
        <v>178.05137918350971</v>
      </c>
      <c r="AA12" s="22">
        <f t="shared" si="10"/>
        <v>1.3354951713085446</v>
      </c>
      <c r="AC12" s="23">
        <f t="shared" si="11"/>
        <v>5.9999999999999991</v>
      </c>
      <c r="AD12" s="23">
        <f t="shared" si="12"/>
        <v>59.999999999999986</v>
      </c>
      <c r="AQ12" s="22">
        <v>40566401.134976864</v>
      </c>
      <c r="AR12" s="23">
        <v>59.999999999999986</v>
      </c>
    </row>
    <row r="13" spans="1:50" ht="15" thickBot="1" x14ac:dyDescent="0.4">
      <c r="A13" s="14" t="s">
        <v>41</v>
      </c>
      <c r="B13" s="14"/>
      <c r="C13" s="14">
        <v>1.4999999999999999E-2</v>
      </c>
      <c r="D13" s="14">
        <v>2</v>
      </c>
      <c r="E13" s="14">
        <f t="shared" si="0"/>
        <v>1E-4</v>
      </c>
      <c r="F13" s="14"/>
      <c r="G13" s="15">
        <f t="shared" si="2"/>
        <v>7.4999999999999993E-6</v>
      </c>
      <c r="H13" s="24">
        <f t="shared" si="3"/>
        <v>1.0000000000000001E-7</v>
      </c>
      <c r="I13" s="24"/>
      <c r="P13" s="17" t="s">
        <v>56</v>
      </c>
      <c r="Q13" s="18">
        <f>Q5/2</f>
        <v>2055.4628153594854</v>
      </c>
      <c r="R13" s="19"/>
      <c r="V13" s="20">
        <f t="shared" si="14"/>
        <v>9.9999999999999974E-7</v>
      </c>
      <c r="W13" s="21">
        <f t="shared" si="7"/>
        <v>178961817.39228171</v>
      </c>
      <c r="X13" s="22">
        <f t="shared" si="8"/>
        <v>1342324.0194599349</v>
      </c>
      <c r="Y13" s="20">
        <v>6.0000000000000002E-5</v>
      </c>
      <c r="Z13" s="21">
        <f t="shared" si="9"/>
        <v>10683.082751010586</v>
      </c>
      <c r="AA13" s="22">
        <f t="shared" si="10"/>
        <v>80.129710278512704</v>
      </c>
      <c r="AC13" s="23">
        <f t="shared" si="11"/>
        <v>59.999999999999986</v>
      </c>
      <c r="AD13" s="23">
        <f t="shared" si="12"/>
        <v>3600</v>
      </c>
      <c r="AQ13" s="22">
        <v>405664011.34976864</v>
      </c>
      <c r="AR13" s="23">
        <v>599.99999999999989</v>
      </c>
    </row>
    <row r="14" spans="1:50" ht="15" thickBot="1" x14ac:dyDescent="0.4">
      <c r="P14" s="17" t="s">
        <v>22</v>
      </c>
      <c r="Q14" s="18">
        <f>((1/Q13)+(1/Q12))^-1</f>
        <v>1729.4388700007705</v>
      </c>
      <c r="R14" s="19">
        <f>Q14*1025*9.8</f>
        <v>17372213.449157741</v>
      </c>
      <c r="S14" s="5" t="s">
        <v>61</v>
      </c>
      <c r="V14" s="20">
        <f t="shared" si="14"/>
        <v>9.9999999999999974E-6</v>
      </c>
      <c r="W14" s="21">
        <f t="shared" si="7"/>
        <v>1789618173.922817</v>
      </c>
      <c r="X14" s="22">
        <f t="shared" si="8"/>
        <v>13423240.194599349</v>
      </c>
      <c r="Y14" s="20">
        <f>Y12*10</f>
        <v>9.9999999999999974E-6</v>
      </c>
      <c r="Z14" s="21">
        <f t="shared" si="9"/>
        <v>1780.5137918350972</v>
      </c>
      <c r="AA14" s="22">
        <f>Z14*0.00750061683</f>
        <v>13.354951713085446</v>
      </c>
      <c r="AC14" s="23">
        <f t="shared" si="11"/>
        <v>599.99999999999989</v>
      </c>
      <c r="AD14" s="23">
        <f t="shared" si="12"/>
        <v>599.99999999999989</v>
      </c>
      <c r="AQ14" s="28">
        <v>4056640113.4976859</v>
      </c>
      <c r="AR14" s="23">
        <v>5999.9999999999991</v>
      </c>
    </row>
    <row r="15" spans="1:50" ht="15" thickBot="1" x14ac:dyDescent="0.4">
      <c r="F15" s="25" t="s">
        <v>42</v>
      </c>
      <c r="P15" s="17"/>
      <c r="Q15" s="18"/>
      <c r="R15" s="19"/>
      <c r="V15" s="26">
        <f t="shared" si="14"/>
        <v>9.9999999999999978E-5</v>
      </c>
      <c r="W15" s="21">
        <f t="shared" si="7"/>
        <v>17896181739.228172</v>
      </c>
      <c r="X15" s="28">
        <f t="shared" si="8"/>
        <v>134232401.94599351</v>
      </c>
      <c r="Y15" s="26">
        <f>Y14*10</f>
        <v>9.9999999999999978E-5</v>
      </c>
      <c r="Z15" s="27">
        <f t="shared" si="9"/>
        <v>17805.137918350974</v>
      </c>
      <c r="AA15" s="28">
        <f>Z15*0.00750061683</f>
        <v>133.5495171308545</v>
      </c>
      <c r="AC15" s="23">
        <f t="shared" si="11"/>
        <v>5999.9999999999991</v>
      </c>
      <c r="AD15" s="23">
        <f t="shared" si="12"/>
        <v>5999.9999999999991</v>
      </c>
      <c r="AQ15" s="28">
        <v>40566401134.97686</v>
      </c>
      <c r="AR15" s="23">
        <v>59999.999999999985</v>
      </c>
    </row>
    <row r="16" spans="1:50" ht="15" thickBot="1" x14ac:dyDescent="0.4">
      <c r="A16" s="29" t="s">
        <v>14</v>
      </c>
      <c r="B16" s="5">
        <f>8.9/10000</f>
        <v>8.9000000000000006E-4</v>
      </c>
      <c r="F16" s="30" t="s">
        <v>16</v>
      </c>
      <c r="G16" s="13">
        <f>O6</f>
        <v>395385.70393798954</v>
      </c>
      <c r="I16" s="31" t="s">
        <v>38</v>
      </c>
      <c r="J16" s="32" t="e">
        <f>((2/'PCA2-Para'!N4)+(2/'MCA-Para'!N4)+(2/'ACA2-Para'!N4))^-1</f>
        <v>#DIV/0!</v>
      </c>
      <c r="L16" s="31" t="s">
        <v>39</v>
      </c>
      <c r="M16" s="32" t="e">
        <f>J16+G23</f>
        <v>#DIV/0!</v>
      </c>
      <c r="P16" s="17" t="s">
        <v>62</v>
      </c>
      <c r="Q16" s="18">
        <f>((2/'PCA2-Peri'!T4)+(2/'MCA-Peri'!T4)+(2/'ACA2-Peri'!T4))^-1</f>
        <v>15995.93486653579</v>
      </c>
      <c r="R16" s="19">
        <f>Q16*1025*9.8</f>
        <v>160679165.73435202</v>
      </c>
      <c r="S16" s="5" t="s">
        <v>61</v>
      </c>
      <c r="V16" s="26">
        <f t="shared" si="14"/>
        <v>9.999999999999998E-4</v>
      </c>
      <c r="W16" s="21">
        <f t="shared" si="7"/>
        <v>178961817392.28171</v>
      </c>
      <c r="X16" s="28">
        <f t="shared" si="8"/>
        <v>1342324019.4599349</v>
      </c>
      <c r="Y16" s="26">
        <f>Y15*10</f>
        <v>9.999999999999998E-4</v>
      </c>
      <c r="Z16" s="27">
        <f t="shared" si="9"/>
        <v>178051.37918350974</v>
      </c>
      <c r="AA16" s="28">
        <f>Z16*0.00750061683</f>
        <v>1335.4951713085447</v>
      </c>
      <c r="AC16" s="23">
        <f t="shared" si="11"/>
        <v>59999.999999999985</v>
      </c>
      <c r="AD16" s="23">
        <f t="shared" si="12"/>
        <v>59999.999999999985</v>
      </c>
    </row>
    <row r="17" spans="1:44" x14ac:dyDescent="0.35">
      <c r="A17" s="29" t="s">
        <v>15</v>
      </c>
      <c r="B17" s="5">
        <v>1000</v>
      </c>
      <c r="F17" s="17" t="s">
        <v>18</v>
      </c>
      <c r="G17" s="19">
        <f>O7/2</f>
        <v>888061.00265122054</v>
      </c>
      <c r="J17" s="5" t="e">
        <f>J16*1000*9.81</f>
        <v>#DIV/0!</v>
      </c>
      <c r="K17" s="5" t="s">
        <v>61</v>
      </c>
      <c r="M17" s="5" t="e">
        <f>M16*1000*9.81</f>
        <v>#DIV/0!</v>
      </c>
      <c r="N17" s="5" t="s">
        <v>61</v>
      </c>
      <c r="P17" s="17"/>
      <c r="Q17" s="18"/>
      <c r="R17" s="19"/>
    </row>
    <row r="18" spans="1:44" ht="15" thickBot="1" x14ac:dyDescent="0.4">
      <c r="F18" s="17" t="s">
        <v>19</v>
      </c>
      <c r="G18" s="19">
        <f>O4/2</f>
        <v>454687.23335742491</v>
      </c>
      <c r="P18" s="33" t="s">
        <v>63</v>
      </c>
      <c r="Q18" s="34">
        <f>Q16+Q14</f>
        <v>17725.37373653656</v>
      </c>
      <c r="R18" s="35">
        <f>Q18*1025*9.8</f>
        <v>178051379.18350977</v>
      </c>
      <c r="S18" s="5" t="s">
        <v>61</v>
      </c>
    </row>
    <row r="19" spans="1:44" x14ac:dyDescent="0.35">
      <c r="A19" s="5" t="s">
        <v>53</v>
      </c>
      <c r="B19" s="5">
        <f>1.2/1000</f>
        <v>1.1999999999999999E-3</v>
      </c>
      <c r="F19" s="17" t="s">
        <v>20</v>
      </c>
      <c r="G19" s="19">
        <f>SUM(G16:G18)</f>
        <v>1738133.9399466349</v>
      </c>
      <c r="J19" s="42">
        <f>((1/'PCA2-Para'!N6)+(1/'MCA-Para'!N6)+(1/'ACA2-Para'!N6))^-1</f>
        <v>18242794841.211189</v>
      </c>
      <c r="P19" s="36" t="s">
        <v>74</v>
      </c>
      <c r="Q19" s="5">
        <f>P27/R18</f>
        <v>5.2418015759264538E-5</v>
      </c>
      <c r="R19" s="5" t="s">
        <v>76</v>
      </c>
    </row>
    <row r="20" spans="1:44" x14ac:dyDescent="0.35">
      <c r="A20" s="5" t="s">
        <v>54</v>
      </c>
      <c r="B20" s="5">
        <v>1025</v>
      </c>
      <c r="F20" s="17"/>
      <c r="G20" s="19"/>
      <c r="J20" s="5">
        <f>J19*1000*9.81</f>
        <v>178961817392281.75</v>
      </c>
      <c r="K20" s="5" t="s">
        <v>61</v>
      </c>
      <c r="Q20" s="5">
        <f>Q19*6*10000000</f>
        <v>3145.0809455558724</v>
      </c>
      <c r="R20" s="5" t="s">
        <v>70</v>
      </c>
    </row>
    <row r="21" spans="1:44" x14ac:dyDescent="0.35">
      <c r="F21" s="17" t="s">
        <v>21</v>
      </c>
      <c r="G21" s="19">
        <f>O5/2</f>
        <v>152273.83447380329</v>
      </c>
    </row>
    <row r="22" spans="1:44" x14ac:dyDescent="0.35">
      <c r="F22" s="17"/>
      <c r="G22" s="19"/>
    </row>
    <row r="23" spans="1:44" ht="15" thickBot="1" x14ac:dyDescent="0.4">
      <c r="F23" s="33" t="s">
        <v>22</v>
      </c>
      <c r="G23" s="35">
        <f>((1/G21)+(1/G19))^-1</f>
        <v>140008.0572276935</v>
      </c>
      <c r="H23" s="5">
        <f>(G23*1000*9.81)</f>
        <v>1373479041.4036732</v>
      </c>
      <c r="I23" s="5" t="s">
        <v>61</v>
      </c>
    </row>
    <row r="24" spans="1:44" x14ac:dyDescent="0.35">
      <c r="W24" s="37" t="s">
        <v>80</v>
      </c>
      <c r="X24" s="37" t="s">
        <v>80</v>
      </c>
      <c r="Y24" s="37" t="s">
        <v>80</v>
      </c>
      <c r="AB24" s="37" t="s">
        <v>83</v>
      </c>
      <c r="AP24" s="5" t="s">
        <v>83</v>
      </c>
    </row>
    <row r="25" spans="1:44" ht="15" thickBot="1" x14ac:dyDescent="0.4">
      <c r="V25" s="37" t="s">
        <v>81</v>
      </c>
      <c r="W25" s="37" t="s">
        <v>9</v>
      </c>
      <c r="X25" s="37" t="s">
        <v>10</v>
      </c>
      <c r="Y25" s="37" t="s">
        <v>82</v>
      </c>
      <c r="AB25" s="37" t="s">
        <v>94</v>
      </c>
      <c r="AC25" s="37" t="s">
        <v>95</v>
      </c>
      <c r="AD25" s="37" t="s">
        <v>96</v>
      </c>
      <c r="AP25" s="37" t="s">
        <v>97</v>
      </c>
      <c r="AQ25" s="37" t="s">
        <v>98</v>
      </c>
      <c r="AR25" s="37" t="s">
        <v>99</v>
      </c>
    </row>
    <row r="26" spans="1:44" x14ac:dyDescent="0.35">
      <c r="F26" s="11"/>
      <c r="G26" s="12" t="s">
        <v>44</v>
      </c>
      <c r="H26" s="12" t="s">
        <v>45</v>
      </c>
      <c r="I26" s="13" t="s">
        <v>46</v>
      </c>
      <c r="K26" s="5" t="s">
        <v>64</v>
      </c>
      <c r="L26" s="5">
        <v>45000</v>
      </c>
      <c r="M26" s="5" t="s">
        <v>50</v>
      </c>
      <c r="N26" s="5">
        <f>(L26*2.8)/10000000000</f>
        <v>1.2599999999999998E-5</v>
      </c>
      <c r="O26" s="5" t="s">
        <v>66</v>
      </c>
      <c r="V26" s="37">
        <v>0</v>
      </c>
      <c r="W26" s="5">
        <f>('PCA2-Para'!J25/2^'PCA2-Para'!B25)*(1000*9.81)</f>
        <v>112191933983341.08</v>
      </c>
      <c r="X26" s="5">
        <f>('MCA-Para'!J26/2^'MCA-Para'!B26)*(1000*9.81)</f>
        <v>29799254768.517307</v>
      </c>
      <c r="Y26" s="5">
        <f>('ACA2-Para'!J25/2^'ACA2-Para'!B25)*(1000*9.81)</f>
        <v>114139233642.35962</v>
      </c>
      <c r="AB26" s="5">
        <f>W26</f>
        <v>112191933983341.08</v>
      </c>
      <c r="AC26" s="5">
        <f>X26</f>
        <v>29799254768.517307</v>
      </c>
      <c r="AD26" s="5">
        <f>Y26</f>
        <v>114139233642.35962</v>
      </c>
      <c r="AP26" s="5">
        <v>16107660990337.982</v>
      </c>
      <c r="AQ26" s="5">
        <v>8062042590219.7949</v>
      </c>
      <c r="AR26" s="5">
        <v>16107660990337.982</v>
      </c>
    </row>
    <row r="27" spans="1:44" x14ac:dyDescent="0.35">
      <c r="F27" s="17" t="s">
        <v>43</v>
      </c>
      <c r="G27" s="18">
        <v>15</v>
      </c>
      <c r="H27" s="18">
        <f>G27*13.6</f>
        <v>204</v>
      </c>
      <c r="I27" s="19">
        <f>H27/1000</f>
        <v>0.20399999999999999</v>
      </c>
      <c r="K27" s="5" t="s">
        <v>65</v>
      </c>
      <c r="L27" s="5">
        <v>70</v>
      </c>
      <c r="M27" s="5" t="s">
        <v>44</v>
      </c>
      <c r="N27" s="5">
        <f>L27*13.6/1000</f>
        <v>0.95199999999999996</v>
      </c>
      <c r="O27" s="5" t="s">
        <v>46</v>
      </c>
      <c r="P27" s="5">
        <f>L27*133.33</f>
        <v>9333.1</v>
      </c>
      <c r="Q27" s="5" t="s">
        <v>72</v>
      </c>
      <c r="V27" s="5">
        <v>1</v>
      </c>
      <c r="W27" s="5">
        <f>('PCA2-Para'!J24/2^'PCA2-Para'!B24)*(1000*9.81)</f>
        <v>91710027779297.813</v>
      </c>
      <c r="X27" s="5">
        <f>('MCA-Para'!J25/2^'MCA-Para'!B25)*(1000*9.81)</f>
        <v>33819083416.418934</v>
      </c>
      <c r="Y27" s="5">
        <f>('ACA2-Para'!J24/2^'ACA2-Para'!B24)*(1000*9.81)</f>
        <v>129536268394.04236</v>
      </c>
      <c r="AB27" s="5">
        <f>W27+W26</f>
        <v>203901961762638.88</v>
      </c>
      <c r="AC27" s="5">
        <f>AC26+X27</f>
        <v>63618338184.936241</v>
      </c>
      <c r="AD27" s="5">
        <f>AD26+Y27</f>
        <v>243675502036.40198</v>
      </c>
      <c r="AP27" s="5">
        <v>20119573601679.508</v>
      </c>
      <c r="AQ27" s="5">
        <v>10071237009080.566</v>
      </c>
      <c r="AR27" s="5">
        <v>20119573601679.508</v>
      </c>
    </row>
    <row r="28" spans="1:44" x14ac:dyDescent="0.35">
      <c r="F28" s="17" t="s">
        <v>47</v>
      </c>
      <c r="G28" s="18">
        <v>1</v>
      </c>
      <c r="H28" s="18">
        <f>G28*13.6</f>
        <v>13.6</v>
      </c>
      <c r="I28" s="19">
        <f>H28/1000</f>
        <v>1.3599999999999999E-2</v>
      </c>
      <c r="K28" s="5" t="s">
        <v>67</v>
      </c>
      <c r="L28" s="5">
        <f>N27/N26</f>
        <v>75555.555555555562</v>
      </c>
      <c r="V28" s="5">
        <f>V27+1</f>
        <v>2</v>
      </c>
      <c r="W28" s="5">
        <f>('PCA2-Para'!J23/2^'PCA2-Para'!B23)*(1000*9.81)</f>
        <v>74967325160188.891</v>
      </c>
      <c r="X28" s="5">
        <f>('MCA-Para'!J24/2^'MCA-Para'!B24)*(1000*9.81)</f>
        <v>38381174697.531326</v>
      </c>
      <c r="Y28" s="5">
        <f>('ACA2-Para'!J23/2^'ACA2-Para'!B23)*(1000*9.81)</f>
        <v>147010316207.57275</v>
      </c>
      <c r="AB28" s="5">
        <f>AB27+W28</f>
        <v>278869286922827.75</v>
      </c>
      <c r="AC28" s="5">
        <f t="shared" ref="AC28:AD43" si="15">AC27+X28</f>
        <v>101999512882.46756</v>
      </c>
      <c r="AD28" s="5">
        <f t="shared" si="15"/>
        <v>390685818243.97473</v>
      </c>
      <c r="AP28" s="5">
        <v>22492449298727.848</v>
      </c>
      <c r="AQ28" s="5">
        <v>11259951856885.463</v>
      </c>
      <c r="AR28" s="5">
        <v>22492449298727.848</v>
      </c>
    </row>
    <row r="29" spans="1:44" x14ac:dyDescent="0.35">
      <c r="F29" s="17" t="s">
        <v>48</v>
      </c>
      <c r="G29" s="18"/>
      <c r="H29" s="18"/>
      <c r="I29" s="19">
        <f>I27-I28</f>
        <v>0.19039999999999999</v>
      </c>
      <c r="V29" s="5">
        <f t="shared" ref="V29:V47" si="16">V28+1</f>
        <v>3</v>
      </c>
      <c r="W29" s="5">
        <f>('PCA2-Para'!J22/2^'PCA2-Para'!B22)*(1000*9.81)</f>
        <v>61281192229037.18</v>
      </c>
      <c r="X29" s="5">
        <f>('MCA-Para'!J23/2^'MCA-Para'!B23)*(1000*9.81)</f>
        <v>43558678188.399002</v>
      </c>
      <c r="Y29" s="5">
        <f>('ACA2-Para'!J22/2^'ACA2-Para'!B22)*(1000*9.81)</f>
        <v>166841559814.79974</v>
      </c>
      <c r="AB29" s="5">
        <f t="shared" ref="AB29:AD44" si="17">AB28+W29</f>
        <v>340150479151864.94</v>
      </c>
      <c r="AC29" s="5">
        <f t="shared" si="15"/>
        <v>145558191070.86658</v>
      </c>
      <c r="AD29" s="5">
        <f t="shared" si="15"/>
        <v>557527378058.77441</v>
      </c>
      <c r="AP29" s="5">
        <v>24493167739834.344</v>
      </c>
      <c r="AQ29" s="5">
        <v>12262341800730.514</v>
      </c>
      <c r="AR29" s="5">
        <v>24493167739834.344</v>
      </c>
    </row>
    <row r="30" spans="1:44" x14ac:dyDescent="0.35">
      <c r="F30" s="17"/>
      <c r="G30" s="18"/>
      <c r="H30" s="18"/>
      <c r="I30" s="19"/>
      <c r="V30" s="5">
        <f t="shared" si="16"/>
        <v>4</v>
      </c>
      <c r="W30" s="5">
        <f>('PCA2-Para'!J21/2^'PCA2-Para'!B21)*(1000*9.81)</f>
        <v>50093617625915.906</v>
      </c>
      <c r="X30" s="5">
        <f>('MCA-Para'!J22/2^'MCA-Para'!B22)*(1000*9.81)</f>
        <v>49434611120.501953</v>
      </c>
      <c r="Y30" s="5">
        <f>('ACA2-Para'!J21/2^'ACA2-Para'!B21)*(1000*9.81)</f>
        <v>189347977744.17355</v>
      </c>
      <c r="AB30" s="5">
        <f t="shared" si="17"/>
        <v>390244096777780.88</v>
      </c>
      <c r="AC30" s="5">
        <f t="shared" si="15"/>
        <v>194992802191.36853</v>
      </c>
      <c r="AD30" s="5">
        <f t="shared" si="15"/>
        <v>746875355802.948</v>
      </c>
      <c r="AP30" s="5">
        <v>26542107667461.039</v>
      </c>
      <c r="AQ30" s="5">
        <v>13288875204912.328</v>
      </c>
      <c r="AR30" s="5">
        <v>26542107667461.039</v>
      </c>
    </row>
    <row r="31" spans="1:44" x14ac:dyDescent="0.35">
      <c r="F31" s="17"/>
      <c r="G31" s="18"/>
      <c r="H31" s="18"/>
      <c r="I31" s="19"/>
      <c r="K31" s="5" t="s">
        <v>75</v>
      </c>
      <c r="N31" s="5">
        <v>1</v>
      </c>
      <c r="O31" s="5" t="s">
        <v>70</v>
      </c>
      <c r="V31" s="5">
        <f t="shared" si="16"/>
        <v>5</v>
      </c>
      <c r="W31" s="5">
        <f>('PCA2-Para'!J20/2^'PCA2-Para'!B20)*(1000*9.81)</f>
        <v>40948461274590.625</v>
      </c>
      <c r="X31" s="5">
        <f>('MCA-Para'!J21/2^'MCA-Para'!B21)*(1000*9.81)</f>
        <v>56103189496.831627</v>
      </c>
      <c r="Y31" s="5">
        <f>('ACA2-Para'!J20/2^'ACA2-Para'!B20)*(1000*9.81)</f>
        <v>214890442858.51685</v>
      </c>
      <c r="AB31" s="5">
        <f t="shared" si="17"/>
        <v>431192558052371.5</v>
      </c>
      <c r="AC31" s="5">
        <f t="shared" si="15"/>
        <v>251095991688.20016</v>
      </c>
      <c r="AD31" s="5">
        <f t="shared" si="15"/>
        <v>961765798661.46484</v>
      </c>
      <c r="AP31" s="5">
        <v>28914983364509.383</v>
      </c>
      <c r="AQ31" s="5">
        <v>14477590052717.225</v>
      </c>
      <c r="AR31" s="5">
        <v>28914983364509.383</v>
      </c>
    </row>
    <row r="32" spans="1:44" ht="15" thickBot="1" x14ac:dyDescent="0.4">
      <c r="F32" s="33" t="s">
        <v>49</v>
      </c>
      <c r="G32" s="34" t="e">
        <f>I29/M16</f>
        <v>#DIV/0!</v>
      </c>
      <c r="H32" s="34" t="e">
        <f>G32*3.6*1000000000</f>
        <v>#DIV/0!</v>
      </c>
      <c r="I32" s="35" t="s">
        <v>50</v>
      </c>
      <c r="K32" s="5" t="s">
        <v>77</v>
      </c>
      <c r="N32" s="23">
        <v>1E-10</v>
      </c>
      <c r="O32" s="5" t="s">
        <v>70</v>
      </c>
      <c r="P32" s="37" t="s">
        <v>76</v>
      </c>
      <c r="Q32" s="23">
        <f>N32*0.00000001666</f>
        <v>1.6660000000000002E-18</v>
      </c>
      <c r="V32" s="5">
        <f t="shared" si="16"/>
        <v>6</v>
      </c>
      <c r="W32" s="5">
        <f>('PCA2-Para'!J19/2^'PCA2-Para'!B19)*(1000*9.81)</f>
        <v>33472856627730.723</v>
      </c>
      <c r="X32" s="5">
        <f>('MCA-Para'!J20/2^'MCA-Para'!B20)*(1000*9.81)</f>
        <v>63671338772.037209</v>
      </c>
      <c r="Y32" s="5">
        <f>('ACA2-Para'!J19/2^'ACA2-Para'!B19)*(1000*9.81)</f>
        <v>243878508670.00049</v>
      </c>
      <c r="AB32" s="5">
        <f t="shared" si="17"/>
        <v>464665414680102.25</v>
      </c>
      <c r="AC32" s="5">
        <f t="shared" si="15"/>
        <v>314767330460.23737</v>
      </c>
      <c r="AD32" s="5">
        <f t="shared" si="15"/>
        <v>1205644307331.4653</v>
      </c>
      <c r="AP32" s="5">
        <v>31906211386237.055</v>
      </c>
      <c r="AQ32" s="5">
        <v>15975863677314.447</v>
      </c>
      <c r="AR32" s="5">
        <v>31906211386237.055</v>
      </c>
    </row>
    <row r="33" spans="8:44" x14ac:dyDescent="0.35">
      <c r="H33" s="5" t="e">
        <f>H32/60</f>
        <v>#DIV/0!</v>
      </c>
      <c r="I33" s="5" t="s">
        <v>70</v>
      </c>
      <c r="K33" s="5" t="s">
        <v>78</v>
      </c>
      <c r="N33" s="5">
        <v>0.3</v>
      </c>
      <c r="O33" s="5" t="s">
        <v>70</v>
      </c>
      <c r="V33" s="5">
        <f t="shared" si="16"/>
        <v>7</v>
      </c>
      <c r="W33" s="5">
        <f>('PCA2-Para'!J18/2^'PCA2-Para'!B18)*(1000*9.81)</f>
        <v>27362008142559.152</v>
      </c>
      <c r="X33" s="5">
        <f>('MCA-Para'!J19/2^'MCA-Para'!B19)*(1000*9.81)</f>
        <v>72260408318.719162</v>
      </c>
      <c r="Y33" s="5">
        <f>('ACA2-Para'!J18/2^'ACA2-Para'!B18)*(1000*9.81)</f>
        <v>276776976211.37476</v>
      </c>
      <c r="AB33" s="5">
        <f t="shared" si="17"/>
        <v>492027422822661.38</v>
      </c>
      <c r="AC33" s="5">
        <f t="shared" si="15"/>
        <v>387027738778.95654</v>
      </c>
      <c r="AD33" s="5">
        <f t="shared" si="15"/>
        <v>1482421283542.8401</v>
      </c>
      <c r="AP33" s="5">
        <v>35918123997578.586</v>
      </c>
      <c r="AQ33" s="5">
        <v>17985058096175.219</v>
      </c>
      <c r="AR33" s="5">
        <v>35918123997578.586</v>
      </c>
    </row>
    <row r="34" spans="8:44" x14ac:dyDescent="0.35">
      <c r="K34" s="5" t="s">
        <v>79</v>
      </c>
      <c r="N34" s="5">
        <v>0.13</v>
      </c>
      <c r="O34" s="5" t="s">
        <v>70</v>
      </c>
      <c r="P34" s="37" t="s">
        <v>76</v>
      </c>
      <c r="Q34" s="5">
        <f>N34*0.00000001666</f>
        <v>2.1658000000000001E-9</v>
      </c>
      <c r="V34" s="5">
        <f t="shared" si="16"/>
        <v>8</v>
      </c>
      <c r="W34" s="5">
        <f>('PCA2-Para'!J17/2^'PCA2-Para'!B17)*(1000*9.81)</f>
        <v>22366764149230.895</v>
      </c>
      <c r="X34" s="5">
        <f>('MCA-Para'!J18/2^'MCA-Para'!B18)*(1000*9.81)</f>
        <v>82008117170.000412</v>
      </c>
      <c r="Y34" s="5">
        <f>('ACA2-Para'!J17/2^'ACA2-Para'!B17)*(1000*9.81)</f>
        <v>314113346758.1153</v>
      </c>
      <c r="AB34" s="5">
        <f t="shared" si="17"/>
        <v>514394186971892.25</v>
      </c>
      <c r="AC34" s="5">
        <f t="shared" si="15"/>
        <v>469035855948.95697</v>
      </c>
      <c r="AD34" s="5">
        <f t="shared" si="15"/>
        <v>1796534630300.9553</v>
      </c>
      <c r="AP34" s="5">
        <v>41559596373671.039</v>
      </c>
      <c r="AQ34" s="5">
        <v>20809863211143.844</v>
      </c>
      <c r="AR34" s="5">
        <v>41559596373671.039</v>
      </c>
    </row>
    <row r="35" spans="8:44" x14ac:dyDescent="0.35">
      <c r="V35" s="5">
        <f t="shared" si="16"/>
        <v>9</v>
      </c>
      <c r="W35" s="5">
        <f>('PCA2-Para'!J16/2^'PCA2-Para'!B16)*(1000*9.81)</f>
        <v>18283458432613.793</v>
      </c>
      <c r="X35" s="5">
        <f>('MCA-Para'!J17/2^'MCA-Para'!B17)*(1000*9.81)</f>
        <v>93070762236.840408</v>
      </c>
      <c r="Y35" s="5">
        <f>('ACA2-Para'!J16/2^'ACA2-Para'!B16)*(1000*9.81)</f>
        <v>356486279900.073</v>
      </c>
      <c r="AB35" s="5">
        <f t="shared" si="17"/>
        <v>532677645404506.06</v>
      </c>
      <c r="AC35" s="5">
        <f t="shared" si="15"/>
        <v>562106618185.79736</v>
      </c>
      <c r="AD35" s="5">
        <f t="shared" si="15"/>
        <v>2153020910201.0283</v>
      </c>
      <c r="AP35" s="5">
        <v>49793615752710.273</v>
      </c>
      <c r="AQ35" s="5">
        <v>24932114287650.352</v>
      </c>
      <c r="AR35" s="5">
        <v>49793615752710.273</v>
      </c>
    </row>
    <row r="36" spans="8:44" x14ac:dyDescent="0.35">
      <c r="K36" s="37" t="s">
        <v>32</v>
      </c>
      <c r="L36" s="37" t="s">
        <v>80</v>
      </c>
      <c r="M36" s="5">
        <f>1866.513115/Q34</f>
        <v>861812316465.04749</v>
      </c>
      <c r="V36" s="5">
        <f t="shared" si="16"/>
        <v>10</v>
      </c>
      <c r="W36" s="5">
        <f>('PCA2-Para'!J15/2^'PCA2-Para'!B15)*(1000*9.81)</f>
        <v>14945606348185.648</v>
      </c>
      <c r="X36" s="5">
        <f>('MCA-Para'!J16/2^'MCA-Para'!B16)*(1000*9.81)</f>
        <v>105625724407.13472</v>
      </c>
      <c r="Y36" s="5">
        <f>('ACA2-Para'!J15/2^'ACA2-Para'!B15)*(1000*9.81)</f>
        <v>404575192581.211</v>
      </c>
      <c r="AB36" s="5">
        <f t="shared" si="17"/>
        <v>547623251752691.69</v>
      </c>
      <c r="AC36" s="5">
        <f t="shared" si="15"/>
        <v>667732342592.93213</v>
      </c>
      <c r="AD36" s="5">
        <f t="shared" si="15"/>
        <v>2557596102782.2393</v>
      </c>
      <c r="AP36" s="5">
        <v>62178785815947.297</v>
      </c>
      <c r="AQ36" s="5">
        <v>31131587445263.883</v>
      </c>
      <c r="AR36" s="5">
        <v>62178785815947.297</v>
      </c>
    </row>
    <row r="37" spans="8:44" x14ac:dyDescent="0.35">
      <c r="M37" s="5">
        <f>M36/(1000*9.81)</f>
        <v>87850389.038231134</v>
      </c>
      <c r="O37" s="5">
        <f>Q34*J20</f>
        <v>387595.50410820381</v>
      </c>
      <c r="P37" s="37" t="s">
        <v>72</v>
      </c>
      <c r="Q37" s="23"/>
      <c r="V37" s="5">
        <f t="shared" si="16"/>
        <v>11</v>
      </c>
      <c r="W37" s="5">
        <f>('PCA2-Para'!J14/2^'PCA2-Para'!B14)*(1000*9.81)</f>
        <v>12217116905873.816</v>
      </c>
      <c r="X37" s="5">
        <f>('MCA-Para'!J15/2^'MCA-Para'!B15)*(1000*9.81)</f>
        <v>119874312709.94533</v>
      </c>
      <c r="Y37" s="5">
        <f>('ACA2-Para'!J14/2^'ACA2-Para'!B14)*(1000*9.81)</f>
        <v>459151153020.54706</v>
      </c>
      <c r="AB37" s="5">
        <f t="shared" si="17"/>
        <v>559840368658565.5</v>
      </c>
      <c r="AC37" s="5">
        <f t="shared" si="15"/>
        <v>787606655302.87744</v>
      </c>
      <c r="AD37" s="5">
        <f t="shared" si="15"/>
        <v>3016747255802.7861</v>
      </c>
      <c r="AP37" s="5">
        <v>81276039146084.406</v>
      </c>
      <c r="AQ37" s="5">
        <v>40689416623898.617</v>
      </c>
      <c r="AR37" s="5">
        <v>81276039146084.406</v>
      </c>
    </row>
    <row r="38" spans="8:44" x14ac:dyDescent="0.35">
      <c r="M38" s="37"/>
      <c r="O38" s="5">
        <f>O37*0.0075006157584566</f>
        <v>2907.2049460209232</v>
      </c>
      <c r="P38" s="37" t="s">
        <v>44</v>
      </c>
      <c r="V38" s="5">
        <f t="shared" si="16"/>
        <v>12</v>
      </c>
      <c r="W38" s="5">
        <f>('PCA2-Para'!J13/2^'PCA2-Para'!B13)*(1000*9.81)</f>
        <v>9986744064746.9785</v>
      </c>
      <c r="X38" s="5">
        <f>('MCA-Para'!J14/2^'MCA-Para'!B14)*(1000*9.81)</f>
        <v>136044992148.81708</v>
      </c>
      <c r="Y38" s="5">
        <f>('ACA2-Para'!J13/2^'ACA2-Para'!B13)*(1000*9.81)</f>
        <v>521089244189.82861</v>
      </c>
      <c r="AB38" s="5">
        <f t="shared" si="17"/>
        <v>569827112723312.5</v>
      </c>
      <c r="AC38" s="5">
        <f t="shared" si="15"/>
        <v>923651647451.69458</v>
      </c>
      <c r="AD38" s="5">
        <f t="shared" si="15"/>
        <v>3537836499992.6147</v>
      </c>
      <c r="AP38" s="5">
        <v>111342403502153.81</v>
      </c>
      <c r="AQ38" s="5">
        <v>55735063987679.93</v>
      </c>
      <c r="AR38" s="5">
        <v>111342403502153.81</v>
      </c>
    </row>
    <row r="39" spans="8:44" x14ac:dyDescent="0.35">
      <c r="V39" s="5">
        <f>V38+1</f>
        <v>13</v>
      </c>
      <c r="W39" s="5">
        <f>('PCA2-Para'!J12/2^'PCA2-Para'!B12)*(1000*9.81)</f>
        <v>8163551006605.1533</v>
      </c>
      <c r="X39" s="5">
        <f>('MCA-Para'!J13/2^'MCA-Para'!B13)*(1000*9.81)</f>
        <v>154397046959.97107</v>
      </c>
      <c r="Y39" s="5">
        <f>('ACA2-Para'!J12/2^'ACA2-Para'!B12)*(1000*9.81)</f>
        <v>591382595086.66821</v>
      </c>
      <c r="AB39" s="5">
        <f t="shared" si="17"/>
        <v>577990663729917.63</v>
      </c>
      <c r="AC39" s="5">
        <f t="shared" si="15"/>
        <v>1078048694411.6656</v>
      </c>
      <c r="AD39" s="5">
        <f t="shared" si="15"/>
        <v>4129219095079.2832</v>
      </c>
      <c r="AP39" s="5">
        <v>159524257558659.56</v>
      </c>
      <c r="AQ39" s="5">
        <v>79843074550034.953</v>
      </c>
      <c r="AR39" s="5">
        <v>159524257558659.56</v>
      </c>
    </row>
    <row r="40" spans="8:44" x14ac:dyDescent="0.35">
      <c r="V40" s="5">
        <f t="shared" si="16"/>
        <v>14</v>
      </c>
      <c r="W40" s="5">
        <f>('PCA2-Para'!J11/2^'PCA2-Para'!B11)*(1000*9.81)</f>
        <v>6673202457715.3779</v>
      </c>
      <c r="X40" s="5">
        <f>('MCA-Para'!J12/2^'MCA-Para'!B12)*(1000*9.81)</f>
        <v>175224738032.86411</v>
      </c>
      <c r="Y40" s="5">
        <f>('ACA2-Para'!J11/2^'ACA2-Para'!B11)*(1000*9.81)</f>
        <v>671158304783.65674</v>
      </c>
      <c r="AB40" s="5">
        <f t="shared" si="17"/>
        <v>584663866187633</v>
      </c>
      <c r="AC40" s="5">
        <f t="shared" si="15"/>
        <v>1253273432444.5298</v>
      </c>
      <c r="AD40" s="5">
        <f t="shared" si="15"/>
        <v>4800377399862.9395</v>
      </c>
      <c r="AP40" s="5">
        <v>237923451129198.19</v>
      </c>
      <c r="AQ40" s="5">
        <v>119066321442163.45</v>
      </c>
      <c r="AR40" s="5">
        <v>237923451129198.22</v>
      </c>
    </row>
    <row r="41" spans="8:44" x14ac:dyDescent="0.35">
      <c r="V41" s="5">
        <f t="shared" si="16"/>
        <v>15</v>
      </c>
      <c r="W41" s="5">
        <f>('PCA2-Para'!J10/2^'PCA2-Para'!B10)*(1000*9.81)</f>
        <v>5454933889140.6318</v>
      </c>
      <c r="X41" s="5">
        <f>('MCA-Para'!J11/2^'MCA-Para'!B11)*(1000*9.81)</f>
        <v>198862021154.10989</v>
      </c>
      <c r="Y41" s="5">
        <f>('ACA2-Para'!J10/2^'ACA2-Para'!B10)*(1000*9.81)</f>
        <v>761695514583.17261</v>
      </c>
      <c r="AB41" s="5">
        <f t="shared" si="17"/>
        <v>590118800076773.63</v>
      </c>
      <c r="AC41" s="5">
        <f t="shared" si="15"/>
        <v>1452135453598.6396</v>
      </c>
      <c r="AD41" s="5">
        <f t="shared" si="15"/>
        <v>5562072914446.1123</v>
      </c>
      <c r="AP41" s="5">
        <v>367196040574721.44</v>
      </c>
      <c r="AQ41" s="5">
        <v>183735645051077.31</v>
      </c>
      <c r="AR41" s="5">
        <v>367196040574721.44</v>
      </c>
    </row>
    <row r="42" spans="8:44" x14ac:dyDescent="0.35">
      <c r="V42" s="5">
        <f t="shared" si="16"/>
        <v>16</v>
      </c>
      <c r="W42" s="5">
        <f>('PCA2-Para'!J9/2^'PCA2-Para'!B9)*(1000*9.81)</f>
        <v>4459074023820.6748</v>
      </c>
      <c r="X42" s="5">
        <f>('MCA-Para'!J10/2^'MCA-Para'!B10)*(1000*9.81)</f>
        <v>225687901728.12589</v>
      </c>
      <c r="Y42" s="5">
        <f>('ACA2-Para'!J9/2^'ACA2-Para'!B9)*(1000*9.81)</f>
        <v>864445918050.79614</v>
      </c>
      <c r="AB42" s="5">
        <f t="shared" si="17"/>
        <v>594577874100594.25</v>
      </c>
      <c r="AC42" s="5">
        <f t="shared" si="15"/>
        <v>1677823355326.7656</v>
      </c>
      <c r="AD42" s="5">
        <f t="shared" si="15"/>
        <v>6426518832496.9082</v>
      </c>
      <c r="AP42" s="5">
        <v>582854667438302.63</v>
      </c>
      <c r="AQ42" s="5">
        <v>291611441812550.88</v>
      </c>
      <c r="AR42" s="5">
        <v>582854667438302.63</v>
      </c>
    </row>
    <row r="43" spans="8:44" x14ac:dyDescent="0.35">
      <c r="V43" s="5">
        <f t="shared" si="16"/>
        <v>17</v>
      </c>
      <c r="W43" s="5">
        <f>('PCA2-Para'!J8/2^'PCA2-Para'!B8)*(1000*9.81)</f>
        <v>3645019638000.5493</v>
      </c>
      <c r="X43" s="5">
        <f>('MCA-Para'!J9/2^'MCA-Para'!B9)*(1000*9.81)</f>
        <v>256132511833.27588</v>
      </c>
      <c r="Y43" s="5">
        <f>('ACA2-Para'!J8/2^'ACA2-Para'!B8)*(1000*9.81)</f>
        <v>981057037789.71948</v>
      </c>
      <c r="AB43" s="5">
        <f t="shared" si="17"/>
        <v>598222893738594.75</v>
      </c>
      <c r="AC43" s="5">
        <f t="shared" si="15"/>
        <v>1933955867160.0415</v>
      </c>
      <c r="AD43" s="5">
        <f t="shared" si="15"/>
        <v>7407575870286.6279</v>
      </c>
      <c r="AP43" s="5">
        <v>946361635242897.13</v>
      </c>
      <c r="AQ43" s="5">
        <v>473430789928712.25</v>
      </c>
      <c r="AR43" s="5">
        <v>946361635242897.13</v>
      </c>
    </row>
    <row r="44" spans="8:44" x14ac:dyDescent="0.35">
      <c r="V44" s="5">
        <f t="shared" si="16"/>
        <v>18</v>
      </c>
      <c r="W44" s="5">
        <f>('PCA2-Para'!J7/2^'PCA2-Para'!B7)*(1000*9.81)</f>
        <v>2979580085559.0293</v>
      </c>
      <c r="X44" s="5">
        <f>('MCA-Para'!J8/2^'MCA-Para'!B8)*(1000*9.81)</f>
        <v>290684007054.36414</v>
      </c>
      <c r="Y44" s="5">
        <f>('ACA2-Para'!J7/2^'ACA2-Para'!B7)*(1000*9.81)</f>
        <v>1113398642181.0869</v>
      </c>
      <c r="AB44" s="5">
        <f t="shared" si="17"/>
        <v>601202473824153.75</v>
      </c>
      <c r="AC44" s="5">
        <f t="shared" si="17"/>
        <v>2224639874214.4058</v>
      </c>
      <c r="AD44" s="5">
        <f t="shared" si="17"/>
        <v>8520974512467.7148</v>
      </c>
      <c r="AP44" s="5">
        <v>1564746592815671</v>
      </c>
      <c r="AQ44" s="5">
        <v>782717165464663.75</v>
      </c>
      <c r="AR44" s="5">
        <v>1564746592815671</v>
      </c>
    </row>
    <row r="45" spans="8:44" x14ac:dyDescent="0.35">
      <c r="V45" s="5">
        <f t="shared" si="16"/>
        <v>19</v>
      </c>
      <c r="W45" s="5">
        <f>('PCA2-Para'!J6/2^'PCA2-Para'!B6)*(1000*9.81)</f>
        <v>2435624048140.8936</v>
      </c>
      <c r="X45" s="5">
        <f>('MCA-Para'!J7/2^'MCA-Para'!B7)*(1000*9.81)</f>
        <v>329896393676.81427</v>
      </c>
      <c r="Y45" s="5">
        <f>('ACA2-Para'!J6/2^'ACA2-Para'!B6)*(1000*9.81)</f>
        <v>1263592725662.0896</v>
      </c>
      <c r="AB45" s="5">
        <f t="shared" ref="AB45:AD47" si="18">AB44+W45</f>
        <v>603638097872294.63</v>
      </c>
      <c r="AC45" s="5">
        <f t="shared" si="18"/>
        <v>2554536267891.2202</v>
      </c>
      <c r="AD45" s="5">
        <f t="shared" si="18"/>
        <v>9784567238129.8047</v>
      </c>
      <c r="AP45" s="5">
        <v>2625453233289436</v>
      </c>
      <c r="AQ45" s="5">
        <v>1313205068246112.8</v>
      </c>
      <c r="AR45" s="5">
        <v>2625453233289435.5</v>
      </c>
    </row>
    <row r="46" spans="8:44" x14ac:dyDescent="0.35">
      <c r="V46" s="5">
        <f>V45+1</f>
        <v>20</v>
      </c>
      <c r="W46" s="5">
        <f>('PCA2-Para'!J5/2^'PCA2-Para'!B5)*(1000*9.81)</f>
        <v>1990973336354.9519</v>
      </c>
      <c r="X46" s="5">
        <f>('MCA-Para'!J6/2^'MCA-Para'!B6)*(1000*9.81)</f>
        <v>374398411745.48596</v>
      </c>
      <c r="Y46" s="5">
        <f>('ACA2-Para'!J5/2^'ACA2-Para'!B5)*(1000*9.81)</f>
        <v>1434047533252.2117</v>
      </c>
      <c r="AB46" s="5">
        <f t="shared" si="18"/>
        <v>605629071208649.63</v>
      </c>
      <c r="AC46" s="5">
        <f t="shared" si="18"/>
        <v>2928934679636.7061</v>
      </c>
      <c r="AD46" s="5">
        <f t="shared" si="18"/>
        <v>11218614771382.016</v>
      </c>
      <c r="AP46" s="5">
        <v>4458493883288377.5</v>
      </c>
      <c r="AQ46" s="5">
        <v>2229919292242009.5</v>
      </c>
      <c r="AR46" s="5">
        <v>4458493883288377</v>
      </c>
    </row>
    <row r="47" spans="8:44" x14ac:dyDescent="0.35">
      <c r="V47" s="5">
        <f t="shared" si="16"/>
        <v>21</v>
      </c>
      <c r="W47" s="5">
        <f>('PCA2-Para'!J4/2^'PCA2-Para'!B4)*(1000*9.81)</f>
        <v>1627498640072.1663</v>
      </c>
      <c r="X47" s="5">
        <f>('MCA-Para'!J5/2^'MCA-Para'!B5)*(1000*9.81)</f>
        <v>424903616421.05499</v>
      </c>
      <c r="Y47" s="5">
        <f>('ACA2-Para'!J4/2^'ACA2-Para'!B4)*(1000*9.81)</f>
        <v>1627496174884.3601</v>
      </c>
      <c r="AB47" s="5">
        <f t="shared" si="18"/>
        <v>607256569848721.75</v>
      </c>
      <c r="AC47" s="5">
        <f t="shared" si="18"/>
        <v>3353838296057.7612</v>
      </c>
      <c r="AD47" s="5">
        <f t="shared" si="18"/>
        <v>12846110946266.375</v>
      </c>
      <c r="AP47" s="5">
        <v>1.4026245859339282E+16</v>
      </c>
      <c r="AQ47" s="5">
        <v>3824825140148503</v>
      </c>
      <c r="AR47" s="5">
        <v>1.1634307865326556E+16</v>
      </c>
    </row>
    <row r="48" spans="8:44" x14ac:dyDescent="0.35">
      <c r="V48" s="5">
        <f>V47+1</f>
        <v>22</v>
      </c>
      <c r="X48" s="5">
        <f>('MCA-Para'!J4/2^'MCA-Para'!B4)*(1000*9.81)</f>
        <v>482221819280.64203</v>
      </c>
      <c r="AC48" s="5">
        <f>AC47+X48</f>
        <v>3836060115338.4033</v>
      </c>
      <c r="AQ48" s="5">
        <v>8571251582903232</v>
      </c>
    </row>
    <row r="51" spans="28:28" x14ac:dyDescent="0.35">
      <c r="AB51" s="37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2"/>
  <sheetViews>
    <sheetView zoomScale="85" zoomScaleNormal="85" workbookViewId="0">
      <selection activeCell="N9" sqref="N9"/>
    </sheetView>
  </sheetViews>
  <sheetFormatPr defaultRowHeight="14.5" x14ac:dyDescent="0.35"/>
  <cols>
    <col min="4" max="4" width="10.54296875" customWidth="1"/>
    <col min="5" max="5" width="13" customWidth="1"/>
    <col min="6" max="6" width="12.6328125" bestFit="1" customWidth="1"/>
    <col min="7" max="7" width="12.453125" bestFit="1" customWidth="1"/>
    <col min="8" max="8" width="11.81640625" bestFit="1" customWidth="1"/>
    <col min="9" max="9" width="12.1796875" customWidth="1"/>
    <col min="10" max="10" width="10.90625" customWidth="1"/>
    <col min="12" max="12" width="10.54296875" customWidth="1"/>
    <col min="13" max="13" width="12.453125" bestFit="1" customWidth="1"/>
    <col min="14" max="14" width="10.54296875" customWidth="1"/>
    <col min="17" max="17" width="10.08984375" customWidth="1"/>
    <col min="18" max="18" width="9.81640625" bestFit="1" customWidth="1"/>
    <col min="20" max="20" width="6.08984375" customWidth="1"/>
  </cols>
  <sheetData>
    <row r="1" spans="2:15" x14ac:dyDescent="0.35">
      <c r="B1" t="s">
        <v>28</v>
      </c>
      <c r="C1">
        <v>1E-3</v>
      </c>
      <c r="E1" s="1" t="s">
        <v>33</v>
      </c>
      <c r="F1" s="2">
        <f>F2*7*10^-7</f>
        <v>6.9509999999999993E-4</v>
      </c>
      <c r="G1" t="s">
        <v>53</v>
      </c>
      <c r="H1">
        <f>1.2/1000</f>
        <v>1.1999999999999999E-3</v>
      </c>
      <c r="J1" t="s">
        <v>88</v>
      </c>
      <c r="K1">
        <v>1.26</v>
      </c>
      <c r="M1" t="s">
        <v>115</v>
      </c>
      <c r="N1">
        <f>2*(0.5^(16/3.67))*C1</f>
        <v>9.7417648899176843E-5</v>
      </c>
    </row>
    <row r="2" spans="2:15" ht="15" thickBot="1" x14ac:dyDescent="0.4">
      <c r="B2" t="s">
        <v>26</v>
      </c>
      <c r="C2">
        <f>'Final-Peri'!I8</f>
        <v>29</v>
      </c>
      <c r="E2" s="3" t="s">
        <v>34</v>
      </c>
      <c r="F2" s="4">
        <v>993</v>
      </c>
      <c r="J2" t="s">
        <v>116</v>
      </c>
      <c r="K2">
        <v>0.66519010523773936</v>
      </c>
    </row>
    <row r="3" spans="2:15" x14ac:dyDescent="0.35">
      <c r="B3" t="s">
        <v>25</v>
      </c>
      <c r="C3" t="s">
        <v>87</v>
      </c>
      <c r="E3" t="s">
        <v>89</v>
      </c>
      <c r="J3" t="s">
        <v>32</v>
      </c>
      <c r="L3" t="s">
        <v>29</v>
      </c>
    </row>
    <row r="4" spans="2:15" x14ac:dyDescent="0.35">
      <c r="B4">
        <v>0</v>
      </c>
      <c r="C4">
        <f>(($K$2^(-4)-1)-(($K$2^(-2)-1)^2/(LN(($K$2^(-1))))))^-1</f>
        <v>4.6862064759369106</v>
      </c>
      <c r="E4">
        <f>(160*$F$1)/(3.1415*(0.817438692098092*0.5)^(B4)*$C$1^3)</f>
        <v>35402196.402992189</v>
      </c>
      <c r="J4">
        <f>C4*E4</f>
        <v>165902002.04609239</v>
      </c>
      <c r="L4">
        <f>J4/(2^B4)</f>
        <v>165902002.04609239</v>
      </c>
    </row>
    <row r="5" spans="2:15" x14ac:dyDescent="0.35">
      <c r="B5">
        <v>1</v>
      </c>
      <c r="C5">
        <f t="shared" ref="C5:C31" si="0">(($K$2^(-4)-1)-(($K$2^(-2)-1)^2/(LN(($K$2^(-1))))))^-1</f>
        <v>4.6862064759369106</v>
      </c>
      <c r="E5">
        <f t="shared" ref="E5:E31" si="1">(160*$F$1)/(3.1415*(0.817438692098092*0.5)^(B5)*$C$1^3)</f>
        <v>86617373.865987629</v>
      </c>
      <c r="J5">
        <f t="shared" ref="J5:J23" si="2">C5*E5</f>
        <v>405906898.33943975</v>
      </c>
      <c r="L5">
        <f t="shared" ref="L5:L31" si="3">J5/(2^B5)</f>
        <v>202953449.16971987</v>
      </c>
    </row>
    <row r="6" spans="2:15" x14ac:dyDescent="0.35">
      <c r="B6">
        <f>B5+1</f>
        <v>2</v>
      </c>
      <c r="C6">
        <f t="shared" si="0"/>
        <v>4.6862064759369106</v>
      </c>
      <c r="E6">
        <f t="shared" si="1"/>
        <v>211923841.39211661</v>
      </c>
      <c r="J6">
        <f t="shared" si="2"/>
        <v>993118877.93716359</v>
      </c>
      <c r="L6">
        <f t="shared" si="3"/>
        <v>248279719.4842909</v>
      </c>
      <c r="N6" s="41">
        <f>(SUM(L21:L32))</f>
        <v>284420258456.79651</v>
      </c>
      <c r="O6" t="s">
        <v>127</v>
      </c>
    </row>
    <row r="7" spans="2:15" x14ac:dyDescent="0.35">
      <c r="B7">
        <f t="shared" ref="B7:B21" si="4">B6+1</f>
        <v>3</v>
      </c>
      <c r="C7">
        <f t="shared" si="0"/>
        <v>4.6862064759369106</v>
      </c>
      <c r="E7">
        <f t="shared" si="1"/>
        <v>518506998.60604584</v>
      </c>
      <c r="J7">
        <f t="shared" si="2"/>
        <v>2429830854.6862626</v>
      </c>
      <c r="L7">
        <f t="shared" si="3"/>
        <v>303728856.83578283</v>
      </c>
    </row>
    <row r="8" spans="2:15" x14ac:dyDescent="0.35">
      <c r="B8">
        <f t="shared" si="4"/>
        <v>4</v>
      </c>
      <c r="C8">
        <f t="shared" si="0"/>
        <v>4.6862064759369106</v>
      </c>
      <c r="E8">
        <f t="shared" si="1"/>
        <v>1268613789.9227931</v>
      </c>
      <c r="J8">
        <f t="shared" si="2"/>
        <v>5944986157.7990608</v>
      </c>
      <c r="L8">
        <f t="shared" si="3"/>
        <v>371561634.8624413</v>
      </c>
      <c r="N8" t="s">
        <v>113</v>
      </c>
    </row>
    <row r="9" spans="2:15" x14ac:dyDescent="0.35">
      <c r="B9">
        <f t="shared" si="4"/>
        <v>5</v>
      </c>
      <c r="C9">
        <f t="shared" si="0"/>
        <v>4.6862064759369106</v>
      </c>
      <c r="E9">
        <f t="shared" si="1"/>
        <v>3103875072.6777692</v>
      </c>
      <c r="J9">
        <f t="shared" si="2"/>
        <v>14545399466.081711</v>
      </c>
      <c r="L9">
        <f t="shared" si="3"/>
        <v>454543733.31505346</v>
      </c>
      <c r="N9">
        <f>(SUM(L21:L31))</f>
        <v>187103421574.81854</v>
      </c>
    </row>
    <row r="10" spans="2:15" x14ac:dyDescent="0.35">
      <c r="B10">
        <f t="shared" si="4"/>
        <v>6</v>
      </c>
      <c r="C10">
        <f t="shared" si="0"/>
        <v>4.6862064759369106</v>
      </c>
      <c r="E10">
        <f t="shared" si="1"/>
        <v>7594147677.818284</v>
      </c>
      <c r="J10">
        <f t="shared" si="2"/>
        <v>35587744027.013298</v>
      </c>
      <c r="L10">
        <f t="shared" si="3"/>
        <v>556058500.42208278</v>
      </c>
    </row>
    <row r="11" spans="2:15" x14ac:dyDescent="0.35">
      <c r="B11">
        <f t="shared" si="4"/>
        <v>7</v>
      </c>
      <c r="C11">
        <f t="shared" si="0"/>
        <v>4.6862064759369106</v>
      </c>
      <c r="E11">
        <f t="shared" si="1"/>
        <v>18580347985.062084</v>
      </c>
      <c r="J11">
        <f t="shared" si="2"/>
        <v>87071347052.759262</v>
      </c>
      <c r="L11">
        <f t="shared" si="3"/>
        <v>680244898.84968174</v>
      </c>
    </row>
    <row r="12" spans="2:15" x14ac:dyDescent="0.35">
      <c r="B12">
        <f t="shared" si="4"/>
        <v>8</v>
      </c>
      <c r="C12">
        <f t="shared" si="0"/>
        <v>4.6862064759369106</v>
      </c>
      <c r="E12">
        <f t="shared" si="1"/>
        <v>45459918070.118607</v>
      </c>
      <c r="J12">
        <f t="shared" si="2"/>
        <v>213034562455.75119</v>
      </c>
      <c r="L12">
        <f t="shared" si="3"/>
        <v>832166259.59277809</v>
      </c>
    </row>
    <row r="13" spans="2:15" x14ac:dyDescent="0.35">
      <c r="B13">
        <f t="shared" si="4"/>
        <v>9</v>
      </c>
      <c r="C13">
        <f t="shared" si="0"/>
        <v>4.6862064759369106</v>
      </c>
      <c r="E13">
        <f t="shared" si="1"/>
        <v>111225266211.55693</v>
      </c>
      <c r="J13">
        <f t="shared" si="2"/>
        <v>521224562808.40497</v>
      </c>
      <c r="L13">
        <f t="shared" si="3"/>
        <v>1018016724.235166</v>
      </c>
    </row>
    <row r="14" spans="2:15" x14ac:dyDescent="0.35">
      <c r="B14">
        <f t="shared" si="4"/>
        <v>10</v>
      </c>
      <c r="C14">
        <f t="shared" si="0"/>
        <v>4.6862064759369106</v>
      </c>
      <c r="E14">
        <f t="shared" si="1"/>
        <v>272131151330.94293</v>
      </c>
      <c r="J14">
        <f t="shared" si="2"/>
        <v>1275262763671.2322</v>
      </c>
      <c r="L14">
        <f t="shared" si="3"/>
        <v>1245373792.6476877</v>
      </c>
    </row>
    <row r="15" spans="2:15" x14ac:dyDescent="0.35">
      <c r="B15">
        <f t="shared" si="4"/>
        <v>11</v>
      </c>
      <c r="C15">
        <f t="shared" si="0"/>
        <v>4.6862064759369106</v>
      </c>
      <c r="E15">
        <f t="shared" si="1"/>
        <v>665814216923.04102</v>
      </c>
      <c r="J15">
        <f t="shared" si="2"/>
        <v>3120142895115.6177</v>
      </c>
      <c r="L15">
        <f t="shared" si="3"/>
        <v>1523507273.0056727</v>
      </c>
    </row>
    <row r="16" spans="2:15" x14ac:dyDescent="0.35">
      <c r="B16">
        <f t="shared" si="4"/>
        <v>12</v>
      </c>
      <c r="C16">
        <f t="shared" si="0"/>
        <v>4.6862064759369106</v>
      </c>
      <c r="E16">
        <f t="shared" si="1"/>
        <v>1629025450738.375</v>
      </c>
      <c r="J16">
        <f t="shared" si="2"/>
        <v>7633949616716.2178</v>
      </c>
      <c r="L16">
        <f t="shared" si="3"/>
        <v>1863757230.6436079</v>
      </c>
    </row>
    <row r="17" spans="2:12" x14ac:dyDescent="0.35">
      <c r="B17">
        <f t="shared" si="4"/>
        <v>13</v>
      </c>
      <c r="C17">
        <f t="shared" si="0"/>
        <v>4.6862064759369106</v>
      </c>
      <c r="E17">
        <f t="shared" si="1"/>
        <v>3985682269473.2275</v>
      </c>
      <c r="J17">
        <f t="shared" si="2"/>
        <v>18677730062232.363</v>
      </c>
      <c r="L17">
        <f t="shared" si="3"/>
        <v>2279996345.487349</v>
      </c>
    </row>
    <row r="18" spans="2:12" x14ac:dyDescent="0.35">
      <c r="B18">
        <f t="shared" si="4"/>
        <v>14</v>
      </c>
      <c r="C18">
        <f t="shared" si="0"/>
        <v>4.6862064759369106</v>
      </c>
      <c r="E18">
        <f t="shared" si="1"/>
        <v>9751635952644.5059</v>
      </c>
      <c r="J18">
        <f t="shared" si="2"/>
        <v>45698179552261.891</v>
      </c>
      <c r="L18">
        <f t="shared" si="3"/>
        <v>2789195529.3128595</v>
      </c>
    </row>
    <row r="19" spans="2:12" x14ac:dyDescent="0.35">
      <c r="B19">
        <f t="shared" si="4"/>
        <v>15</v>
      </c>
      <c r="C19">
        <f t="shared" si="0"/>
        <v>4.6862064759369106</v>
      </c>
      <c r="E19">
        <f t="shared" si="1"/>
        <v>23859002630803.578</v>
      </c>
      <c r="J19">
        <f t="shared" si="2"/>
        <v>111808212637867.52</v>
      </c>
      <c r="L19">
        <f t="shared" si="3"/>
        <v>3412115864.1927342</v>
      </c>
    </row>
    <row r="20" spans="2:12" x14ac:dyDescent="0.35">
      <c r="B20">
        <f t="shared" si="4"/>
        <v>16</v>
      </c>
      <c r="C20">
        <f t="shared" si="0"/>
        <v>4.6862064759369106</v>
      </c>
      <c r="E20">
        <f t="shared" si="1"/>
        <v>58375026436699.477</v>
      </c>
      <c r="J20">
        <f t="shared" si="2"/>
        <v>273557426920649.44</v>
      </c>
      <c r="L20">
        <f t="shared" si="3"/>
        <v>4174155073.8624487</v>
      </c>
    </row>
    <row r="21" spans="2:12" x14ac:dyDescent="0.35">
      <c r="B21">
        <f t="shared" si="4"/>
        <v>17</v>
      </c>
      <c r="C21">
        <f t="shared" si="0"/>
        <v>4.6862064759369106</v>
      </c>
      <c r="D21">
        <f t="shared" ref="D21:D30" si="5">2^(1/3.67)*D22</f>
        <v>97.417648899176925</v>
      </c>
      <c r="E21">
        <f t="shared" si="1"/>
        <v>142824231348458.19</v>
      </c>
      <c r="J21">
        <f t="shared" si="2"/>
        <v>669303837865856.25</v>
      </c>
      <c r="L21">
        <f t="shared" si="3"/>
        <v>5106383040.3584003</v>
      </c>
    </row>
    <row r="22" spans="2:12" x14ac:dyDescent="0.35">
      <c r="B22">
        <f>B21+1</f>
        <v>18</v>
      </c>
      <c r="C22">
        <f t="shared" si="0"/>
        <v>4.6862064759369106</v>
      </c>
      <c r="D22">
        <f t="shared" si="5"/>
        <v>80.651624975952217</v>
      </c>
      <c r="E22">
        <f t="shared" si="1"/>
        <v>349443286032561.31</v>
      </c>
      <c r="J22">
        <f t="shared" si="2"/>
        <v>1637563389978463</v>
      </c>
      <c r="L22">
        <f t="shared" si="3"/>
        <v>6246808586.0384483</v>
      </c>
    </row>
    <row r="23" spans="2:12" x14ac:dyDescent="0.35">
      <c r="B23">
        <f>B22+1</f>
        <v>19</v>
      </c>
      <c r="C23">
        <f t="shared" si="0"/>
        <v>4.6862064759369106</v>
      </c>
      <c r="D23">
        <f t="shared" si="5"/>
        <v>66.771110622816479</v>
      </c>
      <c r="E23">
        <f t="shared" si="1"/>
        <v>854971239826334.25</v>
      </c>
      <c r="J23">
        <f t="shared" si="2"/>
        <v>4006571760813977</v>
      </c>
      <c r="L23">
        <f t="shared" si="3"/>
        <v>7641929170.2537098</v>
      </c>
    </row>
    <row r="24" spans="2:12" x14ac:dyDescent="0.35">
      <c r="B24">
        <f t="shared" ref="B24" si="6">B23+1</f>
        <v>20</v>
      </c>
      <c r="C24">
        <f t="shared" si="0"/>
        <v>4.6862064759369106</v>
      </c>
      <c r="D24">
        <f t="shared" si="5"/>
        <v>55.279496416020699</v>
      </c>
      <c r="E24">
        <f t="shared" si="1"/>
        <v>2091829633441766</v>
      </c>
      <c r="J24">
        <f>C24*E24</f>
        <v>9802745574791538</v>
      </c>
      <c r="L24">
        <f t="shared" si="3"/>
        <v>9348626684.9437122</v>
      </c>
    </row>
    <row r="25" spans="2:12" x14ac:dyDescent="0.35">
      <c r="B25">
        <v>21</v>
      </c>
      <c r="C25">
        <f t="shared" si="0"/>
        <v>4.6862064759369106</v>
      </c>
      <c r="D25">
        <f t="shared" si="5"/>
        <v>45.765641690025063</v>
      </c>
      <c r="E25">
        <f t="shared" si="1"/>
        <v>5118009836487525</v>
      </c>
      <c r="J25">
        <f t="shared" ref="J25:J31" si="7">C25*E25</f>
        <v>2.3984050839656648E+16</v>
      </c>
      <c r="L25">
        <f t="shared" si="3"/>
        <v>11436486644.58115</v>
      </c>
    </row>
    <row r="26" spans="2:12" x14ac:dyDescent="0.35">
      <c r="B26">
        <v>22</v>
      </c>
      <c r="C26">
        <f t="shared" si="0"/>
        <v>4.6862064759369106</v>
      </c>
      <c r="D26">
        <f t="shared" si="5"/>
        <v>37.88916497243541</v>
      </c>
      <c r="E26">
        <f t="shared" si="1"/>
        <v>1.2522064066606158E+16</v>
      </c>
      <c r="J26">
        <f t="shared" si="7"/>
        <v>5.8680977721026664E+16</v>
      </c>
      <c r="L26">
        <f t="shared" si="3"/>
        <v>13990635328.537622</v>
      </c>
    </row>
    <row r="27" spans="2:12" x14ac:dyDescent="0.35">
      <c r="B27">
        <v>23</v>
      </c>
      <c r="C27">
        <f t="shared" si="0"/>
        <v>4.6862064759369106</v>
      </c>
      <c r="D27">
        <f t="shared" si="5"/>
        <v>31.368266002513469</v>
      </c>
      <c r="E27">
        <f t="shared" si="1"/>
        <v>3.0637316749629764E+16</v>
      </c>
      <c r="J27">
        <f t="shared" si="7"/>
        <v>1.4357279215744538E+17</v>
      </c>
      <c r="L27">
        <f t="shared" si="3"/>
        <v>17115210551.911041</v>
      </c>
    </row>
    <row r="28" spans="2:12" x14ac:dyDescent="0.35">
      <c r="B28">
        <v>24</v>
      </c>
      <c r="C28">
        <f t="shared" si="0"/>
        <v>4.6862064759369106</v>
      </c>
      <c r="D28">
        <f t="shared" si="5"/>
        <v>25.969643636123546</v>
      </c>
      <c r="E28">
        <f t="shared" si="1"/>
        <v>7.4959301647427536E+16</v>
      </c>
      <c r="J28">
        <f t="shared" si="7"/>
        <v>3.5127476481188326E+17</v>
      </c>
      <c r="L28">
        <f t="shared" si="3"/>
        <v>20937607575.171188</v>
      </c>
    </row>
    <row r="29" spans="2:12" x14ac:dyDescent="0.35">
      <c r="B29">
        <v>25</v>
      </c>
      <c r="C29">
        <f t="shared" si="0"/>
        <v>4.6862064759369106</v>
      </c>
      <c r="D29">
        <f t="shared" si="5"/>
        <v>21.500148925452628</v>
      </c>
      <c r="E29">
        <f t="shared" si="1"/>
        <v>1.8340042469737286E+17</v>
      </c>
      <c r="J29">
        <f t="shared" si="7"/>
        <v>8.5945225790640845E+17</v>
      </c>
      <c r="L29">
        <f t="shared" si="3"/>
        <v>25613673266.959442</v>
      </c>
    </row>
    <row r="30" spans="2:12" x14ac:dyDescent="0.35">
      <c r="B30">
        <v>26</v>
      </c>
      <c r="C30">
        <f t="shared" si="0"/>
        <v>4.6862064759369106</v>
      </c>
      <c r="D30">
        <f t="shared" si="5"/>
        <v>17.799874741971706</v>
      </c>
      <c r="E30">
        <f t="shared" si="1"/>
        <v>4.4871970575957274E+17</v>
      </c>
      <c r="J30">
        <f t="shared" si="7"/>
        <v>2.1027931910110149E+18</v>
      </c>
      <c r="L30">
        <f t="shared" si="3"/>
        <v>31334060296.580418</v>
      </c>
    </row>
    <row r="31" spans="2:12" x14ac:dyDescent="0.35">
      <c r="B31">
        <v>27</v>
      </c>
      <c r="C31">
        <f t="shared" si="0"/>
        <v>4.6862064759369106</v>
      </c>
      <c r="D31">
        <f>2^(1/3.67)*D32</f>
        <v>14.736434706961557</v>
      </c>
      <c r="E31">
        <f t="shared" si="1"/>
        <v>1.0978675467584224E+18</v>
      </c>
      <c r="J31">
        <f t="shared" si="7"/>
        <v>5.144834007340288E+18</v>
      </c>
      <c r="L31">
        <f t="shared" si="3"/>
        <v>38332000429.483414</v>
      </c>
    </row>
    <row r="32" spans="2:12" x14ac:dyDescent="0.35">
      <c r="B32">
        <v>28</v>
      </c>
      <c r="D32">
        <f>'PCA2-Peri'!J1</f>
        <v>12.200226744319544</v>
      </c>
      <c r="L32">
        <f>'PCA2-Peri'!FK38</f>
        <v>97316836881.977997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34"/>
  <sheetViews>
    <sheetView topLeftCell="A7" zoomScale="85" zoomScaleNormal="85" workbookViewId="0">
      <selection activeCell="N1" sqref="N1"/>
    </sheetView>
  </sheetViews>
  <sheetFormatPr defaultRowHeight="14.5" x14ac:dyDescent="0.35"/>
  <cols>
    <col min="4" max="4" width="11.81640625" bestFit="1" customWidth="1"/>
    <col min="5" max="5" width="11.08984375" customWidth="1"/>
    <col min="6" max="6" width="11.6328125" bestFit="1" customWidth="1"/>
    <col min="9" max="9" width="12.81640625" customWidth="1"/>
    <col min="10" max="10" width="11.81640625" bestFit="1" customWidth="1"/>
    <col min="12" max="12" width="8.1796875" customWidth="1"/>
    <col min="13" max="13" width="12" bestFit="1" customWidth="1"/>
    <col min="14" max="14" width="10.6328125" customWidth="1"/>
    <col min="17" max="17" width="10" customWidth="1"/>
    <col min="20" max="20" width="8" customWidth="1"/>
  </cols>
  <sheetData>
    <row r="1" spans="2:20" x14ac:dyDescent="0.35">
      <c r="B1" t="s">
        <v>28</v>
      </c>
      <c r="C1">
        <v>1.5E-3</v>
      </c>
      <c r="E1" s="1" t="s">
        <v>33</v>
      </c>
      <c r="F1" s="2">
        <f>F2*7*10^-7</f>
        <v>6.9509999999999993E-4</v>
      </c>
      <c r="G1" t="s">
        <v>53</v>
      </c>
      <c r="H1">
        <f>1.2/1000</f>
        <v>1.1999999999999999E-3</v>
      </c>
      <c r="J1" t="s">
        <v>88</v>
      </c>
      <c r="K1">
        <v>1.26</v>
      </c>
      <c r="M1" t="s">
        <v>115</v>
      </c>
      <c r="N1">
        <f>2*(0.5^(18/3.67))*C1</f>
        <v>1.0015666593422463E-4</v>
      </c>
    </row>
    <row r="2" spans="2:20" ht="15" thickBot="1" x14ac:dyDescent="0.4">
      <c r="B2" t="s">
        <v>26</v>
      </c>
      <c r="C2">
        <f>'Final-Peri'!I9</f>
        <v>31</v>
      </c>
      <c r="E2" s="3" t="s">
        <v>34</v>
      </c>
      <c r="F2" s="4">
        <v>993</v>
      </c>
      <c r="J2" t="s">
        <v>116</v>
      </c>
      <c r="K2">
        <v>0.66519010523773936</v>
      </c>
    </row>
    <row r="3" spans="2:20" x14ac:dyDescent="0.35">
      <c r="B3" t="s">
        <v>25</v>
      </c>
      <c r="C3" t="s">
        <v>87</v>
      </c>
      <c r="E3" t="s">
        <v>89</v>
      </c>
      <c r="J3" t="s">
        <v>32</v>
      </c>
      <c r="L3" t="s">
        <v>29</v>
      </c>
      <c r="T3" t="s">
        <v>30</v>
      </c>
    </row>
    <row r="4" spans="2:20" x14ac:dyDescent="0.35">
      <c r="B4">
        <v>0</v>
      </c>
      <c r="C4">
        <f>(($K$2^(-4)-1)-(($K$2^(-2)-1)^2/(LN(($K$2^(-1))))))^-1</f>
        <v>4.6862064759369106</v>
      </c>
      <c r="E4">
        <f>(160*$F$1)/(3.1415*(0.5)^(0.817438692098092*B4)*$C$1^3)</f>
        <v>10489539.674960651</v>
      </c>
      <c r="J4">
        <f>E4*C4</f>
        <v>49156148.754397757</v>
      </c>
      <c r="L4">
        <f>J4/(2^B4)</f>
        <v>49156148.754397757</v>
      </c>
      <c r="T4">
        <f>SUM(R4:R26)</f>
        <v>0</v>
      </c>
    </row>
    <row r="5" spans="2:20" x14ac:dyDescent="0.35">
      <c r="B5">
        <v>1</v>
      </c>
      <c r="C5">
        <f t="shared" ref="C5:C33" si="0">(($K$2^(-4)-1)-(($K$2^(-2)-1)^2/(LN(($K$2^(-1))))))^-1</f>
        <v>4.6862064759369106</v>
      </c>
      <c r="E5">
        <f t="shared" ref="E5:E33" si="1">(160*$F$1)/(3.1415*(0.5)^(0.817438692098092*B5)*$C$1^3)</f>
        <v>18485448.663985159</v>
      </c>
      <c r="J5">
        <f t="shared" ref="J5:J33" si="2">E5*C5</f>
        <v>86626629.239766568</v>
      </c>
      <c r="L5">
        <f t="shared" ref="L5:L33" si="3">J5/(2^B5)</f>
        <v>43313314.619883284</v>
      </c>
    </row>
    <row r="6" spans="2:20" x14ac:dyDescent="0.35">
      <c r="B6">
        <f>B5+1</f>
        <v>2</v>
      </c>
      <c r="C6">
        <f t="shared" si="0"/>
        <v>4.6862064759369106</v>
      </c>
      <c r="E6">
        <f t="shared" si="1"/>
        <v>32576435.467852186</v>
      </c>
      <c r="J6">
        <f t="shared" si="2"/>
        <v>152659902.85238978</v>
      </c>
      <c r="L6">
        <f t="shared" si="3"/>
        <v>38164975.713097446</v>
      </c>
      <c r="N6" s="41">
        <f>(SUM(L23:L34))</f>
        <v>24368020377.766598</v>
      </c>
    </row>
    <row r="7" spans="2:20" x14ac:dyDescent="0.35">
      <c r="B7">
        <f t="shared" ref="B7:B26" si="4">B6+1</f>
        <v>3</v>
      </c>
      <c r="C7">
        <f t="shared" si="0"/>
        <v>4.6862064759369106</v>
      </c>
      <c r="E7">
        <f t="shared" si="1"/>
        <v>57408622.700010553</v>
      </c>
      <c r="J7">
        <f t="shared" si="2"/>
        <v>269028659.47140819</v>
      </c>
      <c r="L7">
        <f t="shared" si="3"/>
        <v>33628582.433926024</v>
      </c>
    </row>
    <row r="8" spans="2:20" x14ac:dyDescent="0.35">
      <c r="B8">
        <f t="shared" si="4"/>
        <v>4</v>
      </c>
      <c r="C8">
        <f t="shared" si="0"/>
        <v>4.6862064759369106</v>
      </c>
      <c r="E8">
        <f t="shared" si="1"/>
        <v>101169753.93346983</v>
      </c>
      <c r="J8">
        <f t="shared" si="2"/>
        <v>474102356.05197006</v>
      </c>
      <c r="L8">
        <f t="shared" si="3"/>
        <v>29631397.253248129</v>
      </c>
    </row>
    <row r="9" spans="2:20" x14ac:dyDescent="0.35">
      <c r="B9">
        <f t="shared" si="4"/>
        <v>5</v>
      </c>
      <c r="C9">
        <f t="shared" si="0"/>
        <v>4.6862064759369106</v>
      </c>
      <c r="E9">
        <f t="shared" si="1"/>
        <v>178288881.17458633</v>
      </c>
      <c r="J9">
        <f t="shared" si="2"/>
        <v>835498509.54789281</v>
      </c>
      <c r="L9">
        <f t="shared" si="3"/>
        <v>26109328.42337165</v>
      </c>
      <c r="N9" t="s">
        <v>114</v>
      </c>
    </row>
    <row r="10" spans="2:20" x14ac:dyDescent="0.35">
      <c r="B10">
        <f t="shared" si="4"/>
        <v>6</v>
      </c>
      <c r="C10">
        <f t="shared" si="0"/>
        <v>4.6862064759369106</v>
      </c>
      <c r="E10">
        <f t="shared" si="1"/>
        <v>314193955.35338682</v>
      </c>
      <c r="J10">
        <f t="shared" si="2"/>
        <v>1472377748.2772739</v>
      </c>
      <c r="L10">
        <f t="shared" si="3"/>
        <v>23005902.316832405</v>
      </c>
      <c r="N10">
        <f>(SUM(L23:L33))</f>
        <v>28069740.454417255</v>
      </c>
    </row>
    <row r="11" spans="2:20" x14ac:dyDescent="0.35">
      <c r="B11">
        <f t="shared" si="4"/>
        <v>7</v>
      </c>
      <c r="C11">
        <f t="shared" si="0"/>
        <v>4.6862064759369106</v>
      </c>
      <c r="E11">
        <f t="shared" si="1"/>
        <v>553696006.89758253</v>
      </c>
      <c r="J11">
        <f t="shared" si="2"/>
        <v>2594733813.2238598</v>
      </c>
      <c r="L11">
        <f t="shared" si="3"/>
        <v>20271357.915811405</v>
      </c>
    </row>
    <row r="12" spans="2:20" x14ac:dyDescent="0.35">
      <c r="B12">
        <f t="shared" si="4"/>
        <v>8</v>
      </c>
      <c r="C12">
        <f t="shared" si="0"/>
        <v>4.6862064759369106</v>
      </c>
      <c r="E12">
        <f t="shared" si="1"/>
        <v>975764373.66373098</v>
      </c>
      <c r="J12">
        <f t="shared" si="2"/>
        <v>4572633326.8514996</v>
      </c>
      <c r="L12">
        <f t="shared" si="3"/>
        <v>17861848.93301367</v>
      </c>
    </row>
    <row r="13" spans="2:20" x14ac:dyDescent="0.35">
      <c r="B13">
        <f t="shared" si="4"/>
        <v>9</v>
      </c>
      <c r="C13">
        <f t="shared" si="0"/>
        <v>4.6862064759369106</v>
      </c>
      <c r="E13">
        <f t="shared" si="1"/>
        <v>1719564708.8845394</v>
      </c>
      <c r="J13">
        <f t="shared" si="2"/>
        <v>8058235274.567297</v>
      </c>
      <c r="L13">
        <f t="shared" si="3"/>
        <v>15738740.770639252</v>
      </c>
    </row>
    <row r="14" spans="2:20" x14ac:dyDescent="0.35">
      <c r="B14">
        <f t="shared" si="4"/>
        <v>10</v>
      </c>
      <c r="C14">
        <f t="shared" si="0"/>
        <v>4.6862064759369106</v>
      </c>
      <c r="E14">
        <f t="shared" si="1"/>
        <v>3030345099.5436568</v>
      </c>
      <c r="J14">
        <f t="shared" si="2"/>
        <v>14200822829.805166</v>
      </c>
      <c r="L14">
        <f t="shared" si="3"/>
        <v>13867991.044731608</v>
      </c>
    </row>
    <row r="15" spans="2:20" x14ac:dyDescent="0.35">
      <c r="B15">
        <f t="shared" si="4"/>
        <v>11</v>
      </c>
      <c r="C15">
        <f t="shared" si="0"/>
        <v>4.6862064759369106</v>
      </c>
      <c r="E15">
        <f t="shared" si="1"/>
        <v>5340300004.3453684</v>
      </c>
      <c r="J15">
        <f t="shared" si="2"/>
        <v>25025748463.809177</v>
      </c>
      <c r="L15">
        <f t="shared" si="3"/>
        <v>12219603.742094325</v>
      </c>
    </row>
    <row r="16" spans="2:20" x14ac:dyDescent="0.35">
      <c r="B16">
        <f t="shared" si="4"/>
        <v>12</v>
      </c>
      <c r="C16">
        <f t="shared" si="0"/>
        <v>4.6862064759369106</v>
      </c>
      <c r="E16">
        <f t="shared" si="1"/>
        <v>9411074712.482687</v>
      </c>
      <c r="J16">
        <f t="shared" si="2"/>
        <v>44102239263.162468</v>
      </c>
      <c r="L16">
        <f t="shared" si="3"/>
        <v>10767148.257608024</v>
      </c>
    </row>
    <row r="17" spans="2:12" x14ac:dyDescent="0.35">
      <c r="B17">
        <f t="shared" si="4"/>
        <v>13</v>
      </c>
      <c r="C17">
        <f t="shared" si="0"/>
        <v>4.6862064759369106</v>
      </c>
      <c r="E17">
        <f t="shared" si="1"/>
        <v>16584897322.596786</v>
      </c>
      <c r="J17">
        <f t="shared" si="2"/>
        <v>77720253235.901794</v>
      </c>
      <c r="L17">
        <f t="shared" si="3"/>
        <v>9487335.6000856683</v>
      </c>
    </row>
    <row r="18" spans="2:12" x14ac:dyDescent="0.35">
      <c r="B18">
        <f t="shared" si="4"/>
        <v>14</v>
      </c>
      <c r="C18">
        <f t="shared" si="0"/>
        <v>4.6862064759369106</v>
      </c>
      <c r="E18">
        <f t="shared" si="1"/>
        <v>29227142234.483032</v>
      </c>
      <c r="J18">
        <f t="shared" si="2"/>
        <v>136964423212.36357</v>
      </c>
      <c r="L18">
        <f t="shared" si="3"/>
        <v>8359644.9714577375</v>
      </c>
    </row>
    <row r="19" spans="2:12" x14ac:dyDescent="0.35">
      <c r="B19">
        <f t="shared" si="4"/>
        <v>15</v>
      </c>
      <c r="C19">
        <f t="shared" si="0"/>
        <v>4.6862064759369106</v>
      </c>
      <c r="E19">
        <f t="shared" si="1"/>
        <v>51506248521.106377</v>
      </c>
      <c r="J19">
        <f t="shared" si="2"/>
        <v>241368915370.82462</v>
      </c>
      <c r="L19">
        <f t="shared" si="3"/>
        <v>7365994.7317756535</v>
      </c>
    </row>
    <row r="20" spans="2:12" x14ac:dyDescent="0.35">
      <c r="B20">
        <f t="shared" si="4"/>
        <v>16</v>
      </c>
      <c r="C20">
        <f t="shared" si="0"/>
        <v>4.6862064759369106</v>
      </c>
      <c r="E20">
        <f t="shared" si="1"/>
        <v>90768150215.795349</v>
      </c>
      <c r="J20">
        <f t="shared" si="2"/>
        <v>425358293350.07446</v>
      </c>
      <c r="L20">
        <f t="shared" si="3"/>
        <v>6490452.4742137827</v>
      </c>
    </row>
    <row r="21" spans="2:12" x14ac:dyDescent="0.35">
      <c r="B21">
        <f t="shared" si="4"/>
        <v>17</v>
      </c>
      <c r="C21">
        <f t="shared" si="0"/>
        <v>4.6862064759369106</v>
      </c>
      <c r="E21">
        <f t="shared" si="1"/>
        <v>159958399808.92899</v>
      </c>
      <c r="J21">
        <f t="shared" si="2"/>
        <v>749598089065.10852</v>
      </c>
      <c r="L21">
        <f t="shared" si="3"/>
        <v>5718979.5613487894</v>
      </c>
    </row>
    <row r="22" spans="2:12" x14ac:dyDescent="0.35">
      <c r="B22">
        <f>B21+1</f>
        <v>18</v>
      </c>
      <c r="C22">
        <f t="shared" si="0"/>
        <v>4.6862064759369106</v>
      </c>
      <c r="E22">
        <f t="shared" si="1"/>
        <v>281890614809.29694</v>
      </c>
      <c r="J22">
        <f t="shared" si="2"/>
        <v>1320997624625.1646</v>
      </c>
      <c r="L22">
        <f t="shared" si="3"/>
        <v>5039206.0265547354</v>
      </c>
    </row>
    <row r="23" spans="2:12" x14ac:dyDescent="0.35">
      <c r="B23">
        <f t="shared" si="4"/>
        <v>19</v>
      </c>
      <c r="C23">
        <f t="shared" si="0"/>
        <v>4.6862064759369106</v>
      </c>
      <c r="D23">
        <f t="shared" ref="D23:D32" si="5">2^(1/3.67)*D24</f>
        <v>100.15666593422468</v>
      </c>
      <c r="E23">
        <f t="shared" si="1"/>
        <v>496768652427.64063</v>
      </c>
      <c r="J23">
        <f t="shared" si="2"/>
        <v>2327960476048.8618</v>
      </c>
      <c r="L23">
        <f t="shared" si="3"/>
        <v>4440232.2312333332</v>
      </c>
    </row>
    <row r="24" spans="2:12" x14ac:dyDescent="0.35">
      <c r="B24">
        <f t="shared" si="4"/>
        <v>20</v>
      </c>
      <c r="C24">
        <f t="shared" si="0"/>
        <v>4.6862064759369106</v>
      </c>
      <c r="D24">
        <f t="shared" si="5"/>
        <v>82.919244624031009</v>
      </c>
      <c r="E24">
        <f t="shared" si="1"/>
        <v>875442746477.11877</v>
      </c>
      <c r="J24">
        <f t="shared" si="2"/>
        <v>4102505467853.0688</v>
      </c>
      <c r="L24">
        <f t="shared" si="3"/>
        <v>3912454.0976076783</v>
      </c>
    </row>
    <row r="25" spans="2:12" x14ac:dyDescent="0.35">
      <c r="B25">
        <f t="shared" si="4"/>
        <v>21</v>
      </c>
      <c r="C25">
        <f t="shared" si="0"/>
        <v>4.6862064759369106</v>
      </c>
      <c r="D25">
        <f t="shared" si="5"/>
        <v>68.648462535037567</v>
      </c>
      <c r="E25">
        <f t="shared" si="1"/>
        <v>1542770459879.2737</v>
      </c>
      <c r="J25">
        <f t="shared" si="2"/>
        <v>7229740919970.418</v>
      </c>
      <c r="L25">
        <f t="shared" si="3"/>
        <v>3447409.1148235407</v>
      </c>
    </row>
    <row r="26" spans="2:12" x14ac:dyDescent="0.35">
      <c r="B26">
        <f t="shared" si="4"/>
        <v>22</v>
      </c>
      <c r="C26">
        <f t="shared" si="0"/>
        <v>4.6862064759369106</v>
      </c>
      <c r="D26">
        <f t="shared" si="5"/>
        <v>56.833747458653086</v>
      </c>
      <c r="E26">
        <f t="shared" si="1"/>
        <v>2718785096403.0151</v>
      </c>
      <c r="J26">
        <f t="shared" si="2"/>
        <v>12740788325444.568</v>
      </c>
      <c r="L26">
        <f t="shared" si="3"/>
        <v>3037640.6491862698</v>
      </c>
    </row>
    <row r="27" spans="2:12" x14ac:dyDescent="0.35">
      <c r="B27">
        <v>23</v>
      </c>
      <c r="C27">
        <f t="shared" si="0"/>
        <v>4.6862064759369106</v>
      </c>
      <c r="D27">
        <f t="shared" si="5"/>
        <v>47.052399003770184</v>
      </c>
      <c r="E27">
        <f t="shared" si="1"/>
        <v>4791245744361.4492</v>
      </c>
      <c r="J27">
        <f t="shared" si="2"/>
        <v>22452766835031.789</v>
      </c>
      <c r="L27">
        <f t="shared" si="3"/>
        <v>2676578.3828534828</v>
      </c>
    </row>
    <row r="28" spans="2:12" x14ac:dyDescent="0.35">
      <c r="B28">
        <v>24</v>
      </c>
      <c r="C28">
        <f t="shared" si="0"/>
        <v>4.6862064759369106</v>
      </c>
      <c r="D28">
        <f t="shared" si="5"/>
        <v>38.954465454185303</v>
      </c>
      <c r="E28">
        <f t="shared" si="1"/>
        <v>8443490371207.6689</v>
      </c>
      <c r="J28">
        <f t="shared" si="2"/>
        <v>39567939257064.328</v>
      </c>
      <c r="L28">
        <f t="shared" si="3"/>
        <v>2358432.9639115529</v>
      </c>
    </row>
    <row r="29" spans="2:12" x14ac:dyDescent="0.35">
      <c r="B29">
        <v>25</v>
      </c>
      <c r="C29">
        <f t="shared" si="0"/>
        <v>4.6862064759369106</v>
      </c>
      <c r="D29">
        <f t="shared" si="5"/>
        <v>32.250223388178931</v>
      </c>
      <c r="E29">
        <f t="shared" si="1"/>
        <v>14879748076494.852</v>
      </c>
      <c r="J29">
        <f t="shared" si="2"/>
        <v>69729571796379.961</v>
      </c>
      <c r="L29">
        <f t="shared" si="3"/>
        <v>2078103.1786316622</v>
      </c>
    </row>
    <row r="30" spans="2:12" x14ac:dyDescent="0.35">
      <c r="B30">
        <v>26</v>
      </c>
      <c r="C30">
        <f t="shared" si="0"/>
        <v>4.6862064759369106</v>
      </c>
      <c r="D30">
        <f t="shared" si="5"/>
        <v>26.699812112957552</v>
      </c>
      <c r="E30">
        <f t="shared" si="1"/>
        <v>26222201137926.469</v>
      </c>
      <c r="J30">
        <f t="shared" si="2"/>
        <v>122882648785871.25</v>
      </c>
      <c r="L30">
        <f t="shared" si="3"/>
        <v>1831094.1574852355</v>
      </c>
    </row>
    <row r="31" spans="2:12" x14ac:dyDescent="0.35">
      <c r="B31">
        <v>27</v>
      </c>
      <c r="C31">
        <f t="shared" si="0"/>
        <v>4.6862064759369106</v>
      </c>
      <c r="D31">
        <f t="shared" si="5"/>
        <v>22.10465206044233</v>
      </c>
      <c r="E31">
        <f t="shared" si="1"/>
        <v>46210717344338.695</v>
      </c>
      <c r="J31">
        <f t="shared" si="2"/>
        <v>216552962876730.13</v>
      </c>
      <c r="L31">
        <f t="shared" si="3"/>
        <v>1613445.3034157315</v>
      </c>
    </row>
    <row r="32" spans="2:12" x14ac:dyDescent="0.35">
      <c r="B32">
        <v>28</v>
      </c>
      <c r="C32">
        <f t="shared" si="0"/>
        <v>4.6862064759369106</v>
      </c>
      <c r="D32">
        <f t="shared" si="5"/>
        <v>18.300340116479312</v>
      </c>
      <c r="E32">
        <f t="shared" si="1"/>
        <v>81435970468161.281</v>
      </c>
      <c r="J32">
        <f t="shared" si="2"/>
        <v>381625772182104.38</v>
      </c>
      <c r="L32">
        <f t="shared" si="3"/>
        <v>1421666.78675303</v>
      </c>
    </row>
    <row r="33" spans="2:12" x14ac:dyDescent="0.35">
      <c r="B33">
        <v>29</v>
      </c>
      <c r="C33">
        <f t="shared" si="0"/>
        <v>4.6862064759369106</v>
      </c>
      <c r="D33">
        <f>2^(1/3.67)*D34</f>
        <v>15.150767696459294</v>
      </c>
      <c r="E33">
        <f t="shared" si="1"/>
        <v>143512537073906.84</v>
      </c>
      <c r="J33">
        <f t="shared" si="2"/>
        <v>672529380613878.25</v>
      </c>
      <c r="L33">
        <f t="shared" si="3"/>
        <v>1252683.5885157404</v>
      </c>
    </row>
    <row r="34" spans="2:12" x14ac:dyDescent="0.35">
      <c r="B34">
        <v>30</v>
      </c>
      <c r="D34">
        <f>'MCA-Peri'!J1</f>
        <v>12.543251127085355</v>
      </c>
      <c r="L34">
        <f>'MCA-Peri'!FW43</f>
        <v>24339950637.31218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Final-Peri</vt:lpstr>
      <vt:lpstr>PCA2-Peri</vt:lpstr>
      <vt:lpstr>MCA-Peri</vt:lpstr>
      <vt:lpstr>ACA2-Peri</vt:lpstr>
      <vt:lpstr>Final-Para</vt:lpstr>
      <vt:lpstr>PCA2-Para</vt:lpstr>
      <vt:lpstr>MCA-Para</vt:lpstr>
      <vt:lpstr>ACA2-Para</vt:lpstr>
      <vt:lpstr>Venous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2020-04-22T22:51:26Z</dcterms:modified>
</cp:coreProperties>
</file>